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Hassan Al-Qadi\Desktop\Analysis Projects\Excel\"/>
    </mc:Choice>
  </mc:AlternateContent>
  <bookViews>
    <workbookView xWindow="0" yWindow="0" windowWidth="13920" windowHeight="6435" activeTab="3"/>
  </bookViews>
  <sheets>
    <sheet name="Raw Data" sheetId="1" r:id="rId1"/>
    <sheet name="Working Sheet" sheetId="2" r:id="rId2"/>
    <sheet name="Pivot Tables" sheetId="3" r:id="rId3"/>
    <sheet name="Dashboard" sheetId="10" r:id="rId4"/>
  </sheets>
  <definedNames>
    <definedName name="Slicer_Year">#N/A</definedName>
    <definedName name="Slicer_Year1">#N/A</definedName>
    <definedName name="Slicer_Year2">#N/A</definedName>
    <definedName name="Slicer_Years">#N/A</definedName>
  </definedNames>
  <calcPr calcId="162913"/>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 i="2"/>
  <c r="F2294" i="2"/>
  <c r="E2038" i="2"/>
  <c r="F2144" i="2"/>
  <c r="F2114" i="2"/>
  <c r="C2166" i="2"/>
  <c r="D2278" i="2"/>
  <c r="F2453" i="2"/>
  <c r="B2379" i="2"/>
  <c r="D2324" i="2"/>
  <c r="D2435" i="2"/>
  <c r="C2246" i="2"/>
  <c r="C2509" i="2"/>
  <c r="B2358" i="2"/>
  <c r="F2403" i="2"/>
  <c r="B2025" i="2"/>
  <c r="D2276" i="2"/>
  <c r="F2381" i="2"/>
  <c r="F2475" i="2"/>
  <c r="E2136" i="2"/>
  <c r="B2193" i="2"/>
  <c r="C2507" i="2"/>
  <c r="E2470" i="2"/>
  <c r="F2510" i="2"/>
  <c r="E1743" i="2"/>
  <c r="B2395" i="2"/>
  <c r="F2221" i="2"/>
  <c r="B2213" i="2"/>
  <c r="E2465" i="2"/>
  <c r="C2447" i="2"/>
  <c r="E2166" i="2"/>
  <c r="C2073" i="2"/>
  <c r="F2248" i="2"/>
  <c r="E2400" i="2"/>
  <c r="D1979" i="2"/>
  <c r="C2140" i="2"/>
  <c r="C2451" i="2"/>
  <c r="B2491" i="2"/>
  <c r="D2265" i="2"/>
  <c r="D2349" i="2"/>
  <c r="C2493" i="2"/>
  <c r="E2339" i="2"/>
  <c r="F2389" i="2"/>
  <c r="E2416" i="2"/>
  <c r="C2291" i="2"/>
  <c r="D2417" i="2"/>
  <c r="F2371" i="2"/>
  <c r="F2137" i="2"/>
  <c r="B2510" i="2"/>
  <c r="E2276" i="2"/>
  <c r="D2390" i="2"/>
  <c r="E2296" i="2"/>
  <c r="F2106" i="2"/>
  <c r="F2362" i="2"/>
  <c r="B2239" i="2"/>
  <c r="C2381" i="2"/>
  <c r="D2493" i="2"/>
  <c r="C2396" i="2"/>
  <c r="C2268" i="2"/>
  <c r="B2426" i="2"/>
  <c r="B2297" i="2"/>
  <c r="B2328" i="2"/>
  <c r="D2469" i="2"/>
  <c r="D2438" i="2"/>
  <c r="E2356" i="2"/>
  <c r="F2509" i="2"/>
  <c r="D2030" i="2"/>
  <c r="B2169" i="2"/>
  <c r="B1991" i="2"/>
  <c r="C2503" i="2"/>
  <c r="E2248" i="2"/>
  <c r="D2346" i="2"/>
  <c r="D2074" i="2"/>
  <c r="F2394" i="2"/>
  <c r="C2337" i="2"/>
  <c r="C2000" i="2"/>
  <c r="E2058" i="2"/>
  <c r="F2310" i="2"/>
  <c r="D1843" i="2"/>
  <c r="F2425" i="2"/>
  <c r="C2180" i="2"/>
  <c r="C2394" i="2"/>
  <c r="C1910" i="2"/>
  <c r="D2049" i="2"/>
  <c r="C2217" i="2"/>
  <c r="B2474" i="2"/>
  <c r="E2212" i="2"/>
  <c r="F2288" i="2"/>
  <c r="C2511" i="2"/>
  <c r="F2312" i="2"/>
  <c r="E2078" i="2"/>
  <c r="E2415" i="2"/>
  <c r="B2337" i="2"/>
  <c r="F2068" i="2"/>
  <c r="E2283" i="2"/>
  <c r="D2332" i="2"/>
  <c r="B2131" i="2"/>
  <c r="F2199" i="2"/>
  <c r="F2022" i="2"/>
  <c r="D1945" i="2"/>
  <c r="D2498" i="2"/>
  <c r="B2422" i="2"/>
  <c r="B2188" i="2"/>
  <c r="C2431" i="2"/>
  <c r="B2302" i="2"/>
  <c r="B2440" i="2"/>
  <c r="D2322" i="2"/>
  <c r="E2279" i="2"/>
  <c r="D2353" i="2"/>
  <c r="D2387" i="2"/>
  <c r="F2309" i="2"/>
  <c r="C2455" i="2"/>
  <c r="E2498" i="2"/>
  <c r="D2418" i="2"/>
  <c r="B2481" i="2"/>
  <c r="C2353" i="2"/>
  <c r="D2455" i="2"/>
  <c r="B2280" i="2"/>
  <c r="E2436" i="2"/>
  <c r="C1990" i="2"/>
  <c r="E2322" i="2"/>
  <c r="B1892" i="2"/>
  <c r="E1983" i="2"/>
  <c r="D2162" i="2"/>
  <c r="B1978" i="2"/>
  <c r="F2331" i="2"/>
  <c r="D2239" i="2"/>
  <c r="E2481" i="2"/>
  <c r="B2425" i="2"/>
  <c r="E2479" i="2"/>
  <c r="F2229" i="2"/>
  <c r="E2295" i="2"/>
  <c r="C2260" i="2"/>
  <c r="C2282" i="2"/>
  <c r="B2049" i="2"/>
  <c r="E2256" i="2"/>
  <c r="C2113" i="2"/>
  <c r="D2428" i="2"/>
  <c r="D2432" i="2"/>
  <c r="F2361" i="2"/>
  <c r="D2323" i="2"/>
  <c r="F2227" i="2"/>
  <c r="C2360" i="2"/>
  <c r="F2404" i="2"/>
  <c r="B2433" i="2"/>
  <c r="D2167" i="2"/>
  <c r="E2405" i="2"/>
  <c r="B2108" i="2"/>
  <c r="B2201" i="2"/>
  <c r="C2441" i="2"/>
  <c r="D2084" i="2"/>
  <c r="B2361" i="2"/>
  <c r="C2388" i="2"/>
  <c r="F2478" i="2"/>
  <c r="C2450" i="2"/>
  <c r="B2299" i="2"/>
  <c r="D2209" i="2"/>
  <c r="E1960" i="2"/>
  <c r="F2292" i="2"/>
  <c r="B2438" i="2"/>
  <c r="E2050" i="2"/>
  <c r="F2075" i="2"/>
  <c r="D2500" i="2"/>
  <c r="D2153" i="2"/>
  <c r="D2207" i="2"/>
  <c r="B2406" i="2"/>
  <c r="B2471" i="2"/>
  <c r="D2341" i="2"/>
  <c r="E2258" i="2"/>
  <c r="B2338" i="2"/>
  <c r="E2490" i="2"/>
  <c r="C2490" i="2"/>
  <c r="C2320" i="2"/>
  <c r="E2206" i="2"/>
  <c r="F2282" i="2"/>
  <c r="B2087" i="2"/>
  <c r="F2206" i="2"/>
  <c r="F2398" i="2"/>
  <c r="E2185" i="2"/>
  <c r="B2114" i="2"/>
  <c r="B2246" i="2"/>
  <c r="E2448" i="2"/>
  <c r="D1740" i="2"/>
  <c r="B2329" i="2"/>
  <c r="B2153" i="2"/>
  <c r="F2337" i="2"/>
  <c r="E2357" i="2"/>
  <c r="D2419" i="2"/>
  <c r="E2513" i="2"/>
  <c r="C2031" i="2"/>
  <c r="B2162" i="2"/>
  <c r="D2253" i="2"/>
  <c r="F2200" i="2"/>
  <c r="F2490" i="2"/>
  <c r="D2315" i="2"/>
  <c r="C2415" i="2"/>
  <c r="E2285" i="2"/>
  <c r="C2220" i="2"/>
  <c r="B2391" i="2"/>
  <c r="F2391" i="2"/>
  <c r="D2291" i="2"/>
  <c r="D2212" i="2"/>
  <c r="F2352" i="2"/>
  <c r="F2177" i="2"/>
  <c r="D2164" i="2"/>
  <c r="D2195" i="2"/>
  <c r="D2448" i="2"/>
  <c r="D2328" i="2"/>
  <c r="F1937" i="2"/>
  <c r="B2178" i="2"/>
  <c r="C1998" i="2"/>
  <c r="E1923" i="2"/>
  <c r="E2488" i="2"/>
  <c r="E2344" i="2"/>
  <c r="B2237" i="2"/>
  <c r="C2099" i="2"/>
  <c r="F2464" i="2"/>
  <c r="C2241" i="2"/>
  <c r="B2496" i="2"/>
  <c r="D2128" i="2"/>
  <c r="E2363" i="2"/>
  <c r="C2215" i="2"/>
  <c r="F2330" i="2"/>
  <c r="C1876" i="2"/>
  <c r="F2514" i="2"/>
  <c r="D1957" i="2"/>
  <c r="C2412" i="2"/>
  <c r="E2004" i="2"/>
  <c r="F2212" i="2"/>
  <c r="B2508" i="2"/>
  <c r="B2429" i="2"/>
  <c r="E2418" i="2"/>
  <c r="B2321" i="2"/>
  <c r="F2383" i="2"/>
  <c r="F2502" i="2"/>
  <c r="F2073" i="2"/>
  <c r="B2420" i="2"/>
  <c r="E2016" i="2"/>
  <c r="E2499" i="2"/>
  <c r="E1727" i="2"/>
  <c r="B2270" i="2"/>
  <c r="B2248" i="2"/>
  <c r="E2454" i="2"/>
  <c r="B2320" i="2"/>
  <c r="C2418" i="2"/>
  <c r="C2376" i="2"/>
  <c r="E2216" i="2"/>
  <c r="C2477" i="2"/>
  <c r="E2423" i="2"/>
  <c r="C2147" i="2"/>
  <c r="F2052" i="2"/>
  <c r="E2186" i="2"/>
  <c r="D1836" i="2"/>
  <c r="D2217" i="2"/>
  <c r="E2389" i="2"/>
  <c r="F2070" i="2"/>
  <c r="D2420" i="2"/>
  <c r="D2190" i="2"/>
  <c r="E2382" i="2"/>
  <c r="D2313" i="2"/>
  <c r="E2340" i="2"/>
  <c r="E2097" i="2"/>
  <c r="B2497" i="2"/>
  <c r="F2167" i="2"/>
  <c r="F2287" i="2"/>
  <c r="E2342" i="2"/>
  <c r="D2501" i="2"/>
  <c r="D2015" i="2"/>
  <c r="B2300" i="2"/>
  <c r="F1999" i="2"/>
  <c r="E2473" i="2"/>
  <c r="B2484" i="2"/>
  <c r="D2193" i="2"/>
  <c r="C2478" i="2"/>
  <c r="D2363" i="2"/>
  <c r="B2371" i="2"/>
  <c r="C2196" i="2"/>
  <c r="B2314" i="2"/>
  <c r="F2357" i="2"/>
  <c r="C2134" i="2"/>
  <c r="E2311" i="2"/>
  <c r="F2214" i="2"/>
  <c r="D2497" i="2"/>
  <c r="E2440" i="2"/>
  <c r="F2494" i="2"/>
  <c r="D2411" i="2"/>
  <c r="F2436" i="2"/>
  <c r="F2385" i="2"/>
  <c r="C1951" i="2"/>
  <c r="C2225" i="2"/>
  <c r="F2306" i="2"/>
  <c r="F2243" i="2"/>
  <c r="B2264" i="2"/>
  <c r="B2061" i="2"/>
  <c r="F2432" i="2"/>
  <c r="B2512" i="2"/>
  <c r="F2466" i="2"/>
  <c r="B2488" i="2"/>
  <c r="C2460" i="2"/>
  <c r="B2415" i="2"/>
  <c r="F2019" i="2"/>
  <c r="B2447" i="2"/>
  <c r="D2375" i="2"/>
  <c r="B2137" i="2"/>
  <c r="F2302" i="2"/>
  <c r="E2506" i="2"/>
  <c r="E2159" i="2"/>
  <c r="B2400" i="2"/>
  <c r="F2249" i="2"/>
  <c r="D1969" i="2"/>
  <c r="C2350" i="2"/>
  <c r="E2358" i="2"/>
  <c r="F2208" i="2"/>
  <c r="C2392" i="2"/>
  <c r="E2349" i="2"/>
  <c r="C2426" i="2"/>
  <c r="E2331" i="2"/>
  <c r="C2153" i="2"/>
  <c r="D2297" i="2"/>
  <c r="B2205" i="2"/>
  <c r="E2230" i="2"/>
  <c r="E2204" i="2"/>
  <c r="C2467" i="2"/>
  <c r="E2362" i="2"/>
  <c r="F2435" i="2"/>
  <c r="B2346" i="2"/>
  <c r="C2479" i="2"/>
  <c r="E2326" i="2"/>
  <c r="E2494" i="2"/>
  <c r="B2403" i="2"/>
  <c r="E2282" i="2"/>
  <c r="C2409" i="2"/>
  <c r="F1952" i="2"/>
  <c r="F1972" i="2"/>
  <c r="C2340" i="2"/>
  <c r="F2289" i="2"/>
  <c r="D1937" i="2"/>
  <c r="E2062" i="2"/>
  <c r="E2386" i="2"/>
  <c r="D2113" i="2"/>
  <c r="C2086" i="2"/>
  <c r="D2296" i="2"/>
  <c r="C2369" i="2"/>
  <c r="F2468" i="2"/>
  <c r="C2064" i="2"/>
  <c r="F2400" i="2"/>
  <c r="D2325" i="2"/>
  <c r="F2258" i="2"/>
  <c r="B1996" i="2"/>
  <c r="E2092" i="2"/>
  <c r="B2144" i="2"/>
  <c r="F2223" i="2"/>
  <c r="F2263" i="2"/>
  <c r="C2498" i="2"/>
  <c r="F2242" i="2"/>
  <c r="B2296" i="2"/>
  <c r="C2265" i="2"/>
  <c r="C2191" i="2"/>
  <c r="E2493" i="2"/>
  <c r="E2280" i="2"/>
  <c r="F2307" i="2"/>
  <c r="D2460" i="2"/>
  <c r="D2002" i="2"/>
  <c r="D2230" i="2"/>
  <c r="C1962" i="2"/>
  <c r="F2175" i="2"/>
  <c r="D2408" i="2"/>
  <c r="E2399" i="2"/>
  <c r="D2125" i="2"/>
  <c r="F2247" i="2"/>
  <c r="C2162" i="2"/>
  <c r="E2396" i="2"/>
  <c r="D2376" i="2"/>
  <c r="E2163" i="2"/>
  <c r="E1333" i="2"/>
  <c r="D2486" i="2"/>
  <c r="C1296" i="2"/>
  <c r="F1898" i="2"/>
  <c r="F2344" i="2"/>
  <c r="E2178" i="2"/>
  <c r="C2354" i="2"/>
  <c r="B2196" i="2"/>
  <c r="D2410" i="2"/>
  <c r="F2266" i="2"/>
  <c r="D2336" i="2"/>
  <c r="E2441" i="2"/>
  <c r="C2149" i="2"/>
  <c r="D2287" i="2"/>
  <c r="D2105" i="2"/>
  <c r="C2364" i="2"/>
  <c r="D2342" i="2"/>
  <c r="C2283" i="2"/>
  <c r="F2417" i="2"/>
  <c r="C2277" i="2"/>
  <c r="F2392" i="2"/>
  <c r="D2225" i="2"/>
  <c r="D2433" i="2"/>
  <c r="E2323" i="2"/>
  <c r="F1958" i="2"/>
  <c r="E2509" i="2"/>
  <c r="D2089" i="2"/>
  <c r="E2179" i="2"/>
  <c r="B2090" i="2"/>
  <c r="F2397" i="2"/>
  <c r="E2428" i="2"/>
  <c r="E2391" i="2"/>
  <c r="F2496" i="2"/>
  <c r="D2368" i="2"/>
  <c r="D2463" i="2"/>
  <c r="D2443" i="2"/>
  <c r="B2319" i="2"/>
  <c r="D2354" i="2"/>
  <c r="E2336" i="2"/>
  <c r="F2390" i="2"/>
  <c r="D2294" i="2"/>
  <c r="B2424" i="2"/>
  <c r="B2478" i="2"/>
  <c r="E2245" i="2"/>
  <c r="D2359" i="2"/>
  <c r="D2462" i="2"/>
  <c r="C2159" i="2"/>
  <c r="B2089" i="2"/>
  <c r="B2157" i="2"/>
  <c r="D2177" i="2"/>
  <c r="B2149" i="2"/>
  <c r="D2399" i="2"/>
  <c r="B2250" i="2"/>
  <c r="D2480" i="2"/>
  <c r="F2363" i="2"/>
  <c r="E2412" i="2"/>
  <c r="C1979" i="2"/>
  <c r="D2142" i="2"/>
  <c r="F2274" i="2"/>
  <c r="D2264" i="2"/>
  <c r="D2201" i="2"/>
  <c r="B2466" i="2"/>
  <c r="F2369" i="2"/>
  <c r="C2235" i="2"/>
  <c r="E2208" i="2"/>
  <c r="F2505" i="2"/>
  <c r="F2283" i="2"/>
  <c r="F2197" i="2"/>
  <c r="F2480" i="2"/>
  <c r="D2285" i="2"/>
  <c r="E2364" i="2"/>
  <c r="F2418" i="2"/>
  <c r="E2475" i="2"/>
  <c r="C2459" i="2"/>
  <c r="E2209" i="2"/>
  <c r="E2496" i="2"/>
  <c r="D2489" i="2"/>
  <c r="F2121" i="2"/>
  <c r="E2417" i="2"/>
  <c r="F2319" i="2"/>
  <c r="D2345" i="2"/>
  <c r="D2007" i="2"/>
  <c r="C2421" i="2"/>
  <c r="B2354" i="2"/>
  <c r="C2430" i="2"/>
  <c r="F2069" i="2"/>
  <c r="B1936" i="2"/>
  <c r="B1856" i="2"/>
  <c r="E2234" i="2"/>
  <c r="F2173" i="2"/>
  <c r="B2232" i="2"/>
  <c r="C2424" i="2"/>
  <c r="B2136" i="2"/>
  <c r="E2334" i="2"/>
  <c r="C2416" i="2"/>
  <c r="F2245" i="2"/>
  <c r="F2462" i="2"/>
  <c r="D2472" i="2"/>
  <c r="B2417" i="2"/>
  <c r="C2181" i="2"/>
  <c r="C2391" i="2"/>
  <c r="D2232" i="2"/>
  <c r="C1991" i="2"/>
  <c r="C2239" i="2"/>
  <c r="C1994" i="2"/>
  <c r="B2117" i="2"/>
  <c r="E2236" i="2"/>
  <c r="F2299" i="2"/>
  <c r="C1926" i="2"/>
  <c r="D2191" i="2"/>
  <c r="F2317" i="2"/>
  <c r="D2242" i="2"/>
  <c r="F2336" i="2"/>
  <c r="B2124" i="2"/>
  <c r="B2130" i="2"/>
  <c r="E2155" i="2"/>
  <c r="D2041" i="2"/>
  <c r="E2167" i="2"/>
  <c r="E2086" i="2"/>
  <c r="F2452" i="2"/>
  <c r="B2173" i="2"/>
  <c r="C2252" i="2"/>
  <c r="D2343" i="2"/>
  <c r="B1894" i="2"/>
  <c r="B2316" i="2"/>
  <c r="D2427" i="2"/>
  <c r="C2331" i="2"/>
  <c r="F2261" i="2"/>
  <c r="D1803" i="2"/>
  <c r="D2483" i="2"/>
  <c r="C2104" i="2"/>
  <c r="D2440" i="2"/>
  <c r="C2336" i="2"/>
  <c r="C1862" i="2"/>
  <c r="B2445" i="2"/>
  <c r="D2367" i="2"/>
  <c r="F2192" i="2"/>
  <c r="F2280" i="2"/>
  <c r="E2380" i="2"/>
  <c r="B2183" i="2"/>
  <c r="D2289" i="2"/>
  <c r="D2260" i="2"/>
  <c r="D2169" i="2"/>
  <c r="B2227" i="2"/>
  <c r="E2262" i="2"/>
  <c r="C2495" i="2"/>
  <c r="D2337" i="2"/>
  <c r="E2387" i="2"/>
  <c r="C2169" i="2"/>
  <c r="C2175" i="2"/>
  <c r="F2091" i="2"/>
  <c r="B2460" i="2"/>
  <c r="B2386" i="2"/>
  <c r="E2505" i="2"/>
  <c r="D2288" i="2"/>
  <c r="B2388" i="2"/>
  <c r="C2259" i="2"/>
  <c r="D2226" i="2"/>
  <c r="C2194" i="2"/>
  <c r="C2449" i="2"/>
  <c r="B2443" i="2"/>
  <c r="B2407" i="2"/>
  <c r="C2484" i="2"/>
  <c r="E2419" i="2"/>
  <c r="C2040" i="2"/>
  <c r="C2116" i="2"/>
  <c r="B2154" i="2"/>
  <c r="C2285" i="2"/>
  <c r="D1951" i="2"/>
  <c r="B2190" i="2"/>
  <c r="F2291" i="2"/>
  <c r="B2012" i="2"/>
  <c r="C2489" i="2"/>
  <c r="F2010" i="2"/>
  <c r="E2299" i="2"/>
  <c r="E1962" i="2"/>
  <c r="C2359" i="2"/>
  <c r="F2107" i="2"/>
  <c r="F2158" i="2"/>
  <c r="C2105" i="2"/>
  <c r="B2349" i="2"/>
  <c r="F2220" i="2"/>
  <c r="E2318" i="2"/>
  <c r="B2323" i="2"/>
  <c r="F2318" i="2"/>
  <c r="F2424" i="2"/>
  <c r="C2361" i="2"/>
  <c r="B2472" i="2"/>
  <c r="B2194" i="2"/>
  <c r="F2147" i="2"/>
  <c r="D2275" i="2"/>
  <c r="D2364" i="2"/>
  <c r="C2448" i="2"/>
  <c r="F2006" i="2"/>
  <c r="C2327" i="2"/>
  <c r="C1834" i="2"/>
  <c r="E2243" i="2"/>
  <c r="D2214" i="2"/>
  <c r="B2475" i="2"/>
  <c r="B2217" i="2"/>
  <c r="C2117" i="2"/>
  <c r="E2337" i="2"/>
  <c r="F2493" i="2"/>
  <c r="F2074" i="2"/>
  <c r="F2131" i="2"/>
  <c r="E2361" i="2"/>
  <c r="B2458" i="2"/>
  <c r="F2316" i="2"/>
  <c r="F1993" i="2"/>
  <c r="B2362" i="2"/>
  <c r="D1972" i="2"/>
  <c r="F2297" i="2"/>
  <c r="E2492" i="2"/>
  <c r="D2219" i="2"/>
  <c r="C2141" i="2"/>
  <c r="F1941" i="2"/>
  <c r="F2447" i="2"/>
  <c r="E2229" i="2"/>
  <c r="E2307" i="2"/>
  <c r="C2106" i="2"/>
  <c r="F2513" i="2"/>
  <c r="F2338" i="2"/>
  <c r="E1882" i="2"/>
  <c r="D2393" i="2"/>
  <c r="E2466" i="2"/>
  <c r="C1878" i="2"/>
  <c r="B2341" i="2"/>
  <c r="F2032" i="2"/>
  <c r="C2513" i="2"/>
  <c r="D1944" i="2"/>
  <c r="D1959" i="2"/>
  <c r="D2361" i="2"/>
  <c r="F2241" i="2"/>
  <c r="B2430" i="2"/>
  <c r="B2368" i="2"/>
  <c r="B2492" i="2"/>
  <c r="B2402" i="2"/>
  <c r="B2462" i="2"/>
  <c r="C2022" i="2"/>
  <c r="C2034" i="2"/>
  <c r="F2382" i="2"/>
  <c r="E2398" i="2"/>
  <c r="D2188" i="2"/>
  <c r="D1926" i="2"/>
  <c r="C2342" i="2"/>
  <c r="E2249" i="2"/>
  <c r="D2348" i="2"/>
  <c r="E2397" i="2"/>
  <c r="C2131" i="2"/>
  <c r="C2501" i="2"/>
  <c r="C2202" i="2"/>
  <c r="F2187" i="2"/>
  <c r="E2328" i="2"/>
  <c r="B1768" i="2"/>
  <c r="B2416" i="2"/>
  <c r="B1841" i="2"/>
  <c r="D2314" i="2"/>
  <c r="F2488" i="2"/>
  <c r="C2185" i="2"/>
  <c r="F2486" i="2"/>
  <c r="E2374" i="2"/>
  <c r="F2149" i="2"/>
  <c r="C1906" i="2"/>
  <c r="C2151" i="2"/>
  <c r="D2491" i="2"/>
  <c r="C2319" i="2"/>
  <c r="D2409" i="2"/>
  <c r="B2283" i="2"/>
  <c r="B2340" i="2"/>
  <c r="C2308" i="2"/>
  <c r="D2496" i="2"/>
  <c r="D2154" i="2"/>
  <c r="C2119" i="2"/>
  <c r="C2481" i="2"/>
  <c r="E2144" i="2"/>
  <c r="D1784" i="2"/>
  <c r="C2041" i="2"/>
  <c r="C2065" i="2"/>
  <c r="B2355" i="2"/>
  <c r="B2267" i="2"/>
  <c r="D2506" i="2"/>
  <c r="D1897" i="2"/>
  <c r="D2507" i="2"/>
  <c r="C1944" i="2"/>
  <c r="C2007" i="2"/>
  <c r="B2028" i="2"/>
  <c r="C2179" i="2"/>
  <c r="D2414" i="2"/>
  <c r="B2394" i="2"/>
  <c r="B2335" i="2"/>
  <c r="C2045" i="2"/>
  <c r="F2304" i="2"/>
  <c r="E2168" i="2"/>
  <c r="E1950" i="2"/>
  <c r="F2448" i="2"/>
  <c r="F1977" i="2"/>
  <c r="E2341" i="2"/>
  <c r="D2298" i="2"/>
  <c r="B1968" i="2"/>
  <c r="D2176" i="2"/>
  <c r="D2119" i="2"/>
  <c r="B2442" i="2"/>
  <c r="C2133" i="2"/>
  <c r="C2301" i="2"/>
  <c r="C2279" i="2"/>
  <c r="F2323" i="2"/>
  <c r="D2112" i="2"/>
  <c r="C2436" i="2"/>
  <c r="E2345" i="2"/>
  <c r="D2300" i="2"/>
  <c r="F2345" i="2"/>
  <c r="E2134" i="2"/>
  <c r="F2195" i="2"/>
  <c r="E2511" i="2"/>
  <c r="A1" i="2"/>
  <c r="D2271" i="2"/>
  <c r="F1954" i="2"/>
  <c r="F2231" i="2"/>
  <c r="D2033" i="2"/>
  <c r="C2339" i="2"/>
  <c r="B2376" i="2"/>
  <c r="F2372" i="2"/>
  <c r="C2295" i="2"/>
  <c r="E1926" i="2"/>
  <c r="C2453" i="2"/>
  <c r="C2233" i="2"/>
  <c r="B2235" i="2"/>
  <c r="E2240" i="2"/>
  <c r="D2389" i="2"/>
  <c r="B2359" i="2"/>
  <c r="C2432" i="2"/>
  <c r="E1931" i="2"/>
  <c r="C2420" i="2"/>
  <c r="F2183" i="2"/>
  <c r="D2295" i="2"/>
  <c r="E2303" i="2"/>
  <c r="C1914" i="2"/>
  <c r="B2506" i="2"/>
  <c r="E2040" i="2"/>
  <c r="E2218" i="2"/>
  <c r="C2287" i="2"/>
  <c r="C2357" i="2"/>
  <c r="F2112" i="2"/>
  <c r="D2476" i="2"/>
  <c r="C2264" i="2"/>
  <c r="F2477" i="2"/>
  <c r="C2160" i="2"/>
  <c r="F1926" i="2"/>
  <c r="D2344" i="2"/>
  <c r="E2045" i="2"/>
  <c r="F2451" i="2"/>
  <c r="B2307" i="2"/>
  <c r="B2053" i="2"/>
  <c r="F2303" i="2"/>
  <c r="F2268" i="2"/>
  <c r="B1876" i="2"/>
  <c r="B2350" i="2"/>
  <c r="B2287" i="2"/>
  <c r="D2331" i="2"/>
  <c r="C2148" i="2"/>
  <c r="F2165" i="2"/>
  <c r="F2226" i="2"/>
  <c r="B2223" i="2"/>
  <c r="C2355" i="2"/>
  <c r="B1955" i="2"/>
  <c r="C2502" i="2"/>
  <c r="E1812" i="2"/>
  <c r="F1886" i="2"/>
  <c r="D2437" i="2"/>
  <c r="E2500" i="2"/>
  <c r="B2507" i="2"/>
  <c r="D2369" i="2"/>
  <c r="D2243" i="2"/>
  <c r="E2254" i="2"/>
  <c r="B2048" i="2"/>
  <c r="C2425" i="2"/>
  <c r="B2413" i="2"/>
  <c r="E2508" i="2"/>
  <c r="F2412" i="2"/>
  <c r="C2356" i="2"/>
  <c r="E2360" i="2"/>
  <c r="B2411" i="2"/>
  <c r="F2024" i="2"/>
  <c r="E2265" i="2"/>
  <c r="D2510" i="2"/>
  <c r="E2273" i="2"/>
  <c r="E2125" i="2"/>
  <c r="B2463" i="2"/>
  <c r="B1911" i="2"/>
  <c r="D2013" i="2"/>
  <c r="C2390" i="2"/>
  <c r="E2122" i="2"/>
  <c r="B1932" i="2"/>
  <c r="E2464" i="2"/>
  <c r="D2227" i="2"/>
  <c r="E2306" i="2"/>
  <c r="B2228" i="2"/>
  <c r="B1795" i="2"/>
  <c r="C2293" i="2"/>
  <c r="E2514" i="2"/>
  <c r="B2016" i="2"/>
  <c r="D2220" i="2"/>
  <c r="F2350" i="2"/>
  <c r="E2227" i="2"/>
  <c r="D2372" i="2"/>
  <c r="F2434" i="2"/>
  <c r="B2456" i="2"/>
  <c r="C2266" i="2"/>
  <c r="D2196" i="2"/>
  <c r="B2339" i="2"/>
  <c r="B2072" i="2"/>
  <c r="F2380" i="2"/>
  <c r="F2326" i="2"/>
  <c r="E2338" i="2"/>
  <c r="F2343" i="2"/>
  <c r="F2185" i="2"/>
  <c r="F2495" i="2"/>
  <c r="E2353" i="2"/>
  <c r="B2254" i="2"/>
  <c r="E2388" i="2"/>
  <c r="F2481" i="2"/>
  <c r="F2461" i="2"/>
  <c r="E1801" i="2"/>
  <c r="F1489" i="2"/>
  <c r="C1288" i="2"/>
  <c r="E1903" i="2"/>
  <c r="C1252" i="2"/>
  <c r="E2121" i="2"/>
  <c r="E2022" i="2"/>
  <c r="C2152" i="2"/>
  <c r="B2001" i="2"/>
  <c r="C1978" i="2"/>
  <c r="E2087" i="2"/>
  <c r="E2150" i="2"/>
  <c r="E2196" i="2"/>
  <c r="F2342" i="2"/>
  <c r="C2199" i="2"/>
  <c r="E1205" i="2"/>
  <c r="C1168" i="2"/>
  <c r="B1049" i="2"/>
  <c r="E2485" i="2"/>
  <c r="D2250" i="2"/>
  <c r="C2389" i="2"/>
  <c r="C2316" i="2"/>
  <c r="E2080" i="2"/>
  <c r="E2142" i="2"/>
  <c r="F1729" i="2"/>
  <c r="C2384" i="2"/>
  <c r="F2487" i="2"/>
  <c r="E2110" i="2"/>
  <c r="C1993" i="2"/>
  <c r="C2240" i="2"/>
  <c r="F2463" i="2"/>
  <c r="C2127" i="2"/>
  <c r="D1905" i="2"/>
  <c r="D2247" i="2"/>
  <c r="B2473" i="2"/>
  <c r="F2230" i="2"/>
  <c r="E2200" i="2"/>
  <c r="E2390" i="2"/>
  <c r="C2256" i="2"/>
  <c r="D2091" i="2"/>
  <c r="E1907" i="2"/>
  <c r="B2514" i="2"/>
  <c r="F1888" i="2"/>
  <c r="C2011" i="2"/>
  <c r="F2428" i="2"/>
  <c r="E2359" i="2"/>
  <c r="C2290" i="2"/>
  <c r="E2286" i="2"/>
  <c r="B1986" i="2"/>
  <c r="B1402" i="2"/>
  <c r="B1989" i="2"/>
  <c r="D2424" i="2"/>
  <c r="B2097" i="2"/>
  <c r="B2273" i="2"/>
  <c r="C2483" i="2"/>
  <c r="E2156" i="2"/>
  <c r="E2453" i="2"/>
  <c r="B2139" i="2"/>
  <c r="C2306" i="2"/>
  <c r="F2388" i="2"/>
  <c r="F2433" i="2"/>
  <c r="C2084" i="2"/>
  <c r="E2153" i="2"/>
  <c r="C2281" i="2"/>
  <c r="B1919" i="2"/>
  <c r="F2207" i="2"/>
  <c r="F2484" i="2"/>
  <c r="F2322" i="2"/>
  <c r="B2409" i="2"/>
  <c r="F2431" i="2"/>
  <c r="C2491" i="2"/>
  <c r="B2070" i="2"/>
  <c r="E2425" i="2"/>
  <c r="F1808" i="2"/>
  <c r="C2219" i="2"/>
  <c r="C2053" i="2"/>
  <c r="D2360" i="2"/>
  <c r="B2147" i="2"/>
  <c r="D2441" i="2"/>
  <c r="F2151" i="2"/>
  <c r="B2408" i="2"/>
  <c r="F1915" i="2"/>
  <c r="C2351" i="2"/>
  <c r="C2130" i="2"/>
  <c r="B2500" i="2"/>
  <c r="B2255" i="2"/>
  <c r="F2257" i="2"/>
  <c r="C2403" i="2"/>
  <c r="E2317" i="2"/>
  <c r="D2385" i="2"/>
  <c r="F2506" i="2"/>
  <c r="B2140" i="2"/>
  <c r="E2320" i="2"/>
  <c r="D2255" i="2"/>
  <c r="F2364" i="2"/>
  <c r="E2476" i="2"/>
  <c r="C1913" i="2"/>
  <c r="D2017" i="2"/>
  <c r="C2480" i="2"/>
  <c r="E2414" i="2"/>
  <c r="E2489" i="2"/>
  <c r="F2441" i="2"/>
  <c r="C2135" i="2"/>
  <c r="B1953" i="2"/>
  <c r="C2089" i="2"/>
  <c r="E2392" i="2"/>
  <c r="E2225" i="2"/>
  <c r="E2247" i="2"/>
  <c r="D2511" i="2"/>
  <c r="D2502" i="2"/>
  <c r="E2154" i="2"/>
  <c r="D2277" i="2"/>
  <c r="C2492" i="2"/>
  <c r="F2071" i="2"/>
  <c r="B2274" i="2"/>
  <c r="B2241" i="2"/>
  <c r="E2180" i="2"/>
  <c r="B2513" i="2"/>
  <c r="D1866" i="2"/>
  <c r="C2452" i="2"/>
  <c r="F2198" i="2"/>
  <c r="B1859" i="2"/>
  <c r="F2001" i="2"/>
  <c r="B1854" i="2"/>
  <c r="F1840" i="2"/>
  <c r="F2255" i="2"/>
  <c r="D2487" i="2"/>
  <c r="D2319" i="2"/>
  <c r="E2070" i="2"/>
  <c r="D2329" i="2"/>
  <c r="C2334" i="2"/>
  <c r="D2180" i="2"/>
  <c r="F1682" i="2"/>
  <c r="E2381" i="2"/>
  <c r="E2302" i="2"/>
  <c r="D2054" i="2"/>
  <c r="F2405" i="2"/>
  <c r="C1981" i="2"/>
  <c r="B2476" i="2"/>
  <c r="D2231" i="2"/>
  <c r="D1991" i="2"/>
  <c r="B2229" i="2"/>
  <c r="F2194" i="2"/>
  <c r="C1858" i="2"/>
  <c r="C1930" i="2"/>
  <c r="F1646" i="2"/>
  <c r="F2077" i="2"/>
  <c r="B1942" i="2"/>
  <c r="E2420" i="2"/>
  <c r="E1828" i="2"/>
  <c r="D1930" i="2"/>
  <c r="C1995" i="2"/>
  <c r="C2358" i="2"/>
  <c r="E2407" i="2"/>
  <c r="F2138" i="2"/>
  <c r="E2253" i="2"/>
  <c r="C2473" i="2"/>
  <c r="E2128" i="2"/>
  <c r="D1992" i="2"/>
  <c r="D1847" i="2"/>
  <c r="F2161" i="2"/>
  <c r="C2303" i="2"/>
  <c r="B1956" i="2"/>
  <c r="C2512" i="2"/>
  <c r="D1983" i="2"/>
  <c r="D2057" i="2"/>
  <c r="E1770" i="2"/>
  <c r="F2445" i="2"/>
  <c r="B2253" i="2"/>
  <c r="F2038" i="2"/>
  <c r="F2179" i="2"/>
  <c r="E1733" i="2"/>
  <c r="F2043" i="2"/>
  <c r="D2117" i="2"/>
  <c r="D2267" i="2"/>
  <c r="F2102" i="2"/>
  <c r="B2164" i="2"/>
  <c r="E2269" i="2"/>
  <c r="C2222" i="2"/>
  <c r="C1752" i="2"/>
  <c r="C2171" i="2"/>
  <c r="C2174" i="2"/>
  <c r="B1574" i="2"/>
  <c r="B2305" i="2"/>
  <c r="C2401" i="2"/>
  <c r="F2420" i="2"/>
  <c r="E2207" i="2"/>
  <c r="B2470" i="2"/>
  <c r="B2026" i="2"/>
  <c r="B2509" i="2"/>
  <c r="D2316" i="2"/>
  <c r="F2508" i="2"/>
  <c r="F2393" i="2"/>
  <c r="B2330" i="2"/>
  <c r="E2244" i="2"/>
  <c r="C2156" i="2"/>
  <c r="D1955" i="2"/>
  <c r="C2208" i="2"/>
  <c r="F1862" i="2"/>
  <c r="C1954" i="2"/>
  <c r="F1889" i="2"/>
  <c r="D2318" i="2"/>
  <c r="E2211" i="2"/>
  <c r="C2469" i="2"/>
  <c r="D2306" i="2"/>
  <c r="C2052" i="2"/>
  <c r="E2421" i="2"/>
  <c r="E2463" i="2"/>
  <c r="C2294" i="2"/>
  <c r="F2262" i="2"/>
  <c r="C2365" i="2"/>
  <c r="C2454" i="2"/>
  <c r="D2378" i="2"/>
  <c r="F2295" i="2"/>
  <c r="B2324" i="2"/>
  <c r="F2470" i="2"/>
  <c r="E2148" i="2"/>
  <c r="F2504" i="2"/>
  <c r="E2325" i="2"/>
  <c r="D2495" i="2"/>
  <c r="E2035" i="2"/>
  <c r="D2327" i="2"/>
  <c r="B2168" i="2"/>
  <c r="B2348" i="2"/>
  <c r="E2139" i="2"/>
  <c r="D2064" i="2"/>
  <c r="E2413" i="2"/>
  <c r="C2398" i="2"/>
  <c r="B2453" i="2"/>
  <c r="F2472" i="2"/>
  <c r="C2187" i="2"/>
  <c r="D2172" i="2"/>
  <c r="B2385" i="2"/>
  <c r="E2429" i="2"/>
  <c r="D2505" i="2"/>
  <c r="F2298" i="2"/>
  <c r="D2229" i="2"/>
  <c r="F2483" i="2"/>
  <c r="C2093" i="2"/>
  <c r="E1833" i="2"/>
  <c r="E2324" i="2"/>
  <c r="F1865" i="2"/>
  <c r="E2346" i="2"/>
  <c r="C1908" i="2"/>
  <c r="E1755" i="2"/>
  <c r="E1695" i="2"/>
  <c r="E1576" i="2"/>
  <c r="F2009" i="2"/>
  <c r="F1960" i="2"/>
  <c r="B2343" i="2"/>
  <c r="F2127" i="2"/>
  <c r="F1879" i="2"/>
  <c r="F2270" i="2"/>
  <c r="D1977" i="2"/>
  <c r="C2323" i="2"/>
  <c r="B2461" i="2"/>
  <c r="D2338" i="2"/>
  <c r="F2111" i="2"/>
  <c r="E2487" i="2"/>
  <c r="E2434" i="2"/>
  <c r="F2375" i="2"/>
  <c r="E2319" i="2"/>
  <c r="C2315" i="2"/>
  <c r="C2506" i="2"/>
  <c r="B2106" i="2"/>
  <c r="B2151" i="2"/>
  <c r="B2165" i="2"/>
  <c r="C2372" i="2"/>
  <c r="E1705" i="2"/>
  <c r="B2020" i="2"/>
  <c r="B2006" i="2"/>
  <c r="F2126" i="2"/>
  <c r="D2047" i="2"/>
  <c r="D1973" i="2"/>
  <c r="F2027" i="2"/>
  <c r="C2071" i="2"/>
  <c r="E2158" i="2"/>
  <c r="E1834" i="2"/>
  <c r="E2188" i="2"/>
  <c r="C2413" i="2"/>
  <c r="B2452" i="2"/>
  <c r="F1984" i="2"/>
  <c r="E2192" i="2"/>
  <c r="B2360" i="2"/>
  <c r="F1995" i="2"/>
  <c r="E1921" i="2"/>
  <c r="E2237" i="2"/>
  <c r="E2348" i="2"/>
  <c r="C2082" i="2"/>
  <c r="E2272" i="2"/>
  <c r="E2222" i="2"/>
  <c r="C1847" i="2"/>
  <c r="F1665" i="2"/>
  <c r="C1774" i="2"/>
  <c r="F2308" i="2"/>
  <c r="C2018" i="2"/>
  <c r="F2244" i="2"/>
  <c r="E2316" i="2"/>
  <c r="F1874" i="2"/>
  <c r="D2352" i="2"/>
  <c r="B2155" i="2"/>
  <c r="F2422" i="2"/>
  <c r="F2275" i="2"/>
  <c r="E1668" i="2"/>
  <c r="F2446" i="2"/>
  <c r="C2128" i="2"/>
  <c r="E2446" i="2"/>
  <c r="D2299" i="2"/>
  <c r="C1501" i="2"/>
  <c r="E1919" i="2"/>
  <c r="E2120" i="2"/>
  <c r="B2286" i="2"/>
  <c r="F2440" i="2"/>
  <c r="E2202" i="2"/>
  <c r="E2402" i="2"/>
  <c r="F2498" i="2"/>
  <c r="C2393" i="2"/>
  <c r="C1868" i="2"/>
  <c r="C2137" i="2"/>
  <c r="B2410" i="2"/>
  <c r="C2405" i="2"/>
  <c r="E2450" i="2"/>
  <c r="F2276" i="2"/>
  <c r="E2132" i="2"/>
  <c r="E2255" i="2"/>
  <c r="B2414" i="2"/>
  <c r="F2457" i="2"/>
  <c r="D2241" i="2"/>
  <c r="D2509" i="2"/>
  <c r="B2378" i="2"/>
  <c r="E2378" i="2"/>
  <c r="B2396" i="2"/>
  <c r="D2351" i="2"/>
  <c r="C2255" i="2"/>
  <c r="E2471" i="2"/>
  <c r="E2477" i="2"/>
  <c r="E2217" i="2"/>
  <c r="F2092" i="2"/>
  <c r="F2166" i="2"/>
  <c r="B2304" i="2"/>
  <c r="B2449" i="2"/>
  <c r="E1803" i="2"/>
  <c r="D1927" i="2"/>
  <c r="B2431" i="2"/>
  <c r="F2335" i="2"/>
  <c r="C1894" i="2"/>
  <c r="F2429" i="2"/>
  <c r="C2161" i="2"/>
  <c r="E2102" i="2"/>
  <c r="C2238" i="2"/>
  <c r="D2309" i="2"/>
  <c r="F1978" i="2"/>
  <c r="B2412" i="2"/>
  <c r="F1825" i="2"/>
  <c r="B1815" i="2"/>
  <c r="B2312" i="2"/>
  <c r="E2198" i="2"/>
  <c r="F2254" i="2"/>
  <c r="E2114" i="2"/>
  <c r="E2403" i="2"/>
  <c r="E2068" i="2"/>
  <c r="D2186" i="2"/>
  <c r="C2275" i="2"/>
  <c r="E2366" i="2"/>
  <c r="B2160" i="2"/>
  <c r="D1993" i="2"/>
  <c r="F2500" i="2"/>
  <c r="D2058" i="2"/>
  <c r="B2093" i="2"/>
  <c r="C1986" i="2"/>
  <c r="B2069" i="2"/>
  <c r="D2159" i="2"/>
  <c r="D1867" i="2"/>
  <c r="B2220" i="2"/>
  <c r="D2178" i="2"/>
  <c r="C2234" i="2"/>
  <c r="E2015" i="2"/>
  <c r="E1999" i="2"/>
  <c r="D2459" i="2"/>
  <c r="B2195" i="2"/>
  <c r="B1895" i="2"/>
  <c r="B2002" i="2"/>
  <c r="F2384" i="2"/>
  <c r="B2180" i="2"/>
  <c r="C2210" i="2"/>
  <c r="C2464" i="2"/>
  <c r="F2011" i="2"/>
  <c r="B1918" i="2"/>
  <c r="B1586" i="2"/>
  <c r="C2428" i="2"/>
  <c r="C2410" i="2"/>
  <c r="D2445" i="2"/>
  <c r="E2504" i="2"/>
  <c r="F1686" i="2"/>
  <c r="F2036" i="2"/>
  <c r="F1562" i="2"/>
  <c r="D2256" i="2"/>
  <c r="E2512" i="2"/>
  <c r="C2322" i="2"/>
  <c r="E2393" i="2"/>
  <c r="E2298" i="2"/>
  <c r="E1759" i="2"/>
  <c r="C2273" i="2"/>
  <c r="B2489" i="2"/>
  <c r="B2382" i="2"/>
  <c r="D1877" i="2"/>
  <c r="C2103" i="2"/>
  <c r="E1703" i="2"/>
  <c r="F2358" i="2"/>
  <c r="B2211" i="2"/>
  <c r="C2044" i="2"/>
  <c r="D2311" i="2"/>
  <c r="F2334" i="2"/>
  <c r="F2416" i="2"/>
  <c r="B1984" i="2"/>
  <c r="B2135" i="2"/>
  <c r="E2355" i="2"/>
  <c r="D2087" i="2"/>
  <c r="F963" i="2"/>
  <c r="B2156" i="2"/>
  <c r="D2078" i="2"/>
  <c r="E2048" i="2"/>
  <c r="D2111" i="2"/>
  <c r="B2352" i="2"/>
  <c r="B2260" i="2"/>
  <c r="F2365" i="2"/>
  <c r="D2304" i="2"/>
  <c r="D2166" i="2"/>
  <c r="E2242" i="2"/>
  <c r="D2471" i="2"/>
  <c r="E2176" i="2"/>
  <c r="F2367" i="2"/>
  <c r="B1901" i="2"/>
  <c r="F2098" i="2"/>
  <c r="E2404" i="2"/>
  <c r="F2100" i="2"/>
  <c r="E2297" i="2"/>
  <c r="F1950" i="2"/>
  <c r="F1971" i="2"/>
  <c r="B2023" i="2"/>
  <c r="C2485" i="2"/>
  <c r="B2308" i="2"/>
  <c r="C2345" i="2"/>
  <c r="E2213" i="2"/>
  <c r="F2055" i="2"/>
  <c r="C2500" i="2"/>
  <c r="D2371" i="2"/>
  <c r="C2348" i="2"/>
  <c r="F2148" i="2"/>
  <c r="D2374" i="2"/>
  <c r="C2272" i="2"/>
  <c r="B2266" i="2"/>
  <c r="E2300" i="2"/>
  <c r="F2511" i="2"/>
  <c r="F2413" i="2"/>
  <c r="B2102" i="2"/>
  <c r="F2236" i="2"/>
  <c r="B2008" i="2"/>
  <c r="E2438" i="2"/>
  <c r="F1930" i="2"/>
  <c r="C2177" i="2"/>
  <c r="D2160" i="2"/>
  <c r="B2397" i="2"/>
  <c r="E2373" i="2"/>
  <c r="C2385" i="2"/>
  <c r="B2363" i="2"/>
  <c r="B2469" i="2"/>
  <c r="B2477" i="2"/>
  <c r="B2309" i="2"/>
  <c r="E2160" i="2"/>
  <c r="D2236" i="2"/>
  <c r="D2333" i="2"/>
  <c r="D2494" i="2"/>
  <c r="D2194" i="2"/>
  <c r="E2293" i="2"/>
  <c r="B1966" i="2"/>
  <c r="B1803" i="2"/>
  <c r="E1684" i="2"/>
  <c r="B2079" i="2"/>
  <c r="B2464" i="2"/>
  <c r="B2432" i="2"/>
  <c r="C2129" i="2"/>
  <c r="F1717" i="2"/>
  <c r="F2373" i="2"/>
  <c r="C2204" i="2"/>
  <c r="B2112" i="2"/>
  <c r="E1731" i="2"/>
  <c r="C2280" i="2"/>
  <c r="B1624" i="2"/>
  <c r="B2110" i="2"/>
  <c r="E1979" i="2"/>
  <c r="C2300" i="2"/>
  <c r="B1818" i="2"/>
  <c r="C1935" i="2"/>
  <c r="B2331" i="2"/>
  <c r="F2396" i="2"/>
  <c r="E2187" i="2"/>
  <c r="F2378" i="2"/>
  <c r="D2381" i="2"/>
  <c r="B2501" i="2"/>
  <c r="C2435" i="2"/>
  <c r="C2271" i="2"/>
  <c r="E2027" i="2"/>
  <c r="E2019" i="2"/>
  <c r="E1775" i="2"/>
  <c r="B2142" i="2"/>
  <c r="D2340" i="2"/>
  <c r="D2218" i="2"/>
  <c r="B2024" i="2"/>
  <c r="C2443" i="2"/>
  <c r="D1769" i="2"/>
  <c r="C2258" i="2"/>
  <c r="C1927" i="2"/>
  <c r="C2058" i="2"/>
  <c r="D1343" i="2"/>
  <c r="F2021" i="2"/>
  <c r="E1857" i="2"/>
  <c r="F2476" i="2"/>
  <c r="E1655" i="2"/>
  <c r="B2325" i="2"/>
  <c r="F2260" i="2"/>
  <c r="E2241" i="2"/>
  <c r="E1895" i="2"/>
  <c r="E2383" i="2"/>
  <c r="C1922" i="2"/>
  <c r="C2482" i="2"/>
  <c r="B2493" i="2"/>
  <c r="C2155" i="2"/>
  <c r="D2312" i="2"/>
  <c r="E2443" i="2"/>
  <c r="F2252" i="2"/>
  <c r="C2063" i="2"/>
  <c r="D2034" i="2"/>
  <c r="B2198" i="2"/>
  <c r="B2221" i="2"/>
  <c r="F2349" i="2"/>
  <c r="F2278" i="2"/>
  <c r="F2427" i="2"/>
  <c r="E2330" i="2"/>
  <c r="D1597" i="2"/>
  <c r="C2505" i="2"/>
  <c r="D1721" i="2"/>
  <c r="D2208" i="2"/>
  <c r="C2212" i="2"/>
  <c r="D2268" i="2"/>
  <c r="E2278" i="2"/>
  <c r="B2192" i="2"/>
  <c r="F2368" i="2"/>
  <c r="D2388" i="2"/>
  <c r="C2231" i="2"/>
  <c r="B2419" i="2"/>
  <c r="E2259" i="2"/>
  <c r="F2333" i="2"/>
  <c r="D2339" i="2"/>
  <c r="B2454" i="2"/>
  <c r="F2471" i="2"/>
  <c r="B2421" i="2"/>
  <c r="B2158" i="2"/>
  <c r="E1889" i="2"/>
  <c r="F2233" i="2"/>
  <c r="F2356" i="2"/>
  <c r="B1946" i="2"/>
  <c r="B2236" i="2"/>
  <c r="E2181" i="2"/>
  <c r="F1710" i="2"/>
  <c r="E1922" i="2"/>
  <c r="B2230" i="2"/>
  <c r="B2344" i="2"/>
  <c r="E2046" i="2"/>
  <c r="B2446" i="2"/>
  <c r="D2394" i="2"/>
  <c r="C2488" i="2"/>
  <c r="D2263" i="2"/>
  <c r="B2104" i="2"/>
  <c r="C2510" i="2"/>
  <c r="F2080" i="2"/>
  <c r="F2459" i="2"/>
  <c r="B2332" i="2"/>
  <c r="E2271" i="2"/>
  <c r="F1976" i="2"/>
  <c r="E2469" i="2"/>
  <c r="F2360" i="2"/>
  <c r="C2069" i="2"/>
  <c r="C2382" i="2"/>
  <c r="C2083" i="2"/>
  <c r="C2242" i="2"/>
  <c r="E2483" i="2"/>
  <c r="B2393" i="2"/>
  <c r="C2165" i="2"/>
  <c r="D2184" i="2"/>
  <c r="D1728" i="2"/>
  <c r="D2454" i="2"/>
  <c r="F2315" i="2"/>
  <c r="C2363" i="2"/>
  <c r="F2135" i="2"/>
  <c r="F2370" i="2"/>
  <c r="E2250" i="2"/>
  <c r="F1992" i="2"/>
  <c r="F2273" i="2"/>
  <c r="E2442" i="2"/>
  <c r="C2423" i="2"/>
  <c r="E1942" i="2"/>
  <c r="D2290" i="2"/>
  <c r="D2484" i="2"/>
  <c r="E2174" i="2"/>
  <c r="D2397" i="2"/>
  <c r="B2298" i="2"/>
  <c r="D2382" i="2"/>
  <c r="E2189" i="2"/>
  <c r="D2254" i="2"/>
  <c r="F2366" i="2"/>
  <c r="D1894" i="2"/>
  <c r="E2289" i="2"/>
  <c r="F2059" i="2"/>
  <c r="E1844" i="2"/>
  <c r="F1830" i="2"/>
  <c r="B1834" i="2"/>
  <c r="B2092" i="2"/>
  <c r="B2279" i="2"/>
  <c r="D2380" i="2"/>
  <c r="E2333" i="2"/>
  <c r="D2474" i="2"/>
  <c r="C2465" i="2"/>
  <c r="F2116" i="2"/>
  <c r="B2065" i="2"/>
  <c r="C2253" i="2"/>
  <c r="D1998" i="2"/>
  <c r="B1931" i="2"/>
  <c r="E2431" i="2"/>
  <c r="D2171" i="2"/>
  <c r="B2044" i="2"/>
  <c r="D2053" i="2"/>
  <c r="C1933" i="2"/>
  <c r="E2066" i="2"/>
  <c r="E2061" i="2"/>
  <c r="C1310" i="2"/>
  <c r="D2060" i="2"/>
  <c r="D1796" i="2"/>
  <c r="C1902" i="2"/>
  <c r="E2088" i="2"/>
  <c r="F2003" i="2"/>
  <c r="D2061" i="2"/>
  <c r="E2335" i="2"/>
  <c r="F1706" i="2"/>
  <c r="F2267" i="2"/>
  <c r="D2235" i="2"/>
  <c r="F2328" i="2"/>
  <c r="C2408" i="2"/>
  <c r="C1903" i="2"/>
  <c r="C1871" i="2"/>
  <c r="C2030" i="2"/>
  <c r="F2351" i="2"/>
  <c r="B2015" i="2"/>
  <c r="C1965" i="2"/>
  <c r="F2311" i="2"/>
  <c r="B1890" i="2"/>
  <c r="F2217" i="2"/>
  <c r="E2190" i="2"/>
  <c r="F2264" i="2"/>
  <c r="B2064" i="2"/>
  <c r="B2202" i="2"/>
  <c r="B2288" i="2"/>
  <c r="C2163" i="2"/>
  <c r="C2445" i="2"/>
  <c r="B2503" i="2"/>
  <c r="B2234" i="2"/>
  <c r="B2504" i="2"/>
  <c r="B2011" i="2"/>
  <c r="D2499" i="2"/>
  <c r="F2421" i="2"/>
  <c r="D2461" i="2"/>
  <c r="C2076" i="2"/>
  <c r="D2174" i="2"/>
  <c r="E1904" i="2"/>
  <c r="F2109" i="2"/>
  <c r="C2008" i="2"/>
  <c r="D2281" i="2"/>
  <c r="E2367" i="2"/>
  <c r="D2280" i="2"/>
  <c r="F2196" i="2"/>
  <c r="D2223" i="2"/>
  <c r="C2057" i="2"/>
  <c r="B1636" i="2"/>
  <c r="C1971" i="2"/>
  <c r="B2356" i="2"/>
  <c r="D1989" i="2"/>
  <c r="C2035" i="2"/>
  <c r="B1938" i="2"/>
  <c r="D2200" i="2"/>
  <c r="D2094" i="2"/>
  <c r="E2197" i="2"/>
  <c r="B1941" i="2"/>
  <c r="F1922" i="2"/>
  <c r="B2143" i="2"/>
  <c r="B2377" i="2"/>
  <c r="C1945" i="2"/>
  <c r="D2109" i="2"/>
  <c r="E2099" i="2"/>
  <c r="B2450" i="2"/>
  <c r="C2214" i="2"/>
  <c r="F2492" i="2"/>
  <c r="C2349" i="2"/>
  <c r="B2257" i="2"/>
  <c r="F1921" i="2"/>
  <c r="D2179" i="2"/>
  <c r="D2259" i="2"/>
  <c r="F1990" i="2"/>
  <c r="D2362" i="2"/>
  <c r="C2427" i="2"/>
  <c r="D2317" i="2"/>
  <c r="D2156" i="2"/>
  <c r="E2065" i="2"/>
  <c r="D2508" i="2"/>
  <c r="B2398" i="2"/>
  <c r="B2436" i="2"/>
  <c r="F2449" i="2"/>
  <c r="F2296" i="2"/>
  <c r="F2395" i="2"/>
  <c r="C2318" i="2"/>
  <c r="F2444" i="2"/>
  <c r="E2371" i="2"/>
  <c r="D2429" i="2"/>
  <c r="C2267" i="2"/>
  <c r="F2339" i="2"/>
  <c r="E2459" i="2"/>
  <c r="D2244" i="2"/>
  <c r="D2383" i="2"/>
  <c r="F2228" i="2"/>
  <c r="C2150" i="2"/>
  <c r="B2451" i="2"/>
  <c r="B2240" i="2"/>
  <c r="F1816" i="2"/>
  <c r="F2290" i="2"/>
  <c r="B2485" i="2"/>
  <c r="F2163" i="2"/>
  <c r="C2474" i="2"/>
  <c r="F2164" i="2"/>
  <c r="C2309" i="2"/>
  <c r="D1487" i="2"/>
  <c r="B1883" i="2"/>
  <c r="C1929" i="2"/>
  <c r="E2146" i="2"/>
  <c r="F1973" i="2"/>
  <c r="D1815" i="2"/>
  <c r="E2124" i="2"/>
  <c r="D1915" i="2"/>
  <c r="F2020" i="2"/>
  <c r="C2468" i="2"/>
  <c r="E2379" i="2"/>
  <c r="C2499" i="2"/>
  <c r="C2154" i="2"/>
  <c r="E1951" i="2"/>
  <c r="C2243" i="2"/>
  <c r="D2305" i="2"/>
  <c r="F2176" i="2"/>
  <c r="F2402" i="2"/>
  <c r="D2215" i="2"/>
  <c r="D1881" i="2"/>
  <c r="C1742" i="2"/>
  <c r="C1970" i="2"/>
  <c r="C2387" i="2"/>
  <c r="C2110" i="2"/>
  <c r="F1799" i="2"/>
  <c r="C1974" i="2"/>
  <c r="D1666" i="2"/>
  <c r="C2197" i="2"/>
  <c r="F1805" i="2"/>
  <c r="C2462" i="2"/>
  <c r="E2480" i="2"/>
  <c r="C2178" i="2"/>
  <c r="D2234" i="2"/>
  <c r="B2289" i="2"/>
  <c r="B2252" i="2"/>
  <c r="E2406" i="2"/>
  <c r="E2031" i="2"/>
  <c r="F1850" i="2"/>
  <c r="E2308" i="2"/>
  <c r="B1858" i="2"/>
  <c r="D2233" i="2"/>
  <c r="E2115" i="2"/>
  <c r="F2430" i="2"/>
  <c r="D2044" i="2"/>
  <c r="B2502" i="2"/>
  <c r="F2168" i="2"/>
  <c r="F1920" i="2"/>
  <c r="D1755" i="2"/>
  <c r="B1814" i="2"/>
  <c r="C2314" i="2"/>
  <c r="C2324" i="2"/>
  <c r="B2263" i="2"/>
  <c r="E1932" i="2"/>
  <c r="E2047" i="2"/>
  <c r="D2434" i="2"/>
  <c r="E2368" i="2"/>
  <c r="B2013" i="2"/>
  <c r="E2231" i="2"/>
  <c r="B2483" i="2"/>
  <c r="D2406" i="2"/>
  <c r="C2010" i="2"/>
  <c r="D2132" i="2"/>
  <c r="C2107" i="2"/>
  <c r="F2023" i="2"/>
  <c r="D1499" i="2"/>
  <c r="C2508" i="2"/>
  <c r="D2470" i="2"/>
  <c r="C2330" i="2"/>
  <c r="D2107" i="2"/>
  <c r="F2152" i="2"/>
  <c r="B2206" i="2"/>
  <c r="E2191" i="2"/>
  <c r="C2466" i="2"/>
  <c r="C2145" i="2"/>
  <c r="D1950" i="2"/>
  <c r="C2090" i="2"/>
  <c r="F1891" i="2"/>
  <c r="E2395" i="2"/>
  <c r="E2343" i="2"/>
  <c r="B1788" i="2"/>
  <c r="C2198" i="2"/>
  <c r="C2514" i="2"/>
  <c r="C2111" i="2"/>
  <c r="C2486" i="2"/>
  <c r="E2352" i="2"/>
  <c r="C1224" i="2"/>
  <c r="D1961" i="2"/>
  <c r="B2310" i="2"/>
  <c r="D1707" i="2"/>
  <c r="C2417" i="2"/>
  <c r="B1684" i="2"/>
  <c r="F2209" i="2"/>
  <c r="B2347" i="2"/>
  <c r="D2005" i="2"/>
  <c r="F2454" i="2"/>
  <c r="C2168" i="2"/>
  <c r="C1877" i="2"/>
  <c r="B2042" i="2"/>
  <c r="B2038" i="2"/>
  <c r="F1762" i="2"/>
  <c r="C1898" i="2"/>
  <c r="F2085" i="2"/>
  <c r="E1910" i="2"/>
  <c r="E2354" i="2"/>
  <c r="B2364" i="2"/>
  <c r="E1906" i="2"/>
  <c r="E1977" i="2"/>
  <c r="B2021" i="2"/>
  <c r="E2394" i="2"/>
  <c r="B2322" i="2"/>
  <c r="E1723" i="2"/>
  <c r="F2086" i="2"/>
  <c r="E2462" i="2"/>
  <c r="C1857" i="2"/>
  <c r="C1208" i="2"/>
  <c r="D1872" i="2"/>
  <c r="E1881" i="2"/>
  <c r="B1865" i="2"/>
  <c r="F2146" i="2"/>
  <c r="C1475" i="2"/>
  <c r="C1958" i="2"/>
  <c r="E1436" i="2"/>
  <c r="F2145" i="2"/>
  <c r="D2452" i="2"/>
  <c r="F2211" i="2"/>
  <c r="D2464" i="2"/>
  <c r="D2246" i="2"/>
  <c r="C2108" i="2"/>
  <c r="E2310" i="2"/>
  <c r="F1911" i="2"/>
  <c r="C2470" i="2"/>
  <c r="F1621" i="2"/>
  <c r="E2474" i="2"/>
  <c r="D1997" i="2"/>
  <c r="C2072" i="2"/>
  <c r="C2143" i="2"/>
  <c r="F2512" i="2"/>
  <c r="B2351" i="2"/>
  <c r="B2084" i="2"/>
  <c r="B2167" i="2"/>
  <c r="B1949" i="2"/>
  <c r="B2186" i="2"/>
  <c r="D2118" i="2"/>
  <c r="C2019" i="2"/>
  <c r="F1956" i="2"/>
  <c r="E2140" i="2"/>
  <c r="F2426" i="2"/>
  <c r="B2182" i="2"/>
  <c r="D1887" i="2"/>
  <c r="E2074" i="2"/>
  <c r="F2037" i="2"/>
  <c r="C2184" i="2"/>
  <c r="C2228" i="2"/>
  <c r="B1846" i="2"/>
  <c r="C2062" i="2"/>
  <c r="C2270" i="2"/>
  <c r="B1772" i="2"/>
  <c r="B1970" i="2"/>
  <c r="D2326" i="2"/>
  <c r="D2048" i="2"/>
  <c r="C1822" i="2"/>
  <c r="E1993" i="2"/>
  <c r="C1459" i="2"/>
  <c r="E2091" i="2"/>
  <c r="C1538" i="2"/>
  <c r="C1745" i="2"/>
  <c r="C1966" i="2"/>
  <c r="E1269" i="2"/>
  <c r="B1850" i="2"/>
  <c r="E2053" i="2"/>
  <c r="B1524" i="2"/>
  <c r="F1617" i="2"/>
  <c r="F1997" i="2"/>
  <c r="D2086" i="2"/>
  <c r="D2481" i="2"/>
  <c r="F2216" i="2"/>
  <c r="F2353" i="2"/>
  <c r="F1883" i="2"/>
  <c r="C2383" i="2"/>
  <c r="D1901" i="2"/>
  <c r="B1928" i="2"/>
  <c r="B2448" i="2"/>
  <c r="D1691" i="2"/>
  <c r="E2350" i="2"/>
  <c r="D2035" i="2"/>
  <c r="D2370" i="2"/>
  <c r="E2193" i="2"/>
  <c r="F2281" i="2"/>
  <c r="C2126" i="2"/>
  <c r="E1819" i="2"/>
  <c r="D1954" i="2"/>
  <c r="D2126" i="2"/>
  <c r="F1949" i="2"/>
  <c r="F2046" i="2"/>
  <c r="B2245" i="2"/>
  <c r="B2327" i="2"/>
  <c r="F2064" i="2"/>
  <c r="D2426" i="2"/>
  <c r="E1679" i="2"/>
  <c r="D2302" i="2"/>
  <c r="D2451" i="2"/>
  <c r="C2046" i="2"/>
  <c r="B2058" i="2"/>
  <c r="D2416" i="2"/>
  <c r="D2006" i="2"/>
  <c r="C2344" i="2"/>
  <c r="B2499" i="2"/>
  <c r="B2060" i="2"/>
  <c r="F1905" i="2"/>
  <c r="D1916" i="2"/>
  <c r="D1760" i="2"/>
  <c r="B2261" i="2"/>
  <c r="E1499" i="2"/>
  <c r="C1969" i="2"/>
  <c r="E2147" i="2"/>
  <c r="C1662" i="2"/>
  <c r="D1907" i="2"/>
  <c r="B1906" i="2"/>
  <c r="F1647" i="2"/>
  <c r="F2105" i="2"/>
  <c r="C2276" i="2"/>
  <c r="E2456" i="2"/>
  <c r="F1933" i="2"/>
  <c r="B2333" i="2"/>
  <c r="B2148" i="2"/>
  <c r="E1685" i="2"/>
  <c r="E1992" i="2"/>
  <c r="F1844" i="2"/>
  <c r="C1924" i="2"/>
  <c r="B1952" i="2"/>
  <c r="C2321" i="2"/>
  <c r="C2170" i="2"/>
  <c r="E2235" i="2"/>
  <c r="D2303" i="2"/>
  <c r="B2387" i="2"/>
  <c r="E2252" i="2"/>
  <c r="C2067" i="2"/>
  <c r="C2223" i="2"/>
  <c r="D2083" i="2"/>
  <c r="F1910" i="2"/>
  <c r="F2141" i="2"/>
  <c r="C2132" i="2"/>
  <c r="B2123" i="2"/>
  <c r="D2187" i="2"/>
  <c r="F2225" i="2"/>
  <c r="B1994" i="2"/>
  <c r="F1838" i="2"/>
  <c r="F1988" i="2"/>
  <c r="B2121" i="2"/>
  <c r="B1998" i="2"/>
  <c r="D2158" i="2"/>
  <c r="F2030" i="2"/>
  <c r="E2104" i="2"/>
  <c r="E1676" i="2"/>
  <c r="C2189" i="2"/>
  <c r="B1988" i="2"/>
  <c r="B2187" i="2"/>
  <c r="F1402" i="2"/>
  <c r="E1959" i="2"/>
  <c r="B1560" i="2"/>
  <c r="E1753" i="2"/>
  <c r="D2101" i="2"/>
  <c r="E1988" i="2"/>
  <c r="E1701" i="2"/>
  <c r="F2320" i="2"/>
  <c r="C2368" i="2"/>
  <c r="E1800" i="2"/>
  <c r="C1678" i="2"/>
  <c r="D2038" i="2"/>
  <c r="F2423" i="2"/>
  <c r="F2455" i="2"/>
  <c r="E1872" i="2"/>
  <c r="B2004" i="2"/>
  <c r="C1806" i="2"/>
  <c r="E1984" i="2"/>
  <c r="D2221" i="2"/>
  <c r="F2277" i="2"/>
  <c r="D1609" i="2"/>
  <c r="C1896" i="2"/>
  <c r="F1864" i="2"/>
  <c r="F1750" i="2"/>
  <c r="D2011" i="2"/>
  <c r="F1885" i="2"/>
  <c r="C1601" i="2"/>
  <c r="D2019" i="2"/>
  <c r="B1156" i="2"/>
  <c r="F1839" i="2"/>
  <c r="F1655" i="2"/>
  <c r="C2017" i="2"/>
  <c r="D1222" i="2"/>
  <c r="E2006" i="2"/>
  <c r="C2397" i="2"/>
  <c r="F2066" i="2"/>
  <c r="C1889" i="2"/>
  <c r="C1687" i="2"/>
  <c r="B2179" i="2"/>
  <c r="F1944" i="2"/>
  <c r="B2294" i="2"/>
  <c r="D2262" i="2"/>
  <c r="C2216" i="2"/>
  <c r="F1560" i="2"/>
  <c r="C2371" i="2"/>
  <c r="F2170" i="2"/>
  <c r="D2473" i="2"/>
  <c r="D2430" i="2"/>
  <c r="F1709" i="2"/>
  <c r="F1748" i="2"/>
  <c r="B2171" i="2"/>
  <c r="D2421" i="2"/>
  <c r="C1188" i="2"/>
  <c r="E2268" i="2"/>
  <c r="E2251" i="2"/>
  <c r="B2370" i="2"/>
  <c r="E1905" i="2"/>
  <c r="D2436" i="2"/>
  <c r="D1882" i="2"/>
  <c r="F1424" i="2"/>
  <c r="E1149" i="2"/>
  <c r="F2008" i="2"/>
  <c r="D2003" i="2"/>
  <c r="E1808" i="2"/>
  <c r="C1936" i="2"/>
  <c r="F1694" i="2"/>
  <c r="E2292" i="2"/>
  <c r="B1497" i="2"/>
  <c r="F1901" i="2"/>
  <c r="F2460" i="2"/>
  <c r="F2501" i="2"/>
  <c r="D2152" i="2"/>
  <c r="D2477" i="2"/>
  <c r="E2260" i="2"/>
  <c r="C2476" i="2"/>
  <c r="F1967" i="2"/>
  <c r="D2216" i="2"/>
  <c r="D1888" i="2"/>
  <c r="D2097" i="2"/>
  <c r="C2429" i="2"/>
  <c r="F1756" i="2"/>
  <c r="C2411" i="2"/>
  <c r="F1800" i="2"/>
  <c r="F1878" i="2"/>
  <c r="F2232" i="2"/>
  <c r="F2234" i="2"/>
  <c r="D1465" i="2"/>
  <c r="D1639" i="2"/>
  <c r="B1440" i="2"/>
  <c r="E2195" i="2"/>
  <c r="F2376" i="2"/>
  <c r="C2458" i="2"/>
  <c r="B2326" i="2"/>
  <c r="F1929" i="2"/>
  <c r="C2297" i="2"/>
  <c r="D1941" i="2"/>
  <c r="E1930" i="2"/>
  <c r="C2066" i="2"/>
  <c r="F1813" i="2"/>
  <c r="F2061" i="2"/>
  <c r="E1768" i="2"/>
  <c r="E2103" i="2"/>
  <c r="C2226" i="2"/>
  <c r="E2106" i="2"/>
  <c r="F2410" i="2"/>
  <c r="B2218" i="2"/>
  <c r="E2059" i="2"/>
  <c r="B1926" i="2"/>
  <c r="C1726" i="2"/>
  <c r="E1771" i="2"/>
  <c r="C1736" i="2"/>
  <c r="B1727" i="2"/>
  <c r="F1998" i="2"/>
  <c r="F2097" i="2"/>
  <c r="D1461" i="2"/>
  <c r="E2305" i="2"/>
  <c r="D2514" i="2"/>
  <c r="D1976" i="2"/>
  <c r="F2341" i="2"/>
  <c r="C2422" i="2"/>
  <c r="F2479" i="2"/>
  <c r="F2250" i="2"/>
  <c r="E2332" i="2"/>
  <c r="C2109" i="2"/>
  <c r="D2165" i="2"/>
  <c r="D2183" i="2"/>
  <c r="E1772" i="2"/>
  <c r="C1264" i="2"/>
  <c r="B1868" i="2"/>
  <c r="B1515" i="2"/>
  <c r="C1688" i="2"/>
  <c r="E2093" i="2"/>
  <c r="E1830" i="2"/>
  <c r="E1835" i="2"/>
  <c r="C1860" i="2"/>
  <c r="D1903" i="2"/>
  <c r="F1486" i="2"/>
  <c r="B1407" i="2"/>
  <c r="F1819" i="2"/>
  <c r="D2202" i="2"/>
  <c r="C2188" i="2"/>
  <c r="B2418" i="2"/>
  <c r="B2166" i="2"/>
  <c r="C1885" i="2"/>
  <c r="F1980" i="2"/>
  <c r="B2233" i="2"/>
  <c r="E2210" i="2"/>
  <c r="F1198" i="2"/>
  <c r="F1501" i="2"/>
  <c r="F2215" i="2"/>
  <c r="B2285" i="2"/>
  <c r="B1969" i="2"/>
  <c r="D1876" i="2"/>
  <c r="F1845" i="2"/>
  <c r="B1735" i="2"/>
  <c r="B1831" i="2"/>
  <c r="B1873" i="2"/>
  <c r="E1944" i="2"/>
  <c r="D1665" i="2"/>
  <c r="B1523" i="2"/>
  <c r="E1567" i="2"/>
  <c r="E2007" i="2"/>
  <c r="C2002" i="2"/>
  <c r="E2287" i="2"/>
  <c r="C1675" i="2"/>
  <c r="E1277" i="2"/>
  <c r="C2374" i="2"/>
  <c r="E2486" i="2"/>
  <c r="F1881" i="2"/>
  <c r="E2507" i="2"/>
  <c r="F2269" i="2"/>
  <c r="F1619" i="2"/>
  <c r="D2396" i="2"/>
  <c r="E1796" i="2"/>
  <c r="F2305" i="2"/>
  <c r="B2244" i="2"/>
  <c r="F2188" i="2"/>
  <c r="D2488" i="2"/>
  <c r="C1832" i="2"/>
  <c r="B2238" i="2"/>
  <c r="B2334" i="2"/>
  <c r="B2380" i="2"/>
  <c r="C2370" i="2"/>
  <c r="C2027" i="2"/>
  <c r="E2157" i="2"/>
  <c r="B2437" i="2"/>
  <c r="C1854" i="2"/>
  <c r="F1925" i="2"/>
  <c r="D1573" i="2"/>
  <c r="B1940" i="2"/>
  <c r="F2042" i="2"/>
  <c r="F1982" i="2"/>
  <c r="C1874" i="2"/>
  <c r="B2150" i="2"/>
  <c r="E2126" i="2"/>
  <c r="C2496" i="2"/>
  <c r="D2093" i="2"/>
  <c r="F2408" i="2"/>
  <c r="D2400" i="2"/>
  <c r="B2126" i="2"/>
  <c r="F1863" i="2"/>
  <c r="B1924" i="2"/>
  <c r="B2373" i="2"/>
  <c r="D1584" i="2"/>
  <c r="C2164" i="2"/>
  <c r="F2491" i="2"/>
  <c r="E2172" i="2"/>
  <c r="C2251" i="2"/>
  <c r="D1470" i="2"/>
  <c r="C2475" i="2"/>
  <c r="E2467" i="2"/>
  <c r="F2238" i="2"/>
  <c r="E2033" i="2"/>
  <c r="D2012" i="2"/>
  <c r="E2410" i="2"/>
  <c r="F2354" i="2"/>
  <c r="E2411" i="2"/>
  <c r="D2043" i="2"/>
  <c r="C2047" i="2"/>
  <c r="D2468" i="2"/>
  <c r="E2116" i="2"/>
  <c r="D1792" i="2"/>
  <c r="E1866" i="2"/>
  <c r="C1751" i="2"/>
  <c r="C2298" i="2"/>
  <c r="E1887" i="2"/>
  <c r="F2279" i="2"/>
  <c r="E2182" i="2"/>
  <c r="D2182" i="2"/>
  <c r="E2063" i="2"/>
  <c r="C1815" i="2"/>
  <c r="E1816" i="2"/>
  <c r="E2510" i="2"/>
  <c r="F1524" i="2"/>
  <c r="F2004" i="2"/>
  <c r="E2502" i="2"/>
  <c r="C1964" i="2"/>
  <c r="B1720" i="2"/>
  <c r="C2056" i="2"/>
  <c r="D1884" i="2"/>
  <c r="F2321" i="2"/>
  <c r="E2369" i="2"/>
  <c r="F2222" i="2"/>
  <c r="C2352" i="2"/>
  <c r="D1873" i="2"/>
  <c r="B2317" i="2"/>
  <c r="C1718" i="2"/>
  <c r="C2124" i="2"/>
  <c r="D1541" i="2"/>
  <c r="C2009" i="2"/>
  <c r="F1876" i="2"/>
  <c r="C1972" i="2"/>
  <c r="C1723" i="2"/>
  <c r="B2161" i="2"/>
  <c r="E1781" i="2"/>
  <c r="B1867" i="2"/>
  <c r="F1917" i="2"/>
  <c r="E1648" i="2"/>
  <c r="D1841" i="2"/>
  <c r="D1576" i="2"/>
  <c r="B1734" i="2"/>
  <c r="C2377" i="2"/>
  <c r="C2221" i="2"/>
  <c r="B2336" i="2"/>
  <c r="E2002" i="2"/>
  <c r="D1793" i="2"/>
  <c r="B1847" i="2"/>
  <c r="D1477" i="2"/>
  <c r="D2141" i="2"/>
  <c r="C1725" i="2"/>
  <c r="F1550" i="2"/>
  <c r="E1745" i="2"/>
  <c r="D1591" i="2"/>
  <c r="E1747" i="2"/>
  <c r="B1630" i="2"/>
  <c r="E1476" i="2"/>
  <c r="D2355" i="2"/>
  <c r="E1739" i="2"/>
  <c r="F1700" i="2"/>
  <c r="C1989" i="2"/>
  <c r="C1435" i="2"/>
  <c r="E1275" i="2"/>
  <c r="E2215" i="2"/>
  <c r="C2211" i="2"/>
  <c r="D1946" i="2"/>
  <c r="E2224" i="2"/>
  <c r="D2356" i="2"/>
  <c r="C2157" i="2"/>
  <c r="C2254" i="2"/>
  <c r="F2438" i="2"/>
  <c r="C2326" i="2"/>
  <c r="E2503" i="2"/>
  <c r="F2293" i="2"/>
  <c r="C2182" i="2"/>
  <c r="E2424" i="2"/>
  <c r="E2152" i="2"/>
  <c r="B2401" i="2"/>
  <c r="E1845" i="2"/>
  <c r="E2203" i="2"/>
  <c r="B2494" i="2"/>
  <c r="B2068" i="2"/>
  <c r="D2197" i="2"/>
  <c r="B2389" i="2"/>
  <c r="E2111" i="2"/>
  <c r="B1414" i="2"/>
  <c r="F2000" i="2"/>
  <c r="C1767" i="2"/>
  <c r="D2046" i="2"/>
  <c r="E2184" i="2"/>
  <c r="B2468" i="2"/>
  <c r="F1527" i="2"/>
  <c r="D1361" i="2"/>
  <c r="C1336" i="2"/>
  <c r="B1747" i="2"/>
  <c r="C2206" i="2"/>
  <c r="D2274" i="2"/>
  <c r="B2315" i="2"/>
  <c r="C2439" i="2"/>
  <c r="B2127" i="2"/>
  <c r="C2070" i="2"/>
  <c r="C2302" i="2"/>
  <c r="F2235" i="2"/>
  <c r="E2430" i="2"/>
  <c r="C2395" i="2"/>
  <c r="D2023" i="2"/>
  <c r="D2307" i="2"/>
  <c r="F1746" i="2"/>
  <c r="D1967" i="2"/>
  <c r="C2085" i="2"/>
  <c r="E1751" i="2"/>
  <c r="B1832" i="2"/>
  <c r="F1774" i="2"/>
  <c r="C1710" i="2"/>
  <c r="C2461" i="2"/>
  <c r="B1951" i="2"/>
  <c r="C2375" i="2"/>
  <c r="F2041" i="2"/>
  <c r="C2286" i="2"/>
  <c r="C2328" i="2"/>
  <c r="B2284" i="2"/>
  <c r="D2249" i="2"/>
  <c r="B2480" i="2"/>
  <c r="F1897" i="2"/>
  <c r="F1867" i="2"/>
  <c r="F1773" i="2"/>
  <c r="C1846" i="2"/>
  <c r="B2115" i="2"/>
  <c r="C2404" i="2"/>
  <c r="F2386" i="2"/>
  <c r="B1957" i="2"/>
  <c r="C2438" i="2"/>
  <c r="D2138" i="2"/>
  <c r="B2372" i="2"/>
  <c r="D1449" i="2"/>
  <c r="C1778" i="2"/>
  <c r="E2315" i="2"/>
  <c r="E2238" i="2"/>
  <c r="F1963" i="2"/>
  <c r="C2232" i="2"/>
  <c r="F1959" i="2"/>
  <c r="B1964" i="2"/>
  <c r="F2237" i="2"/>
  <c r="B2428" i="2"/>
  <c r="F2056" i="2"/>
  <c r="E1817" i="2"/>
  <c r="F2117" i="2"/>
  <c r="D1863" i="2"/>
  <c r="E2137" i="2"/>
  <c r="E2451" i="2"/>
  <c r="D2251" i="2"/>
  <c r="B1983" i="2"/>
  <c r="C1780" i="2"/>
  <c r="F2014" i="2"/>
  <c r="C1637" i="2"/>
  <c r="E2312" i="2"/>
  <c r="E1874" i="2"/>
  <c r="E1507" i="2"/>
  <c r="C1621" i="2"/>
  <c r="B1813" i="2"/>
  <c r="D2466" i="2"/>
  <c r="B1787" i="2"/>
  <c r="E1261" i="2"/>
  <c r="F2017" i="2"/>
  <c r="F1884" i="2"/>
  <c r="C2078" i="2"/>
  <c r="E2484" i="2"/>
  <c r="C1870" i="2"/>
  <c r="F1572" i="2"/>
  <c r="E1961" i="2"/>
  <c r="D2077" i="2"/>
  <c r="E2143" i="2"/>
  <c r="C1744" i="2"/>
  <c r="E2012" i="2"/>
  <c r="B1687" i="2"/>
  <c r="F1498" i="2"/>
  <c r="F1780" i="2"/>
  <c r="D2108" i="2"/>
  <c r="C2123" i="2"/>
  <c r="B1387" i="2"/>
  <c r="B1534" i="2"/>
  <c r="D1757" i="2"/>
  <c r="B1344" i="2"/>
  <c r="B1759" i="2"/>
  <c r="E1934" i="2"/>
  <c r="E1594" i="2"/>
  <c r="B2176" i="2"/>
  <c r="C2292" i="2"/>
  <c r="B2495" i="2"/>
  <c r="D2252" i="2"/>
  <c r="D2403" i="2"/>
  <c r="F1802" i="2"/>
  <c r="D2070" i="2"/>
  <c r="C1865" i="2"/>
  <c r="B1898" i="2"/>
  <c r="F1872" i="2"/>
  <c r="F2314" i="2"/>
  <c r="C2317" i="2"/>
  <c r="B2459" i="2"/>
  <c r="B2163" i="2"/>
  <c r="D2100" i="2"/>
  <c r="D1971" i="2"/>
  <c r="E2233" i="2"/>
  <c r="C1999" i="2"/>
  <c r="F2271" i="2"/>
  <c r="E2439" i="2"/>
  <c r="C2406" i="2"/>
  <c r="B2203" i="2"/>
  <c r="F2467" i="2"/>
  <c r="F2246" i="2"/>
  <c r="B2292" i="2"/>
  <c r="C2307" i="2"/>
  <c r="B1985" i="2"/>
  <c r="D2181" i="2"/>
  <c r="F2139" i="2"/>
  <c r="F1870" i="2"/>
  <c r="F2090" i="2"/>
  <c r="B1539" i="2"/>
  <c r="B1428" i="2"/>
  <c r="D1544" i="2"/>
  <c r="C1495" i="2"/>
  <c r="F1443" i="2"/>
  <c r="F2507" i="2"/>
  <c r="D2513" i="2"/>
  <c r="B2210" i="2"/>
  <c r="D2392" i="2"/>
  <c r="B1880" i="2"/>
  <c r="D2490" i="2"/>
  <c r="C2136" i="2"/>
  <c r="E1859" i="2"/>
  <c r="D2189" i="2"/>
  <c r="B2003" i="2"/>
  <c r="C1671" i="2"/>
  <c r="F2134" i="2"/>
  <c r="C1785" i="2"/>
  <c r="B2031" i="2"/>
  <c r="D1778" i="2"/>
  <c r="B2027" i="2"/>
  <c r="D2114" i="2"/>
  <c r="C1628" i="2"/>
  <c r="B1597" i="2"/>
  <c r="B2374" i="2"/>
  <c r="B2096" i="2"/>
  <c r="C2080" i="2"/>
  <c r="E2445" i="2"/>
  <c r="D2134" i="2"/>
  <c r="D2431" i="2"/>
  <c r="C2015" i="2"/>
  <c r="C1782" i="2"/>
  <c r="B2243" i="2"/>
  <c r="D2407" i="2"/>
  <c r="E2036" i="2"/>
  <c r="E2370" i="2"/>
  <c r="C1873" i="2"/>
  <c r="F2118" i="2"/>
  <c r="E2478" i="2"/>
  <c r="D1853" i="2"/>
  <c r="E2075" i="2"/>
  <c r="B2278" i="2"/>
  <c r="D2279" i="2"/>
  <c r="C2205" i="2"/>
  <c r="F2399" i="2"/>
  <c r="F1902" i="2"/>
  <c r="C2200" i="2"/>
  <c r="C1686" i="2"/>
  <c r="D2000" i="2"/>
  <c r="D2014" i="2"/>
  <c r="B1751" i="2"/>
  <c r="D1672" i="2"/>
  <c r="D1904" i="2"/>
  <c r="E2482" i="2"/>
  <c r="C2362" i="2"/>
  <c r="D2335" i="2"/>
  <c r="B2141" i="2"/>
  <c r="B2277" i="2"/>
  <c r="D1759" i="2"/>
  <c r="D1661" i="2"/>
  <c r="C2139" i="2"/>
  <c r="C1845" i="2"/>
  <c r="E1716" i="2"/>
  <c r="D2127" i="2"/>
  <c r="C1581" i="2"/>
  <c r="D2099" i="2"/>
  <c r="B1823" i="2"/>
  <c r="C1750" i="2"/>
  <c r="B2022" i="2"/>
  <c r="C1439" i="2"/>
  <c r="D1765" i="2"/>
  <c r="E1600" i="2"/>
  <c r="F1525" i="2"/>
  <c r="C1615" i="2"/>
  <c r="D1906" i="2"/>
  <c r="D2224" i="2"/>
  <c r="E1941" i="2"/>
  <c r="E2447" i="2"/>
  <c r="B1954" i="2"/>
  <c r="E1991" i="2"/>
  <c r="B1695" i="2"/>
  <c r="F2355" i="2"/>
  <c r="E1735" i="2"/>
  <c r="F1996" i="2"/>
  <c r="E1527" i="2"/>
  <c r="B1893" i="2"/>
  <c r="F2414" i="2"/>
  <c r="F1130" i="2"/>
  <c r="F2108" i="2"/>
  <c r="D1938" i="2"/>
  <c r="B2247" i="2"/>
  <c r="B1645" i="2"/>
  <c r="D1766" i="2"/>
  <c r="D1790" i="2"/>
  <c r="F1861" i="2"/>
  <c r="E1390" i="2"/>
  <c r="C2434" i="2"/>
  <c r="F2129" i="2"/>
  <c r="C2183" i="2"/>
  <c r="E2239" i="2"/>
  <c r="B2185" i="2"/>
  <c r="D2198" i="2"/>
  <c r="C2367" i="2"/>
  <c r="C2274" i="2"/>
  <c r="C2471" i="2"/>
  <c r="C2249" i="2"/>
  <c r="F2159" i="2"/>
  <c r="C2237" i="2"/>
  <c r="B1869" i="2"/>
  <c r="D1704" i="2"/>
  <c r="F1970" i="2"/>
  <c r="E2041" i="2"/>
  <c r="E1908" i="2"/>
  <c r="C1920" i="2"/>
  <c r="F2219" i="2"/>
  <c r="F2272" i="2"/>
  <c r="D2068" i="2"/>
  <c r="F2202" i="2"/>
  <c r="D1453" i="2"/>
  <c r="C2081" i="2"/>
  <c r="B1350" i="2"/>
  <c r="D1517" i="2"/>
  <c r="F1855" i="2"/>
  <c r="C1232" i="2"/>
  <c r="B2439" i="2"/>
  <c r="E2000" i="2"/>
  <c r="C2227" i="2"/>
  <c r="B2098" i="2"/>
  <c r="E1827" i="2"/>
  <c r="C1680" i="2"/>
  <c r="E1430" i="2"/>
  <c r="B2056" i="2"/>
  <c r="B2490" i="2"/>
  <c r="E1355" i="2"/>
  <c r="B2262" i="2"/>
  <c r="F1940" i="2"/>
  <c r="E2401" i="2"/>
  <c r="B2133" i="2"/>
  <c r="B1889" i="2"/>
  <c r="F1027" i="2"/>
  <c r="D2065" i="2"/>
  <c r="F1342" i="2"/>
  <c r="B1784" i="2"/>
  <c r="D2321" i="2"/>
  <c r="E1912" i="2"/>
  <c r="B2256" i="2"/>
  <c r="E1744" i="2"/>
  <c r="C1886" i="2"/>
  <c r="B2265" i="2"/>
  <c r="B2175" i="2"/>
  <c r="D1600" i="2"/>
  <c r="D1571" i="2"/>
  <c r="B2345" i="2"/>
  <c r="B1479" i="2"/>
  <c r="F2045" i="2"/>
  <c r="C1132" i="2"/>
  <c r="F1135" i="2"/>
  <c r="E2064" i="2"/>
  <c r="F1913" i="2"/>
  <c r="E2495" i="2"/>
  <c r="E1995" i="2"/>
  <c r="D2124" i="2"/>
  <c r="E2201" i="2"/>
  <c r="C2419" i="2"/>
  <c r="D2257" i="2"/>
  <c r="C1799" i="2"/>
  <c r="D1974" i="2"/>
  <c r="E1914" i="2"/>
  <c r="D1885" i="2"/>
  <c r="C1816" i="2"/>
  <c r="D1313" i="2"/>
  <c r="F2096" i="2"/>
  <c r="C2433" i="2"/>
  <c r="E1692" i="2"/>
  <c r="F1981" i="2"/>
  <c r="E2025" i="2"/>
  <c r="C1909" i="2"/>
  <c r="B1990" i="2"/>
  <c r="F2143" i="2"/>
  <c r="D1497" i="2"/>
  <c r="B1904" i="2"/>
  <c r="B1816" i="2"/>
  <c r="E1320" i="2"/>
  <c r="D1242" i="2"/>
  <c r="C1554" i="2"/>
  <c r="F1147" i="2"/>
  <c r="D1523" i="2"/>
  <c r="F609" i="2"/>
  <c r="C1326" i="2"/>
  <c r="D1526" i="2"/>
  <c r="E1425" i="2"/>
  <c r="F1117" i="2"/>
  <c r="E1792" i="2"/>
  <c r="F1783" i="2"/>
  <c r="D1681" i="2"/>
  <c r="F1782" i="2"/>
  <c r="D2131" i="2"/>
  <c r="C2312" i="2"/>
  <c r="D2063" i="2"/>
  <c r="B2259" i="2"/>
  <c r="D2401" i="2"/>
  <c r="C2263" i="2"/>
  <c r="B1487" i="2"/>
  <c r="F1015" i="2"/>
  <c r="F1842" i="2"/>
  <c r="E1810" i="2"/>
  <c r="F1674" i="2"/>
  <c r="E1293" i="2"/>
  <c r="C2112" i="2"/>
  <c r="D1699" i="2"/>
  <c r="D1700" i="2"/>
  <c r="E1449" i="2"/>
  <c r="E2117" i="2"/>
  <c r="E1557" i="2"/>
  <c r="E2226" i="2"/>
  <c r="D1896" i="2"/>
  <c r="B1236" i="2"/>
  <c r="F2031" i="2"/>
  <c r="C1673" i="2"/>
  <c r="C1366" i="2"/>
  <c r="C1539" i="2"/>
  <c r="B1444" i="2"/>
  <c r="E1924" i="2"/>
  <c r="D1007" i="2"/>
  <c r="B1157" i="2"/>
  <c r="E1435" i="2"/>
  <c r="D1518" i="2"/>
  <c r="F2419" i="2"/>
  <c r="D2240" i="2"/>
  <c r="D2238" i="2"/>
  <c r="D2512" i="2"/>
  <c r="D2210" i="2"/>
  <c r="E2223" i="2"/>
  <c r="F1890" i="2"/>
  <c r="E2281" i="2"/>
  <c r="D2199" i="2"/>
  <c r="F1974" i="2"/>
  <c r="D2237" i="2"/>
  <c r="B2465" i="2"/>
  <c r="D1999" i="2"/>
  <c r="E1925" i="2"/>
  <c r="B2134" i="2"/>
  <c r="D2009" i="2"/>
  <c r="F1752" i="2"/>
  <c r="D2404" i="2"/>
  <c r="C1596" i="2"/>
  <c r="E2385" i="2"/>
  <c r="F1472" i="2"/>
  <c r="D1779" i="2"/>
  <c r="B1755" i="2"/>
  <c r="F1390" i="2"/>
  <c r="E2458" i="2"/>
  <c r="E2472" i="2"/>
  <c r="C2399" i="2"/>
  <c r="E1192" i="2"/>
  <c r="D1892" i="2"/>
  <c r="E1528" i="2"/>
  <c r="B1860" i="2"/>
  <c r="D2088" i="2"/>
  <c r="D2447" i="2"/>
  <c r="D1709" i="2"/>
  <c r="E1918" i="2"/>
  <c r="E1784" i="2"/>
  <c r="E1901" i="2"/>
  <c r="D1857" i="2"/>
  <c r="E1911" i="2"/>
  <c r="B1368" i="2"/>
  <c r="E1179" i="2"/>
  <c r="D1606" i="2"/>
  <c r="B1826" i="2"/>
  <c r="C1881" i="2"/>
  <c r="C2218" i="2"/>
  <c r="D2320" i="2"/>
  <c r="E1873" i="2"/>
  <c r="F1798" i="2"/>
  <c r="E2118" i="2"/>
  <c r="D2211" i="2"/>
  <c r="B2303" i="2"/>
  <c r="B1739" i="2"/>
  <c r="E1793" i="2"/>
  <c r="B2313" i="2"/>
  <c r="B1674" i="2"/>
  <c r="B2399" i="2"/>
  <c r="E2426" i="2"/>
  <c r="F1893" i="2"/>
  <c r="B1562" i="2"/>
  <c r="B1943" i="2"/>
  <c r="F2124" i="2"/>
  <c r="C2262" i="2"/>
  <c r="E2131" i="2"/>
  <c r="F2205" i="2"/>
  <c r="F1946" i="2"/>
  <c r="F1848" i="2"/>
  <c r="B2216" i="2"/>
  <c r="E1307" i="2"/>
  <c r="C1768" i="2"/>
  <c r="D2386" i="2"/>
  <c r="B1785" i="2"/>
  <c r="F1653" i="2"/>
  <c r="F1727" i="2"/>
  <c r="E1448" i="2"/>
  <c r="B1870" i="2"/>
  <c r="F1824" i="2"/>
  <c r="E1762" i="2"/>
  <c r="C1651" i="2"/>
  <c r="C1704" i="2"/>
  <c r="C1180" i="2"/>
  <c r="E2171" i="2"/>
  <c r="B1495" i="2"/>
  <c r="E1832" i="2"/>
  <c r="D1325" i="2"/>
  <c r="C1883" i="2"/>
  <c r="E2452" i="2"/>
  <c r="F1643" i="2"/>
  <c r="E419" i="2"/>
  <c r="D1229" i="2"/>
  <c r="D1840" i="2"/>
  <c r="C1343" i="2"/>
  <c r="B1184" i="2"/>
  <c r="D1474" i="2"/>
  <c r="D1952" i="2"/>
  <c r="B1099" i="2"/>
  <c r="D2413" i="2"/>
  <c r="F2035" i="2"/>
  <c r="F1907" i="2"/>
  <c r="F2465" i="2"/>
  <c r="D1655" i="2"/>
  <c r="B1863" i="2"/>
  <c r="D2039" i="2"/>
  <c r="F1517" i="2"/>
  <c r="C1996" i="2"/>
  <c r="C1632" i="2"/>
  <c r="F1843" i="2"/>
  <c r="D1995" i="2"/>
  <c r="D1450" i="2"/>
  <c r="C1455" i="2"/>
  <c r="D1844" i="2"/>
  <c r="E1444" i="2"/>
  <c r="D1368" i="2"/>
  <c r="E2261" i="2"/>
  <c r="E2284" i="2"/>
  <c r="E1842" i="2"/>
  <c r="D1895" i="2"/>
  <c r="E1764" i="2"/>
  <c r="F1502" i="2"/>
  <c r="C1209" i="2"/>
  <c r="E989" i="2"/>
  <c r="E1460" i="2"/>
  <c r="B1131" i="2"/>
  <c r="D638" i="2"/>
  <c r="D411" i="2"/>
  <c r="B1905" i="2"/>
  <c r="B1587" i="2"/>
  <c r="C2313" i="2"/>
  <c r="D2422" i="2"/>
  <c r="E2270" i="2"/>
  <c r="D2415" i="2"/>
  <c r="D2301" i="2"/>
  <c r="B2306" i="2"/>
  <c r="D2161" i="2"/>
  <c r="D2004" i="2"/>
  <c r="D2398" i="2"/>
  <c r="D2395" i="2"/>
  <c r="E1752" i="2"/>
  <c r="C1724" i="2"/>
  <c r="D2330" i="2"/>
  <c r="C2329" i="2"/>
  <c r="E2029" i="2"/>
  <c r="E1970" i="2"/>
  <c r="E2304" i="2"/>
  <c r="B1927" i="2"/>
  <c r="E1813" i="2"/>
  <c r="D2453" i="2"/>
  <c r="D2155" i="2"/>
  <c r="D2308" i="2"/>
  <c r="E1948" i="2"/>
  <c r="C1524" i="2"/>
  <c r="C2142" i="2"/>
  <c r="B2479" i="2"/>
  <c r="B1982" i="2"/>
  <c r="D2269" i="2"/>
  <c r="F2047" i="2"/>
  <c r="D1854" i="2"/>
  <c r="C1897" i="2"/>
  <c r="F2239" i="2"/>
  <c r="D1589" i="2"/>
  <c r="C2400" i="2"/>
  <c r="C1727" i="2"/>
  <c r="D2286" i="2"/>
  <c r="D2456" i="2"/>
  <c r="C1717" i="2"/>
  <c r="E1364" i="2"/>
  <c r="E2098" i="2"/>
  <c r="E1996" i="2"/>
  <c r="F1768" i="2"/>
  <c r="B1770" i="2"/>
  <c r="F1703" i="2"/>
  <c r="E1913" i="2"/>
  <c r="B1977" i="2"/>
  <c r="D1981" i="2"/>
  <c r="F2482" i="2"/>
  <c r="C1316" i="2"/>
  <c r="E1213" i="2"/>
  <c r="B2009" i="2"/>
  <c r="F2012" i="2"/>
  <c r="D2185" i="2"/>
  <c r="D1389" i="2"/>
  <c r="C1634" i="2"/>
  <c r="E1704" i="2"/>
  <c r="C1403" i="2"/>
  <c r="E1777" i="2"/>
  <c r="E1902" i="2"/>
  <c r="D1890" i="2"/>
  <c r="B2040" i="2"/>
  <c r="C1884" i="2"/>
  <c r="B1673" i="2"/>
  <c r="C1925" i="2"/>
  <c r="C2122" i="2"/>
  <c r="B2199" i="2"/>
  <c r="F2048" i="2"/>
  <c r="C2115" i="2"/>
  <c r="D1402" i="2"/>
  <c r="D1758" i="2"/>
  <c r="C1798" i="2"/>
  <c r="B2129" i="2"/>
  <c r="B2467" i="2"/>
  <c r="D1617" i="2"/>
  <c r="F1383" i="2"/>
  <c r="E2107" i="2"/>
  <c r="D1581" i="2"/>
  <c r="D1859" i="2"/>
  <c r="B1947" i="2"/>
  <c r="D1578" i="2"/>
  <c r="D1428" i="2"/>
  <c r="E1896" i="2"/>
  <c r="F1332" i="2"/>
  <c r="E1682" i="2"/>
  <c r="C1431" i="2"/>
  <c r="C1408" i="2"/>
  <c r="E1658" i="2"/>
  <c r="B1639" i="2"/>
  <c r="D1511" i="2"/>
  <c r="C1844" i="2"/>
  <c r="E1974" i="2"/>
  <c r="B1260" i="2"/>
  <c r="C885" i="2"/>
  <c r="E1728" i="2"/>
  <c r="C1602" i="2"/>
  <c r="F2327" i="2"/>
  <c r="B2076" i="2"/>
  <c r="B1550" i="2"/>
  <c r="E2314" i="2"/>
  <c r="E1334" i="2"/>
  <c r="B2268" i="2"/>
  <c r="D1747" i="2"/>
  <c r="E1245" i="2"/>
  <c r="D1912" i="2"/>
  <c r="E2084" i="2"/>
  <c r="E1354" i="2"/>
  <c r="D2026" i="2"/>
  <c r="C1332" i="2"/>
  <c r="E1094" i="2"/>
  <c r="C1113" i="2"/>
  <c r="E1641" i="2"/>
  <c r="F2081" i="2"/>
  <c r="C1825" i="2"/>
  <c r="B1840" i="2"/>
  <c r="C1672" i="2"/>
  <c r="B1575" i="2"/>
  <c r="E1575" i="2"/>
  <c r="E1477" i="2"/>
  <c r="B1399" i="2"/>
  <c r="F1539" i="2"/>
  <c r="E1206" i="2"/>
  <c r="B1161" i="2"/>
  <c r="D1451" i="2"/>
  <c r="D1048" i="2"/>
  <c r="F1637" i="2"/>
  <c r="F1649" i="2"/>
  <c r="B1363" i="2"/>
  <c r="C2414" i="2"/>
  <c r="E2246" i="2"/>
  <c r="B1536" i="2"/>
  <c r="E1968" i="2"/>
  <c r="D2482" i="2"/>
  <c r="E1938" i="2"/>
  <c r="D1624" i="2"/>
  <c r="D2266" i="2"/>
  <c r="F2346" i="2"/>
  <c r="D2173" i="2"/>
  <c r="E1780" i="2"/>
  <c r="E1883" i="2"/>
  <c r="F2079" i="2"/>
  <c r="F2218" i="2"/>
  <c r="D2076" i="2"/>
  <c r="E2173" i="2"/>
  <c r="F1909" i="2"/>
  <c r="F2458" i="2"/>
  <c r="E1640" i="2"/>
  <c r="B2487" i="2"/>
  <c r="F1400" i="2"/>
  <c r="E2037" i="2"/>
  <c r="C1546" i="2"/>
  <c r="C1855" i="2"/>
  <c r="E1818" i="2"/>
  <c r="E2263" i="2"/>
  <c r="B2293" i="2"/>
  <c r="E2372" i="2"/>
  <c r="E1786" i="2"/>
  <c r="E2291" i="2"/>
  <c r="C1642" i="2"/>
  <c r="C2338" i="2"/>
  <c r="C1328" i="2"/>
  <c r="B2427" i="2"/>
  <c r="C1719" i="2"/>
  <c r="C2332" i="2"/>
  <c r="E2067" i="2"/>
  <c r="F1540" i="2"/>
  <c r="C1136" i="2"/>
  <c r="E1980" i="2"/>
  <c r="C2003" i="2"/>
  <c r="C1976" i="2"/>
  <c r="D1801" i="2"/>
  <c r="D2051" i="2"/>
  <c r="B1842" i="2"/>
  <c r="C2236" i="2"/>
  <c r="C2288" i="2"/>
  <c r="F1942" i="2"/>
  <c r="C2335" i="2"/>
  <c r="F2499" i="2"/>
  <c r="F1968" i="2"/>
  <c r="E1787" i="2"/>
  <c r="E2437" i="2"/>
  <c r="D1418" i="2"/>
  <c r="B1341" i="2"/>
  <c r="D1535" i="2"/>
  <c r="D1737" i="2"/>
  <c r="B1855" i="2"/>
  <c r="F1936" i="2"/>
  <c r="D1646" i="2"/>
  <c r="D1806" i="2"/>
  <c r="C2296" i="2"/>
  <c r="F1919" i="2"/>
  <c r="D2458" i="2"/>
  <c r="C2158" i="2"/>
  <c r="B1476" i="2"/>
  <c r="C1818" i="2"/>
  <c r="F2132" i="2"/>
  <c r="B2152" i="2"/>
  <c r="B1602" i="2"/>
  <c r="E1990" i="2"/>
  <c r="C2039" i="2"/>
  <c r="C1810" i="2"/>
  <c r="C1416" i="2"/>
  <c r="D1674" i="2"/>
  <c r="D1564" i="2"/>
  <c r="D1770" i="2"/>
  <c r="F1811" i="2"/>
  <c r="D1658" i="2"/>
  <c r="D1928" i="2"/>
  <c r="F1590" i="2"/>
  <c r="E1429" i="2"/>
  <c r="C1406" i="2"/>
  <c r="F1796" i="2"/>
  <c r="B1667" i="2"/>
  <c r="B1455" i="2"/>
  <c r="C1923" i="2"/>
  <c r="B1264" i="2"/>
  <c r="E1929" i="2"/>
  <c r="D1590" i="2"/>
  <c r="D1379" i="2"/>
  <c r="C1436" i="2"/>
  <c r="B1827" i="2"/>
  <c r="C1568" i="2"/>
  <c r="E1139" i="2"/>
  <c r="F2140" i="2"/>
  <c r="C2037" i="2"/>
  <c r="D2025" i="2"/>
  <c r="D2442" i="2"/>
  <c r="C1955" i="2"/>
  <c r="F1629" i="2"/>
  <c r="D1724" i="2"/>
  <c r="C1789" i="2"/>
  <c r="F2094" i="2"/>
  <c r="B1916" i="2"/>
  <c r="F2301" i="2"/>
  <c r="F1578" i="2"/>
  <c r="D1738" i="2"/>
  <c r="B1338" i="2"/>
  <c r="D1751" i="2"/>
  <c r="F2076" i="2"/>
  <c r="F1392" i="2"/>
  <c r="B1716" i="2"/>
  <c r="F1877" i="2"/>
  <c r="C1861" i="2"/>
  <c r="C2440" i="2"/>
  <c r="C1905" i="2"/>
  <c r="D2492" i="2"/>
  <c r="D2366" i="2"/>
  <c r="C2029" i="2"/>
  <c r="E1799" i="2"/>
  <c r="C2346" i="2"/>
  <c r="E2138" i="2"/>
  <c r="E1957" i="2"/>
  <c r="F2332" i="2"/>
  <c r="E1769" i="2"/>
  <c r="B2249" i="2"/>
  <c r="C2442" i="2"/>
  <c r="F1450" i="2"/>
  <c r="B2342" i="2"/>
  <c r="F2324" i="2"/>
  <c r="B1899" i="2"/>
  <c r="D1771" i="2"/>
  <c r="C2343" i="2"/>
  <c r="F1966" i="2"/>
  <c r="E1652" i="2"/>
  <c r="E2149" i="2"/>
  <c r="B1779" i="2"/>
  <c r="D2020" i="2"/>
  <c r="C2278" i="2"/>
  <c r="E1936" i="2"/>
  <c r="C2195" i="2"/>
  <c r="C1320" i="2"/>
  <c r="D1725" i="2"/>
  <c r="F2104" i="2"/>
  <c r="D1177" i="2"/>
  <c r="B1265" i="2"/>
  <c r="B2404" i="2"/>
  <c r="B1980" i="2"/>
  <c r="E1829" i="2"/>
  <c r="F2407" i="2"/>
  <c r="D1399" i="2"/>
  <c r="D2062" i="2"/>
  <c r="B1643" i="2"/>
  <c r="F1631" i="2"/>
  <c r="B1769" i="2"/>
  <c r="D1550" i="2"/>
  <c r="D1480" i="2"/>
  <c r="E2257" i="2"/>
  <c r="C2049" i="2"/>
  <c r="F2034" i="2"/>
  <c r="E2023" i="2"/>
  <c r="E1360" i="2"/>
  <c r="F2084" i="2"/>
  <c r="F2128" i="2"/>
  <c r="B2212" i="2"/>
  <c r="E1783" i="2"/>
  <c r="E1748" i="2"/>
  <c r="C2386" i="2"/>
  <c r="E2321" i="2"/>
  <c r="D1577" i="2"/>
  <c r="D1710" i="2"/>
  <c r="E1976" i="2"/>
  <c r="E2329" i="2"/>
  <c r="E1688" i="2"/>
  <c r="D2069" i="2"/>
  <c r="D1767" i="2"/>
  <c r="F2387" i="2"/>
  <c r="B2177" i="2"/>
  <c r="B2000" i="2"/>
  <c r="C1591" i="2"/>
  <c r="E2043" i="2"/>
  <c r="F1795" i="2"/>
  <c r="B1960" i="2"/>
  <c r="F2201" i="2"/>
  <c r="F1354" i="2"/>
  <c r="F1859" i="2"/>
  <c r="C1746" i="2"/>
  <c r="E2170" i="2"/>
  <c r="D1410" i="2"/>
  <c r="E1729" i="2"/>
  <c r="F1456" i="2"/>
  <c r="F1444" i="2"/>
  <c r="B1478" i="2"/>
  <c r="B1812" i="2"/>
  <c r="F1466" i="2"/>
  <c r="F1408" i="2"/>
  <c r="B1017" i="2"/>
  <c r="F1642" i="2"/>
  <c r="D1918" i="2"/>
  <c r="E1254" i="2"/>
  <c r="D619" i="2"/>
  <c r="D1531" i="2"/>
  <c r="F1814" i="2"/>
  <c r="F2103" i="2"/>
  <c r="B1021" i="2"/>
  <c r="F1713" i="2"/>
  <c r="B1185" i="2"/>
  <c r="E2060" i="2"/>
  <c r="B2222" i="2"/>
  <c r="B2099" i="2"/>
  <c r="F2193" i="2"/>
  <c r="F2259" i="2"/>
  <c r="D1899" i="2"/>
  <c r="E1840" i="2"/>
  <c r="D1643" i="2"/>
  <c r="E1879" i="2"/>
  <c r="F1953" i="2"/>
  <c r="D1254" i="2"/>
  <c r="F1724" i="2"/>
  <c r="B1201" i="2"/>
  <c r="C1423" i="2"/>
  <c r="B1762" i="2"/>
  <c r="C1689" i="2"/>
  <c r="B2172" i="2"/>
  <c r="E1864" i="2"/>
  <c r="D1466" i="2"/>
  <c r="E1890" i="2"/>
  <c r="C2121" i="2"/>
  <c r="B2100" i="2"/>
  <c r="B1933" i="2"/>
  <c r="C2033" i="2"/>
  <c r="C2299" i="2"/>
  <c r="D2116" i="2"/>
  <c r="D2357" i="2"/>
  <c r="C2229" i="2"/>
  <c r="B1558" i="2"/>
  <c r="B1698" i="2"/>
  <c r="F1588" i="2"/>
  <c r="B1750" i="2"/>
  <c r="D2157" i="2"/>
  <c r="F1829" i="2"/>
  <c r="C2247" i="2"/>
  <c r="E1870" i="2"/>
  <c r="E1721" i="2"/>
  <c r="B1973" i="2"/>
  <c r="D1986" i="2"/>
  <c r="C1937" i="2"/>
  <c r="C2380" i="2"/>
  <c r="D2373" i="2"/>
  <c r="D2347" i="2"/>
  <c r="D1697" i="2"/>
  <c r="C2120" i="2"/>
  <c r="D2095" i="2"/>
  <c r="C1734" i="2"/>
  <c r="F1826" i="2"/>
  <c r="D1990" i="2"/>
  <c r="D1988" i="2"/>
  <c r="C1512" i="2"/>
  <c r="C1129" i="2"/>
  <c r="D2175" i="2"/>
  <c r="D1507" i="2"/>
  <c r="D1289" i="2"/>
  <c r="D1118" i="2"/>
  <c r="F1384" i="2"/>
  <c r="E1891" i="2"/>
  <c r="B1732" i="2"/>
  <c r="D2449" i="2"/>
  <c r="D1893" i="2"/>
  <c r="E2127" i="2"/>
  <c r="D1482" i="2"/>
  <c r="C1556" i="2"/>
  <c r="C2016" i="2"/>
  <c r="D1249" i="2"/>
  <c r="B1725" i="2"/>
  <c r="B1234" i="2"/>
  <c r="F1927" i="2"/>
  <c r="C916" i="2"/>
  <c r="E1853" i="2"/>
  <c r="D1438" i="2"/>
  <c r="F2503" i="2"/>
  <c r="E2042" i="2"/>
  <c r="F2088" i="2"/>
  <c r="E2130" i="2"/>
  <c r="C2378" i="2"/>
  <c r="B2269" i="2"/>
  <c r="C1511" i="2"/>
  <c r="C1653" i="2"/>
  <c r="B1775" i="2"/>
  <c r="D2150" i="2"/>
  <c r="E1509" i="2"/>
  <c r="D1592" i="2"/>
  <c r="E1646" i="2"/>
  <c r="E1664" i="2"/>
  <c r="E1396" i="2"/>
  <c r="F2186" i="2"/>
  <c r="D1929" i="2"/>
  <c r="C1683" i="2"/>
  <c r="F1741" i="2"/>
  <c r="C1706" i="2"/>
  <c r="C1866" i="2"/>
  <c r="B2353" i="2"/>
  <c r="F1102" i="2"/>
  <c r="F1837" i="2"/>
  <c r="B1948" i="2"/>
  <c r="F1668" i="2"/>
  <c r="D1107" i="2"/>
  <c r="C1716" i="2"/>
  <c r="F1650" i="2"/>
  <c r="F1349" i="2"/>
  <c r="B2486" i="2"/>
  <c r="F1423" i="2"/>
  <c r="C2167" i="2"/>
  <c r="B1392" i="2"/>
  <c r="C1916" i="2"/>
  <c r="F2026" i="2"/>
  <c r="D1401" i="2"/>
  <c r="D1515" i="2"/>
  <c r="E1645" i="2"/>
  <c r="C1287" i="2"/>
  <c r="F1432" i="2"/>
  <c r="E1628" i="2"/>
  <c r="E1495" i="2"/>
  <c r="C1665" i="2"/>
  <c r="C2207" i="2"/>
  <c r="E1224" i="2"/>
  <c r="E1683" i="2"/>
  <c r="F1504" i="2"/>
  <c r="B1482" i="2"/>
  <c r="B1241" i="2"/>
  <c r="F1124" i="2"/>
  <c r="F1325" i="2"/>
  <c r="E1363" i="2"/>
  <c r="B1571" i="2"/>
  <c r="B1187" i="2"/>
  <c r="D1775" i="2"/>
  <c r="C1487" i="2"/>
  <c r="B1332" i="2"/>
  <c r="B1114" i="2"/>
  <c r="C1631" i="2"/>
  <c r="C1273" i="2"/>
  <c r="B916" i="2"/>
  <c r="C1892" i="2"/>
  <c r="F2190" i="2"/>
  <c r="B1959" i="2"/>
  <c r="D1516" i="2"/>
  <c r="F2450" i="2"/>
  <c r="F2054" i="2"/>
  <c r="F1557" i="2"/>
  <c r="F1648" i="2"/>
  <c r="F1232" i="2"/>
  <c r="D1601" i="2"/>
  <c r="D1851" i="2"/>
  <c r="C1399" i="2"/>
  <c r="F1947" i="2"/>
  <c r="D1743" i="2"/>
  <c r="F1852" i="2"/>
  <c r="B2189" i="2"/>
  <c r="D2503" i="2"/>
  <c r="F2155" i="2"/>
  <c r="B1857" i="2"/>
  <c r="B2005" i="2"/>
  <c r="B2365" i="2"/>
  <c r="B2091" i="2"/>
  <c r="C2021" i="2"/>
  <c r="F1704" i="2"/>
  <c r="F2181" i="2"/>
  <c r="E2096" i="2"/>
  <c r="E2232" i="2"/>
  <c r="C2248" i="2"/>
  <c r="B2075" i="2"/>
  <c r="E1651" i="2"/>
  <c r="C1367" i="2"/>
  <c r="F2485" i="2"/>
  <c r="E2375" i="2"/>
  <c r="F1989" i="2"/>
  <c r="F1474" i="2"/>
  <c r="F1939" i="2"/>
  <c r="D1735" i="2"/>
  <c r="B1866" i="2"/>
  <c r="E2072" i="2"/>
  <c r="B2367" i="2"/>
  <c r="E2071" i="2"/>
  <c r="E1760" i="2"/>
  <c r="C1374" i="2"/>
  <c r="D1445" i="2"/>
  <c r="B1800" i="2"/>
  <c r="B1781" i="2"/>
  <c r="F1114" i="2"/>
  <c r="B1786" i="2"/>
  <c r="C1173" i="2"/>
  <c r="D1678" i="2"/>
  <c r="C2373" i="2"/>
  <c r="C2012" i="2"/>
  <c r="F1866" i="2"/>
  <c r="B2007" i="2"/>
  <c r="E2133" i="2"/>
  <c r="B1449" i="2"/>
  <c r="D1883" i="2"/>
  <c r="E1273" i="2"/>
  <c r="F1099" i="2"/>
  <c r="D1485" i="2"/>
  <c r="C1513" i="2"/>
  <c r="C1472" i="2"/>
  <c r="B1219" i="2"/>
  <c r="D1936" i="2"/>
  <c r="B1100" i="2"/>
  <c r="C2257" i="2"/>
  <c r="F2120" i="2"/>
  <c r="B1915" i="2"/>
  <c r="B1780" i="2"/>
  <c r="E1488" i="2"/>
  <c r="E1624" i="2"/>
  <c r="C1729" i="2"/>
  <c r="E1690" i="2"/>
  <c r="E2220" i="2"/>
  <c r="D1472" i="2"/>
  <c r="E1304" i="2"/>
  <c r="E2408" i="2"/>
  <c r="F1142" i="2"/>
  <c r="E1892" i="2"/>
  <c r="F1851" i="2"/>
  <c r="E1299" i="2"/>
  <c r="C1814" i="2"/>
  <c r="E1707" i="2"/>
  <c r="D1613" i="2"/>
  <c r="D1404" i="2"/>
  <c r="E2017" i="2"/>
  <c r="D1528" i="2"/>
  <c r="E1467" i="2"/>
  <c r="F1827" i="2"/>
  <c r="D535" i="2"/>
  <c r="D1925" i="2"/>
  <c r="F1328" i="2"/>
  <c r="B2311" i="2"/>
  <c r="D1484" i="2"/>
  <c r="D1568" i="2"/>
  <c r="D2485" i="2"/>
  <c r="C2497" i="2"/>
  <c r="B1691" i="2"/>
  <c r="B1830" i="2"/>
  <c r="E1585" i="2"/>
  <c r="B2200" i="2"/>
  <c r="E1133" i="2"/>
  <c r="C1791" i="2"/>
  <c r="F1553" i="2"/>
  <c r="F1307" i="2"/>
  <c r="D1566" i="2"/>
  <c r="F1154" i="2"/>
  <c r="E1860" i="2"/>
  <c r="B1001" i="2"/>
  <c r="B1553" i="2"/>
  <c r="E456" i="2"/>
  <c r="C2032" i="2"/>
  <c r="F1324" i="2"/>
  <c r="C1519" i="2"/>
  <c r="B1554" i="2"/>
  <c r="C1294" i="2"/>
  <c r="C1702" i="2"/>
  <c r="F2063" i="2"/>
  <c r="E1765" i="2"/>
  <c r="E2021" i="2"/>
  <c r="F1728" i="2"/>
  <c r="F1179" i="2"/>
  <c r="B1671" i="2"/>
  <c r="F1685" i="2"/>
  <c r="C1792" i="2"/>
  <c r="C1530" i="2"/>
  <c r="C1010" i="2"/>
  <c r="C1623" i="2"/>
  <c r="C2097" i="2"/>
  <c r="E2177" i="2"/>
  <c r="C1527" i="2"/>
  <c r="E1949" i="2"/>
  <c r="E2274" i="2"/>
  <c r="D2027" i="2"/>
  <c r="C1853" i="2"/>
  <c r="F995" i="2"/>
  <c r="E1677" i="2"/>
  <c r="E2455" i="2"/>
  <c r="C1758" i="2"/>
  <c r="F1679" i="2"/>
  <c r="F2439" i="2"/>
  <c r="F2078" i="2"/>
  <c r="B1766" i="2"/>
  <c r="E1632" i="2"/>
  <c r="B1652" i="2"/>
  <c r="F1701" i="2"/>
  <c r="C1956" i="2"/>
  <c r="E1373" i="2"/>
  <c r="F1669" i="2"/>
  <c r="E1531" i="2"/>
  <c r="E1522" i="2"/>
  <c r="B1404" i="2"/>
  <c r="C1260" i="2"/>
  <c r="C1286" i="2"/>
  <c r="D1020" i="2"/>
  <c r="B2381" i="2"/>
  <c r="C1648" i="2"/>
  <c r="F2442" i="2"/>
  <c r="D2001" i="2"/>
  <c r="F1987" i="2"/>
  <c r="F1736" i="2"/>
  <c r="E2028" i="2"/>
  <c r="D2412" i="2"/>
  <c r="E2228" i="2"/>
  <c r="C2347" i="2"/>
  <c r="F1857" i="2"/>
  <c r="F2443" i="2"/>
  <c r="D1190" i="2"/>
  <c r="B2482" i="2"/>
  <c r="B2295" i="2"/>
  <c r="D1720" i="2"/>
  <c r="E1243" i="2"/>
  <c r="E2175" i="2"/>
  <c r="F1882" i="2"/>
  <c r="F2406" i="2"/>
  <c r="C1952" i="2"/>
  <c r="E2313" i="2"/>
  <c r="D2040" i="2"/>
  <c r="F2154" i="2"/>
  <c r="F1794" i="2"/>
  <c r="E2024" i="2"/>
  <c r="C2289" i="2"/>
  <c r="E1452" i="2"/>
  <c r="E2085" i="2"/>
  <c r="E1927" i="2"/>
  <c r="B2219" i="2"/>
  <c r="E1428" i="2"/>
  <c r="C2092" i="2"/>
  <c r="D1604" i="2"/>
  <c r="E1537" i="2"/>
  <c r="D1567" i="2"/>
  <c r="D975" i="2"/>
  <c r="D1489" i="2"/>
  <c r="F1991" i="2"/>
  <c r="D1696" i="2"/>
  <c r="C2014" i="2"/>
  <c r="E2083" i="2"/>
  <c r="B1874" i="2"/>
  <c r="F1605" i="2"/>
  <c r="E1380" i="2"/>
  <c r="B1835" i="2"/>
  <c r="F1771" i="2"/>
  <c r="B1150" i="2"/>
  <c r="B793" i="2"/>
  <c r="C1176" i="2"/>
  <c r="F1235" i="2"/>
  <c r="B1252" i="2"/>
  <c r="E924" i="2"/>
  <c r="B1900" i="2"/>
  <c r="B2037" i="2"/>
  <c r="D1819" i="2"/>
  <c r="B1702" i="2"/>
  <c r="C1555" i="2"/>
  <c r="D1962" i="2"/>
  <c r="B1615" i="2"/>
  <c r="B1882" i="2"/>
  <c r="F1493" i="2"/>
  <c r="F2171" i="2"/>
  <c r="C1375" i="2"/>
  <c r="E1412" i="2"/>
  <c r="E1850" i="2"/>
  <c r="E1506" i="2"/>
  <c r="E1442" i="2"/>
  <c r="B1069" i="2"/>
  <c r="B2392" i="2"/>
  <c r="B2039" i="2"/>
  <c r="C1692" i="2"/>
  <c r="F1604" i="2"/>
  <c r="B1965" i="2"/>
  <c r="C1007" i="2"/>
  <c r="F1948" i="2"/>
  <c r="F827" i="2"/>
  <c r="B1438" i="2"/>
  <c r="F1187" i="2"/>
  <c r="E1370" i="2"/>
  <c r="E1498" i="2"/>
  <c r="B2103" i="2"/>
  <c r="F1725" i="2"/>
  <c r="E2194" i="2"/>
  <c r="F2065" i="2"/>
  <c r="B2435" i="2"/>
  <c r="F1712" i="2"/>
  <c r="D1886" i="2"/>
  <c r="E1262" i="2"/>
  <c r="B2045" i="2"/>
  <c r="F2051" i="2"/>
  <c r="B1653" i="2"/>
  <c r="D1530" i="2"/>
  <c r="C1973" i="2"/>
  <c r="E1458" i="2"/>
  <c r="C1737" i="2"/>
  <c r="E1530" i="2"/>
  <c r="D1324" i="2"/>
  <c r="D1154" i="2"/>
  <c r="B1299" i="2"/>
  <c r="C1474" i="2"/>
  <c r="D1469" i="2"/>
  <c r="F1469" i="2"/>
  <c r="F800" i="2"/>
  <c r="C1957" i="2"/>
  <c r="B1807" i="2"/>
  <c r="E1789" i="2"/>
  <c r="F1268" i="2"/>
  <c r="F1509" i="2"/>
  <c r="B1208" i="2"/>
  <c r="F1753" i="2"/>
  <c r="E1821" i="2"/>
  <c r="D1158" i="2"/>
  <c r="C1627" i="2"/>
  <c r="C1448" i="2"/>
  <c r="D2059" i="2"/>
  <c r="E2290" i="2"/>
  <c r="D2146" i="2"/>
  <c r="C1743" i="2"/>
  <c r="E1673" i="2"/>
  <c r="B1582" i="2"/>
  <c r="B2281" i="2"/>
  <c r="C1715" i="2"/>
  <c r="D2292" i="2"/>
  <c r="B1798" i="2"/>
  <c r="D2149" i="2"/>
  <c r="C1450" i="2"/>
  <c r="D2425" i="2"/>
  <c r="E2119" i="2"/>
  <c r="D2222" i="2"/>
  <c r="F2340" i="2"/>
  <c r="D1922" i="2"/>
  <c r="D1965" i="2"/>
  <c r="F2265" i="2"/>
  <c r="F2415" i="2"/>
  <c r="E1420" i="2"/>
  <c r="E2169" i="2"/>
  <c r="E2123" i="2"/>
  <c r="B1650" i="2"/>
  <c r="B2375" i="2"/>
  <c r="F2095" i="2"/>
  <c r="E1955" i="2"/>
  <c r="F1505" i="2"/>
  <c r="C1783" i="2"/>
  <c r="B2434" i="2"/>
  <c r="E2433" i="2"/>
  <c r="D1914" i="2"/>
  <c r="B1364" i="2"/>
  <c r="E2101" i="2"/>
  <c r="B2019" i="2"/>
  <c r="F2093" i="2"/>
  <c r="F2374" i="2"/>
  <c r="F1378" i="2"/>
  <c r="E2457" i="2"/>
  <c r="E1987" i="2"/>
  <c r="C1542" i="2"/>
  <c r="F1847" i="2"/>
  <c r="C1271" i="2"/>
  <c r="F1979" i="2"/>
  <c r="B2120" i="2"/>
  <c r="E1157" i="2"/>
  <c r="B1824" i="2"/>
  <c r="B1809" i="2"/>
  <c r="B2369" i="2"/>
  <c r="C1535" i="2"/>
  <c r="C1728" i="2"/>
  <c r="C1365" i="2"/>
  <c r="D1500" i="2"/>
  <c r="D1823" i="2"/>
  <c r="E1861" i="2"/>
  <c r="D1865" i="2"/>
  <c r="C1238" i="2"/>
  <c r="E1841" i="2"/>
  <c r="D1006" i="2"/>
  <c r="B1120" i="2"/>
  <c r="B1290" i="2"/>
  <c r="B1297" i="2"/>
  <c r="D1375" i="2"/>
  <c r="E2057" i="2"/>
  <c r="B1805" i="2"/>
  <c r="E2461" i="2"/>
  <c r="F1275" i="2"/>
  <c r="C2005" i="2"/>
  <c r="E1746" i="2"/>
  <c r="C1808" i="2"/>
  <c r="B1976" i="2"/>
  <c r="C1698" i="2"/>
  <c r="C1617" i="2"/>
  <c r="F2072" i="2"/>
  <c r="D1411" i="2"/>
  <c r="F1627" i="2"/>
  <c r="F1385" i="2"/>
  <c r="E1366" i="2"/>
  <c r="E1965" i="2"/>
  <c r="B2032" i="2"/>
  <c r="C1690" i="2"/>
  <c r="E1616" i="2"/>
  <c r="D1734" i="2"/>
  <c r="D1656" i="2"/>
  <c r="B1552" i="2"/>
  <c r="F1174" i="2"/>
  <c r="E449" i="2"/>
  <c r="F1047" i="2"/>
  <c r="D2163" i="2"/>
  <c r="B1400" i="2"/>
  <c r="D1380" i="2"/>
  <c r="F1787" i="2"/>
  <c r="E1533" i="2"/>
  <c r="C2203" i="2"/>
  <c r="E1967" i="2"/>
  <c r="D1939" i="2"/>
  <c r="E2073" i="2"/>
  <c r="B1380" i="2"/>
  <c r="C1172" i="2"/>
  <c r="F1664" i="2"/>
  <c r="B2390" i="2"/>
  <c r="D2358" i="2"/>
  <c r="E1644" i="2"/>
  <c r="F1277" i="2"/>
  <c r="F1751" i="2"/>
  <c r="D1756" i="2"/>
  <c r="F1841" i="2"/>
  <c r="C1811" i="2"/>
  <c r="B1216" i="2"/>
  <c r="D1611" i="2"/>
  <c r="F1468" i="2"/>
  <c r="F1314" i="2"/>
  <c r="B1270" i="2"/>
  <c r="F599" i="2"/>
  <c r="D2104" i="2"/>
  <c r="B1247" i="2"/>
  <c r="B1127" i="2"/>
  <c r="F1366" i="2"/>
  <c r="B1804" i="2"/>
  <c r="F1526" i="2"/>
  <c r="D715" i="2"/>
  <c r="B2017" i="2"/>
  <c r="F1644" i="2"/>
  <c r="F1406" i="2"/>
  <c r="D1116" i="2"/>
  <c r="C2333" i="2"/>
  <c r="B2225" i="2"/>
  <c r="F1820" i="2"/>
  <c r="E1876" i="2"/>
  <c r="C1842" i="2"/>
  <c r="D2467" i="2"/>
  <c r="F2101" i="2"/>
  <c r="D2018" i="2"/>
  <c r="C2456" i="2"/>
  <c r="E2082" i="2"/>
  <c r="F2437" i="2"/>
  <c r="D1525" i="2"/>
  <c r="F1628" i="2"/>
  <c r="D2334" i="2"/>
  <c r="B2081" i="2"/>
  <c r="F2300" i="2"/>
  <c r="F1918" i="2"/>
  <c r="D2504" i="2"/>
  <c r="E2460" i="2"/>
  <c r="E2183" i="2"/>
  <c r="E2294" i="2"/>
  <c r="E2351" i="2"/>
  <c r="D1799" i="2"/>
  <c r="C1917" i="2"/>
  <c r="C1904" i="2"/>
  <c r="F2240" i="2"/>
  <c r="D1353" i="2"/>
  <c r="D1715" i="2"/>
  <c r="B1872" i="2"/>
  <c r="B2083" i="2"/>
  <c r="F2002" i="2"/>
  <c r="B1434" i="2"/>
  <c r="B1214" i="2"/>
  <c r="F1019" i="2"/>
  <c r="D1569" i="2"/>
  <c r="C1483" i="2"/>
  <c r="E1143" i="2"/>
  <c r="D1868" i="2"/>
  <c r="D1318" i="2"/>
  <c r="B2052" i="2"/>
  <c r="D2098" i="2"/>
  <c r="E1636" i="2"/>
  <c r="B1852" i="2"/>
  <c r="D2092" i="2"/>
  <c r="B1488" i="2"/>
  <c r="C1697" i="2"/>
  <c r="D1585" i="2"/>
  <c r="E1556" i="2"/>
  <c r="D1169" i="2"/>
  <c r="B1448" i="2"/>
  <c r="D1367" i="2"/>
  <c r="F2253" i="2"/>
  <c r="D2079" i="2"/>
  <c r="C2114" i="2"/>
  <c r="E1717" i="2"/>
  <c r="E2026" i="2"/>
  <c r="E1776" i="2"/>
  <c r="D1827" i="2"/>
  <c r="F1480" i="2"/>
  <c r="D1387" i="2"/>
  <c r="E2422" i="2"/>
  <c r="E1633" i="2"/>
  <c r="F1624" i="2"/>
  <c r="E1920" i="2"/>
  <c r="D1586" i="2"/>
  <c r="D1782" i="2"/>
  <c r="C1220" i="2"/>
  <c r="F1420" i="2"/>
  <c r="E1696" i="2"/>
  <c r="C1788" i="2"/>
  <c r="B1604" i="2"/>
  <c r="E1526" i="2"/>
  <c r="B1774" i="2"/>
  <c r="F1430" i="2"/>
  <c r="E1659" i="2"/>
  <c r="E569" i="2"/>
  <c r="E1555" i="2"/>
  <c r="F1075" i="2"/>
  <c r="F2007" i="2"/>
  <c r="C1321" i="2"/>
  <c r="D1369" i="2"/>
  <c r="B1359" i="2"/>
  <c r="D2129" i="2"/>
  <c r="E2008" i="2"/>
  <c r="D1829" i="2"/>
  <c r="E1587" i="2"/>
  <c r="E1732" i="2"/>
  <c r="B1546" i="2"/>
  <c r="B1836" i="2"/>
  <c r="D2204" i="2"/>
  <c r="B2067" i="2"/>
  <c r="E2100" i="2"/>
  <c r="F1476" i="2"/>
  <c r="C1984" i="2"/>
  <c r="D1014" i="2"/>
  <c r="D1731" i="2"/>
  <c r="E1190" i="2"/>
  <c r="B1116" i="2"/>
  <c r="C1880" i="2"/>
  <c r="C1454" i="2"/>
  <c r="C1794" i="2"/>
  <c r="C1656" i="2"/>
  <c r="C245" i="2"/>
  <c r="E1788" i="2"/>
  <c r="D1730" i="2"/>
  <c r="F1322" i="2"/>
  <c r="C988" i="2"/>
  <c r="B1654" i="2"/>
  <c r="C1573" i="2"/>
  <c r="B505" i="2"/>
  <c r="D1858" i="2"/>
  <c r="D1226" i="2"/>
  <c r="F1374" i="2"/>
  <c r="B1296" i="2"/>
  <c r="F2456" i="2"/>
  <c r="D1739" i="2"/>
  <c r="C1830" i="2"/>
  <c r="B2181" i="2"/>
  <c r="C2325" i="2"/>
  <c r="F1955" i="2"/>
  <c r="B1849" i="2"/>
  <c r="C1236" i="2"/>
  <c r="B1578" i="2"/>
  <c r="E1785" i="2"/>
  <c r="B2116" i="2"/>
  <c r="D2067" i="2"/>
  <c r="B1610" i="2"/>
  <c r="B2119" i="2"/>
  <c r="E1711" i="2"/>
  <c r="E1492" i="2"/>
  <c r="D1352" i="2"/>
  <c r="D1615" i="2"/>
  <c r="D1342" i="2"/>
  <c r="C1476" i="2"/>
  <c r="B2113" i="2"/>
  <c r="C1152" i="2"/>
  <c r="C1575" i="2"/>
  <c r="B1538" i="2"/>
  <c r="B1275" i="2"/>
  <c r="C1543" i="2"/>
  <c r="E1535" i="2"/>
  <c r="B2214" i="2"/>
  <c r="C1667" i="2"/>
  <c r="B743" i="2"/>
  <c r="F2489" i="2"/>
  <c r="E1863" i="2"/>
  <c r="B2405" i="2"/>
  <c r="F2189" i="2"/>
  <c r="D2206" i="2"/>
  <c r="B2272" i="2"/>
  <c r="F1908" i="2"/>
  <c r="F1962" i="2"/>
  <c r="B1717" i="2"/>
  <c r="B1891" i="2"/>
  <c r="F1961" i="2"/>
  <c r="D1679" i="2"/>
  <c r="C1779" i="2"/>
  <c r="B2078" i="2"/>
  <c r="D1807" i="2"/>
  <c r="D1607" i="2"/>
  <c r="D2245" i="2"/>
  <c r="E2001" i="2"/>
  <c r="B1498" i="2"/>
  <c r="B1662" i="2"/>
  <c r="E2377" i="2"/>
  <c r="F2133" i="2"/>
  <c r="F1491" i="2"/>
  <c r="C2402" i="2"/>
  <c r="C1848" i="2"/>
  <c r="B2498" i="2"/>
  <c r="F1536" i="2"/>
  <c r="F2182" i="2"/>
  <c r="B2231" i="2"/>
  <c r="B1862" i="2"/>
  <c r="D1864" i="2"/>
  <c r="B1585" i="2"/>
  <c r="E1523" i="2"/>
  <c r="D1539" i="2"/>
  <c r="E1559" i="2"/>
  <c r="D2405" i="2"/>
  <c r="D1817" i="2"/>
  <c r="B1783" i="2"/>
  <c r="B2043" i="2"/>
  <c r="C1373" i="2"/>
  <c r="C1770" i="2"/>
  <c r="C1256" i="2"/>
  <c r="B2282" i="2"/>
  <c r="C1578" i="2"/>
  <c r="F1427" i="2"/>
  <c r="C1235" i="2"/>
  <c r="E1971" i="2"/>
  <c r="F1304" i="2"/>
  <c r="D2120" i="2"/>
  <c r="E1494" i="2"/>
  <c r="C1987" i="2"/>
  <c r="E1517" i="2"/>
  <c r="F1868" i="2"/>
  <c r="F1538" i="2"/>
  <c r="D1786" i="2"/>
  <c r="C1490" i="2"/>
  <c r="B1726" i="2"/>
  <c r="E1737" i="2"/>
  <c r="E1855" i="2"/>
  <c r="B1794" i="2"/>
  <c r="E1623" i="2"/>
  <c r="B2063" i="2"/>
  <c r="C1268" i="2"/>
  <c r="D1468" i="2"/>
  <c r="C1097" i="2"/>
  <c r="D1985" i="2"/>
  <c r="F1206" i="2"/>
  <c r="E1791" i="2"/>
  <c r="F1719" i="2"/>
  <c r="E1672" i="2"/>
  <c r="F2082" i="2"/>
  <c r="B1607" i="2"/>
  <c r="B1254" i="2"/>
  <c r="B1929" i="2"/>
  <c r="E1010" i="2"/>
  <c r="B1909" i="2"/>
  <c r="D939" i="2"/>
  <c r="F2015" i="2"/>
  <c r="B1112" i="2"/>
  <c r="C1402" i="2"/>
  <c r="E1734" i="2"/>
  <c r="C2201" i="2"/>
  <c r="F2210" i="2"/>
  <c r="C1607" i="2"/>
  <c r="C1284" i="2"/>
  <c r="C1645" i="2"/>
  <c r="D1917" i="2"/>
  <c r="B1752" i="2"/>
  <c r="C1507" i="2"/>
  <c r="D1832" i="2"/>
  <c r="B1950" i="2"/>
  <c r="F1666" i="2"/>
  <c r="C1701" i="2"/>
  <c r="C1947" i="2"/>
  <c r="E1482" i="2"/>
  <c r="B1104" i="2"/>
  <c r="D14" i="2"/>
  <c r="C1442" i="2"/>
  <c r="B1158" i="2"/>
  <c r="C1739" i="2"/>
  <c r="B1637" i="2"/>
  <c r="E1419" i="2"/>
  <c r="C1479" i="2"/>
  <c r="C1643" i="2"/>
  <c r="B771" i="2"/>
  <c r="E1098" i="2"/>
  <c r="D1464" i="2"/>
  <c r="E1148" i="2"/>
  <c r="B1230" i="2"/>
  <c r="E1141" i="2"/>
  <c r="E1343" i="2"/>
  <c r="B772" i="2"/>
  <c r="C689" i="2"/>
  <c r="F2348" i="2"/>
  <c r="B1382" i="2"/>
  <c r="D2052" i="2"/>
  <c r="D2168" i="2"/>
  <c r="C2192" i="2"/>
  <c r="F1372" i="2"/>
  <c r="F1931" i="2"/>
  <c r="F1425" i="2"/>
  <c r="E1197" i="2"/>
  <c r="D2205" i="2"/>
  <c r="F2379" i="2"/>
  <c r="C1900" i="2"/>
  <c r="C2125" i="2"/>
  <c r="C2366" i="2"/>
  <c r="C1891" i="2"/>
  <c r="E1185" i="2"/>
  <c r="E1642" i="2"/>
  <c r="C2186" i="2"/>
  <c r="D1422" i="2"/>
  <c r="F1393" i="2"/>
  <c r="F1494" i="2"/>
  <c r="B2046" i="2"/>
  <c r="B1412" i="2"/>
  <c r="B2138" i="2"/>
  <c r="B1313" i="2"/>
  <c r="F2119" i="2"/>
  <c r="B1881" i="2"/>
  <c r="F1832" i="2"/>
  <c r="B1782" i="2"/>
  <c r="C2213" i="2"/>
  <c r="B1057" i="2"/>
  <c r="C1708" i="2"/>
  <c r="D2479" i="2"/>
  <c r="E1946" i="2"/>
  <c r="B1706" i="2"/>
  <c r="B1475" i="2"/>
  <c r="C1547" i="2"/>
  <c r="F1776" i="2"/>
  <c r="B1731" i="2"/>
  <c r="F1786" i="2"/>
  <c r="C2028" i="2"/>
  <c r="C1156" i="2"/>
  <c r="F1485" i="2"/>
  <c r="C1239" i="2"/>
  <c r="B1486" i="2"/>
  <c r="C1941" i="2"/>
  <c r="E1865" i="2"/>
  <c r="F1611" i="2"/>
  <c r="C1492" i="2"/>
  <c r="C2190" i="2"/>
  <c r="E1189" i="2"/>
  <c r="B1504" i="2"/>
  <c r="C1597" i="2"/>
  <c r="D1713" i="2"/>
  <c r="C1082" i="2"/>
  <c r="F885" i="2"/>
  <c r="F2172" i="2"/>
  <c r="D1332" i="2"/>
  <c r="C1305" i="2"/>
  <c r="D978" i="2"/>
  <c r="E75" i="2"/>
  <c r="B1173" i="2"/>
  <c r="C1289" i="2"/>
  <c r="B1530" i="2"/>
  <c r="B1020" i="2"/>
  <c r="C1712" i="2"/>
  <c r="D2273" i="2"/>
  <c r="D2391" i="2"/>
  <c r="D1547" i="2"/>
  <c r="F1635" i="2"/>
  <c r="D2140" i="2"/>
  <c r="C1383" i="2"/>
  <c r="E1393" i="2"/>
  <c r="F1559" i="2"/>
  <c r="E2052" i="2"/>
  <c r="E1661" i="2"/>
  <c r="C1452" i="2"/>
  <c r="B2275" i="2"/>
  <c r="B2383" i="2"/>
  <c r="D2075" i="2"/>
  <c r="B2258" i="2"/>
  <c r="C1491" i="2"/>
  <c r="E1839" i="2"/>
  <c r="E1989" i="2"/>
  <c r="D1723" i="2"/>
  <c r="D1642" i="2"/>
  <c r="C1528" i="2"/>
  <c r="F1399" i="2"/>
  <c r="D1987" i="2"/>
  <c r="F1530" i="2"/>
  <c r="B1705" i="2"/>
  <c r="D1302" i="2"/>
  <c r="F754" i="2"/>
  <c r="E1431" i="2"/>
  <c r="D1227" i="2"/>
  <c r="F2089" i="2"/>
  <c r="B1164" i="2"/>
  <c r="C1677" i="2"/>
  <c r="E1966" i="2"/>
  <c r="B1360" i="2"/>
  <c r="B1993" i="2"/>
  <c r="E1086" i="2"/>
  <c r="E1253" i="2"/>
  <c r="F1928" i="2"/>
  <c r="B1425" i="2"/>
  <c r="D744" i="2"/>
  <c r="B2018" i="2"/>
  <c r="D1688" i="2"/>
  <c r="C1148" i="2"/>
  <c r="B2290" i="2"/>
  <c r="D1821" i="2"/>
  <c r="B1738" i="2"/>
  <c r="F1716" i="2"/>
  <c r="F1622" i="2"/>
  <c r="C1934" i="2"/>
  <c r="E1820" i="2"/>
  <c r="E1809" i="2"/>
  <c r="C1536" i="2"/>
  <c r="B1415" i="2"/>
  <c r="B1307" i="2"/>
  <c r="E1350" i="2"/>
  <c r="E1715" i="2"/>
  <c r="E2309" i="2"/>
  <c r="F1708" i="2"/>
  <c r="E2151" i="2"/>
  <c r="E2079" i="2"/>
  <c r="D2293" i="2"/>
  <c r="B1748" i="2"/>
  <c r="D1891" i="2"/>
  <c r="D1774" i="2"/>
  <c r="F1237" i="2"/>
  <c r="D852" i="2"/>
  <c r="F1899" i="2"/>
  <c r="C1959" i="2"/>
  <c r="C2144" i="2"/>
  <c r="D1481" i="2"/>
  <c r="E1298" i="2"/>
  <c r="B1317" i="2"/>
  <c r="E1592" i="2"/>
  <c r="F1523" i="2"/>
  <c r="D2147" i="2"/>
  <c r="D1966" i="2"/>
  <c r="B1711" i="2"/>
  <c r="C2463" i="2"/>
  <c r="B1737" i="2"/>
  <c r="E1848" i="2"/>
  <c r="E1824" i="2"/>
  <c r="B1935" i="2"/>
  <c r="D1849" i="2"/>
  <c r="C1693" i="2"/>
  <c r="D1529" i="2"/>
  <c r="C1893" i="2"/>
  <c r="D1610" i="2"/>
  <c r="D811" i="2"/>
  <c r="D1783" i="2"/>
  <c r="E1805" i="2"/>
  <c r="E1339" i="2"/>
  <c r="E958" i="2"/>
  <c r="E1325" i="2"/>
  <c r="D1580" i="2"/>
  <c r="E847" i="2"/>
  <c r="B1420" i="2"/>
  <c r="C1812" i="2"/>
  <c r="D1441" i="2"/>
  <c r="D1002" i="2"/>
  <c r="F1906" i="2"/>
  <c r="B2132" i="2"/>
  <c r="D2073" i="2"/>
  <c r="E1580" i="2"/>
  <c r="B1491" i="2"/>
  <c r="D1835" i="2"/>
  <c r="E2275" i="2"/>
  <c r="D2272" i="2"/>
  <c r="D1630" i="2"/>
  <c r="F1522" i="2"/>
  <c r="B1733" i="2"/>
  <c r="D2082" i="2"/>
  <c r="B2209" i="2"/>
  <c r="D1561" i="2"/>
  <c r="C2504" i="2"/>
  <c r="B2242" i="2"/>
  <c r="C1967" i="2"/>
  <c r="C2311" i="2"/>
  <c r="C1304" i="2"/>
  <c r="C2305" i="2"/>
  <c r="C1762" i="2"/>
  <c r="B1612" i="2"/>
  <c r="B1709" i="2"/>
  <c r="E1181" i="2"/>
  <c r="C1800" i="2"/>
  <c r="D1964" i="2"/>
  <c r="C1522" i="2"/>
  <c r="E1272" i="2"/>
  <c r="E1720" i="2"/>
  <c r="D1338" i="2"/>
  <c r="F1761" i="2"/>
  <c r="F1632" i="2"/>
  <c r="C841" i="2"/>
  <c r="E2005" i="2"/>
  <c r="C1254" i="2"/>
  <c r="B1060" i="2"/>
  <c r="E1295" i="2"/>
  <c r="D1948" i="2"/>
  <c r="D1210" i="2"/>
  <c r="F1576" i="2"/>
  <c r="C1983" i="2"/>
  <c r="B1700" i="2"/>
  <c r="F1243" i="2"/>
  <c r="C1953" i="2"/>
  <c r="D1436" i="2"/>
  <c r="B1492" i="2"/>
  <c r="D1785" i="2"/>
  <c r="D1391" i="2"/>
  <c r="E1635" i="2"/>
  <c r="B1518" i="2"/>
  <c r="C1429" i="2"/>
  <c r="F1492" i="2"/>
  <c r="E1663" i="2"/>
  <c r="B1337" i="2"/>
  <c r="C1856" i="2"/>
  <c r="B1559" i="2"/>
  <c r="F1490" i="2"/>
  <c r="C1777" i="2"/>
  <c r="E870" i="2"/>
  <c r="C1497" i="2"/>
  <c r="F1405" i="2"/>
  <c r="B1429" i="2"/>
  <c r="E1088" i="2"/>
  <c r="D1378" i="2"/>
  <c r="D782" i="2"/>
  <c r="C771" i="2"/>
  <c r="C1369" i="2"/>
  <c r="C1624" i="2"/>
  <c r="F1236" i="2"/>
  <c r="F1551" i="2"/>
  <c r="E931" i="2"/>
  <c r="D1810" i="2"/>
  <c r="D376" i="2"/>
  <c r="B215" i="2"/>
  <c r="B268" i="2"/>
  <c r="E382" i="2"/>
  <c r="B2029" i="2"/>
  <c r="F1792" i="2"/>
  <c r="D2029" i="2"/>
  <c r="E1289" i="2"/>
  <c r="F1880" i="2"/>
  <c r="D1632" i="2"/>
  <c r="F1477" i="2"/>
  <c r="E1211" i="2"/>
  <c r="B1718" i="2"/>
  <c r="F2153" i="2"/>
  <c r="C1488" i="2"/>
  <c r="D1818" i="2"/>
  <c r="C1363" i="2"/>
  <c r="C1676" i="2"/>
  <c r="F1745" i="2"/>
  <c r="B1708" i="2"/>
  <c r="B1481" i="2"/>
  <c r="B1790" i="2"/>
  <c r="F2033" i="2"/>
  <c r="E1079" i="2"/>
  <c r="F2401" i="2"/>
  <c r="F1552" i="2"/>
  <c r="C1915" i="2"/>
  <c r="D1397" i="2"/>
  <c r="B1669" i="2"/>
  <c r="F1684" i="2"/>
  <c r="C871" i="2"/>
  <c r="E1093" i="2"/>
  <c r="F1797" i="2"/>
  <c r="D1498" i="2"/>
  <c r="F2016" i="2"/>
  <c r="B1580" i="2"/>
  <c r="B768" i="2"/>
  <c r="B1092" i="2"/>
  <c r="C1820" i="2"/>
  <c r="D1417" i="2"/>
  <c r="B1930" i="2"/>
  <c r="F1734" i="2"/>
  <c r="F1549" i="2"/>
  <c r="B2455" i="2"/>
  <c r="F1139" i="2"/>
  <c r="C1872" i="2"/>
  <c r="E1831" i="2"/>
  <c r="F1758" i="2"/>
  <c r="D2465" i="2"/>
  <c r="F1339" i="2"/>
  <c r="C1407" i="2"/>
  <c r="C2054" i="2"/>
  <c r="C1655" i="2"/>
  <c r="C1234" i="2"/>
  <c r="F1226" i="2"/>
  <c r="E1154" i="2"/>
  <c r="D1850" i="2"/>
  <c r="C868" i="2"/>
  <c r="D1235" i="2"/>
  <c r="D1294" i="2"/>
  <c r="E613" i="2"/>
  <c r="E1849" i="2"/>
  <c r="E1774" i="2"/>
  <c r="D1166" i="2"/>
  <c r="B856" i="2"/>
  <c r="F1262" i="2"/>
  <c r="E2432" i="2"/>
  <c r="C1838" i="2"/>
  <c r="D1947" i="2"/>
  <c r="B1693" i="2"/>
  <c r="D2021" i="2"/>
  <c r="D2457" i="2"/>
  <c r="B1777" i="2"/>
  <c r="F1726" i="2"/>
  <c r="E1797" i="2"/>
  <c r="E2135" i="2"/>
  <c r="B1228" i="2"/>
  <c r="C1766" i="2"/>
  <c r="F2169" i="2"/>
  <c r="F1453" i="2"/>
  <c r="E2010" i="2"/>
  <c r="B1527" i="2"/>
  <c r="C1585" i="2"/>
  <c r="E1653" i="2"/>
  <c r="B1887" i="2"/>
  <c r="B1566" i="2"/>
  <c r="B1410" i="2"/>
  <c r="E1867" i="2"/>
  <c r="E1599" i="2"/>
  <c r="F1986" i="2"/>
  <c r="D1908" i="2"/>
  <c r="C1089" i="2"/>
  <c r="E1228" i="2"/>
  <c r="F1488" i="2"/>
  <c r="B1079" i="2"/>
  <c r="F1702" i="2"/>
  <c r="F1356" i="2"/>
  <c r="E722" i="2"/>
  <c r="F1415" i="2"/>
  <c r="C1992" i="2"/>
  <c r="F1141" i="2"/>
  <c r="C828" i="2"/>
  <c r="D844" i="2"/>
  <c r="D1828" i="2"/>
  <c r="E961" i="2"/>
  <c r="B1567" i="2"/>
  <c r="E2051" i="2"/>
  <c r="D1762" i="2"/>
  <c r="B1108" i="2"/>
  <c r="D1787" i="2"/>
  <c r="C1735" i="2"/>
  <c r="E1382" i="2"/>
  <c r="B2111" i="2"/>
  <c r="F1678" i="2"/>
  <c r="C1498" i="2"/>
  <c r="E1610" i="2"/>
  <c r="D1842" i="2"/>
  <c r="E951" i="2"/>
  <c r="E1063" i="2"/>
  <c r="F1764" i="2"/>
  <c r="C1520" i="2"/>
  <c r="C1086" i="2"/>
  <c r="C1504" i="2"/>
  <c r="D907" i="2"/>
  <c r="D1663" i="2"/>
  <c r="D1780" i="2"/>
  <c r="E1287" i="2"/>
  <c r="E1856" i="2"/>
  <c r="E1943" i="2"/>
  <c r="C293" i="2"/>
  <c r="C577" i="2"/>
  <c r="C1051" i="2"/>
  <c r="F1181" i="2"/>
  <c r="F1323" i="2"/>
  <c r="E839" i="2"/>
  <c r="C1307" i="2"/>
  <c r="B1019" i="2"/>
  <c r="C202" i="2"/>
  <c r="C2406" i="1"/>
  <c r="C1939" i="2"/>
  <c r="E2034" i="2"/>
  <c r="C1679" i="2"/>
  <c r="E1909" i="2"/>
  <c r="D1513" i="2"/>
  <c r="D2192" i="2"/>
  <c r="C1563" i="2"/>
  <c r="F1985" i="2"/>
  <c r="B2030" i="2"/>
  <c r="F2469" i="2"/>
  <c r="F1592" i="2"/>
  <c r="E1418" i="2"/>
  <c r="E2327" i="2"/>
  <c r="B1917" i="2"/>
  <c r="B1464" i="2"/>
  <c r="E1691" i="2"/>
  <c r="D1934" i="2"/>
  <c r="E1603" i="2"/>
  <c r="D1365" i="2"/>
  <c r="F1777" i="2"/>
  <c r="C2101" i="2"/>
  <c r="C1272" i="2"/>
  <c r="D1419" i="2"/>
  <c r="D1430" i="2"/>
  <c r="F1810" i="2"/>
  <c r="B1516" i="2"/>
  <c r="F1601" i="2"/>
  <c r="D1557" i="2"/>
  <c r="D2137" i="2"/>
  <c r="E1953" i="2"/>
  <c r="F1256" i="2"/>
  <c r="B2441" i="2"/>
  <c r="B1458" i="2"/>
  <c r="C2023" i="2"/>
  <c r="E1674" i="2"/>
  <c r="C2038" i="2"/>
  <c r="D1582" i="2"/>
  <c r="E1973" i="2"/>
  <c r="D1395" i="2"/>
  <c r="E1552" i="2"/>
  <c r="E1671" i="2"/>
  <c r="B1267" i="2"/>
  <c r="E1315" i="2"/>
  <c r="F1823" i="2"/>
  <c r="B1910" i="2"/>
  <c r="B1925" i="2"/>
  <c r="F1231" i="2"/>
  <c r="D1054" i="2"/>
  <c r="C1269" i="2"/>
  <c r="E1689" i="2"/>
  <c r="B1730" i="2"/>
  <c r="E1114" i="2"/>
  <c r="B1375" i="2"/>
  <c r="B2088" i="2"/>
  <c r="D2228" i="2"/>
  <c r="F2213" i="2"/>
  <c r="D1644" i="2"/>
  <c r="E1917" i="2"/>
  <c r="D1241" i="2"/>
  <c r="E1454" i="2"/>
  <c r="B1386" i="2"/>
  <c r="C1805" i="2"/>
  <c r="F1916" i="2"/>
  <c r="E1593" i="2"/>
  <c r="E1508" i="2"/>
  <c r="C2261" i="2"/>
  <c r="F2005" i="2"/>
  <c r="D2282" i="2"/>
  <c r="C1921" i="2"/>
  <c r="E1773" i="2"/>
  <c r="C1633" i="2"/>
  <c r="D1532" i="2"/>
  <c r="D1502" i="2"/>
  <c r="E1730" i="2"/>
  <c r="B1844" i="2"/>
  <c r="D1659" i="2"/>
  <c r="F1896" i="2"/>
  <c r="B1754" i="2"/>
  <c r="C1464" i="2"/>
  <c r="B1773" i="2"/>
  <c r="F925" i="2"/>
  <c r="F1094" i="2"/>
  <c r="B324" i="2"/>
  <c r="E1394" i="2"/>
  <c r="E1869" i="2"/>
  <c r="B604" i="2"/>
  <c r="F1641" i="2"/>
  <c r="C1222" i="2"/>
  <c r="D1220" i="2"/>
  <c r="C1078" i="2"/>
  <c r="D1795" i="2"/>
  <c r="F1199" i="2"/>
  <c r="C594" i="2"/>
  <c r="D1772" i="2"/>
  <c r="E1504" i="2"/>
  <c r="B1979" i="2"/>
  <c r="C1085" i="2"/>
  <c r="D2450" i="2"/>
  <c r="E1588" i="2"/>
  <c r="F1473" i="2"/>
  <c r="E2129" i="2"/>
  <c r="B1144" i="2"/>
  <c r="D2080" i="2"/>
  <c r="C1867" i="2"/>
  <c r="F1497" i="2"/>
  <c r="F862" i="2"/>
  <c r="C1417" i="2"/>
  <c r="D1433" i="2"/>
  <c r="E1843" i="2"/>
  <c r="E1725" i="2"/>
  <c r="D1038" i="2"/>
  <c r="F1571" i="2"/>
  <c r="E1609" i="2"/>
  <c r="B1556" i="2"/>
  <c r="E455" i="2"/>
  <c r="C1104" i="2"/>
  <c r="F1121" i="2"/>
  <c r="B1861" i="2"/>
  <c r="E1539" i="2"/>
  <c r="E587" i="2"/>
  <c r="E1053" i="2"/>
  <c r="B1551" i="2"/>
  <c r="F1500" i="2"/>
  <c r="B1024" i="2"/>
  <c r="B1259" i="2"/>
  <c r="D965" i="2"/>
  <c r="F1327" i="2"/>
  <c r="E1096" i="2"/>
  <c r="B1048" i="2"/>
  <c r="C2250" i="2"/>
  <c r="B2055" i="2"/>
  <c r="C1622" i="2"/>
  <c r="D1953" i="2"/>
  <c r="D1949" i="2"/>
  <c r="E2468" i="2"/>
  <c r="F1661" i="2"/>
  <c r="D1553" i="2"/>
  <c r="E2384" i="2"/>
  <c r="E1754" i="2"/>
  <c r="D1649" i="2"/>
  <c r="B1369" i="2"/>
  <c r="B2047" i="2"/>
  <c r="E2054" i="2"/>
  <c r="B1545" i="2"/>
  <c r="B1975" i="2"/>
  <c r="D1855" i="2"/>
  <c r="E1687" i="2"/>
  <c r="F1730" i="2"/>
  <c r="C1912" i="2"/>
  <c r="B1589" i="2"/>
  <c r="C1647" i="2"/>
  <c r="D2096" i="2"/>
  <c r="F1763" i="2"/>
  <c r="D1070" i="2"/>
  <c r="D2139" i="2"/>
  <c r="E1188" i="2"/>
  <c r="F1034" i="2"/>
  <c r="C2494" i="2"/>
  <c r="C1567" i="2"/>
  <c r="C1379" i="2"/>
  <c r="D2213" i="2"/>
  <c r="F2203" i="2"/>
  <c r="C2146" i="2"/>
  <c r="D2103" i="2"/>
  <c r="F1192" i="2"/>
  <c r="E1740" i="2"/>
  <c r="F1326" i="2"/>
  <c r="F2083" i="2"/>
  <c r="C2094" i="2"/>
  <c r="B1493" i="2"/>
  <c r="D1223" i="2"/>
  <c r="E1714" i="2"/>
  <c r="E1500" i="2"/>
  <c r="D1110" i="2"/>
  <c r="C1707" i="2"/>
  <c r="E2109" i="2"/>
  <c r="C2095" i="2"/>
  <c r="E1529" i="2"/>
  <c r="B1838" i="2"/>
  <c r="D1326" i="2"/>
  <c r="C1849" i="2"/>
  <c r="E1385" i="2"/>
  <c r="B2511" i="2"/>
  <c r="D2350" i="2"/>
  <c r="B2505" i="2"/>
  <c r="B2224" i="2"/>
  <c r="C1826" i="2"/>
  <c r="B1886" i="2"/>
  <c r="F1760" i="2"/>
  <c r="B1767" i="2"/>
  <c r="C1432" i="2"/>
  <c r="C1531" i="2"/>
  <c r="D1913" i="2"/>
  <c r="E2141" i="2"/>
  <c r="C1985" i="2"/>
  <c r="C1982" i="2"/>
  <c r="E1516" i="2"/>
  <c r="C1918" i="2"/>
  <c r="E1665" i="2"/>
  <c r="D1732" i="2"/>
  <c r="B1884" i="2"/>
  <c r="D1919" i="2"/>
  <c r="D2055" i="2"/>
  <c r="F2039" i="2"/>
  <c r="B1963" i="2"/>
  <c r="B1176" i="2"/>
  <c r="E1940" i="2"/>
  <c r="F2157" i="2"/>
  <c r="F1533" i="2"/>
  <c r="E791" i="2"/>
  <c r="D1716" i="2"/>
  <c r="C816" i="2"/>
  <c r="B1605" i="2"/>
  <c r="C1292" i="2"/>
  <c r="B1760" i="2"/>
  <c r="F967" i="2"/>
  <c r="D1565" i="2"/>
  <c r="C954" i="2"/>
  <c r="B966" i="2"/>
  <c r="E1424" i="2"/>
  <c r="E1804" i="2"/>
  <c r="B383" i="2"/>
  <c r="C1541" i="2"/>
  <c r="B1606" i="2"/>
  <c r="C1270" i="2"/>
  <c r="C938" i="2"/>
  <c r="F2313" i="2"/>
  <c r="B1758" i="2"/>
  <c r="E1563" i="2"/>
  <c r="E1986" i="2"/>
  <c r="E1650" i="2"/>
  <c r="D2071" i="2"/>
  <c r="D1092" i="2"/>
  <c r="B1484" i="2"/>
  <c r="F1801" i="2"/>
  <c r="F536" i="2"/>
  <c r="B969" i="2"/>
  <c r="E1547" i="2"/>
  <c r="E974" i="2"/>
  <c r="C1257" i="2"/>
  <c r="F1496" i="2"/>
  <c r="F1341" i="2"/>
  <c r="F1172" i="2"/>
  <c r="F1608" i="2"/>
  <c r="D944" i="2"/>
  <c r="E1693" i="2"/>
  <c r="F830" i="2"/>
  <c r="F1414" i="2"/>
  <c r="B872" i="2"/>
  <c r="C1107" i="2"/>
  <c r="B941" i="2"/>
  <c r="D1321" i="2"/>
  <c r="C1721" i="2"/>
  <c r="F1662" i="2"/>
  <c r="E1164" i="2"/>
  <c r="C1666" i="2"/>
  <c r="E1606" i="2"/>
  <c r="F2029" i="2"/>
  <c r="C2304" i="2"/>
  <c r="E1240" i="2"/>
  <c r="C2230" i="2"/>
  <c r="F1422" i="2"/>
  <c r="F1167" i="2"/>
  <c r="B1972" i="2"/>
  <c r="E866" i="2"/>
  <c r="D1349" i="2"/>
  <c r="B2050" i="2"/>
  <c r="D2102" i="2"/>
  <c r="B1169" i="2"/>
  <c r="B2122" i="2"/>
  <c r="E1880" i="2"/>
  <c r="B1349" i="2"/>
  <c r="F1938" i="2"/>
  <c r="C1447" i="2"/>
  <c r="B315" i="2"/>
  <c r="D2122" i="2"/>
  <c r="C1587" i="2"/>
  <c r="F1670" i="2"/>
  <c r="B1908" i="2"/>
  <c r="E1888" i="2"/>
  <c r="B1618" i="2"/>
  <c r="D1153" i="2"/>
  <c r="E1520" i="2"/>
  <c r="B1113" i="2"/>
  <c r="C2075" i="2"/>
  <c r="D1406" i="2"/>
  <c r="B1304" i="2"/>
  <c r="D1900" i="2"/>
  <c r="C1664" i="2"/>
  <c r="D1026" i="2"/>
  <c r="B2215" i="2"/>
  <c r="B1358" i="2"/>
  <c r="C820" i="2"/>
  <c r="C928" i="2"/>
  <c r="E2435" i="2"/>
  <c r="B2109" i="2"/>
  <c r="D1259" i="2"/>
  <c r="F1091" i="2"/>
  <c r="F1935" i="2"/>
  <c r="D2121" i="2"/>
  <c r="E1288" i="2"/>
  <c r="B1456" i="2"/>
  <c r="E2113" i="2"/>
  <c r="B1454" i="2"/>
  <c r="F1442" i="2"/>
  <c r="E1884" i="2"/>
  <c r="F1887" i="2"/>
  <c r="C1919" i="2"/>
  <c r="B1753" i="2"/>
  <c r="B1632" i="2"/>
  <c r="D1596" i="2"/>
  <c r="B946" i="2"/>
  <c r="D1372" i="2"/>
  <c r="F1603" i="2"/>
  <c r="F1238" i="2"/>
  <c r="E1115" i="2"/>
  <c r="B1999" i="2"/>
  <c r="D1789" i="2"/>
  <c r="D1068" i="2"/>
  <c r="B1107" i="2"/>
  <c r="D2145" i="2"/>
  <c r="C1576" i="2"/>
  <c r="E2094" i="2"/>
  <c r="F1869" i="2"/>
  <c r="C1347" i="2"/>
  <c r="C1713" i="2"/>
  <c r="E1317" i="2"/>
  <c r="B2276" i="2"/>
  <c r="C1760" i="2"/>
  <c r="C1589" i="2"/>
  <c r="B1913" i="2"/>
  <c r="E1372" i="2"/>
  <c r="C2446" i="2"/>
  <c r="D1956" i="2"/>
  <c r="F1765" i="2"/>
  <c r="D1994" i="2"/>
  <c r="B2170" i="2"/>
  <c r="D1791" i="2"/>
  <c r="E1862" i="2"/>
  <c r="C1821" i="2"/>
  <c r="F2113" i="2"/>
  <c r="C1471" i="2"/>
  <c r="D1648" i="2"/>
  <c r="F1593" i="2"/>
  <c r="F1150" i="2"/>
  <c r="C1733" i="2"/>
  <c r="F1134" i="2"/>
  <c r="E1602" i="2"/>
  <c r="B1424" i="2"/>
  <c r="C844" i="2"/>
  <c r="B1310" i="2"/>
  <c r="B1286" i="2"/>
  <c r="D1970" i="2"/>
  <c r="B1704" i="2"/>
  <c r="E1742" i="2"/>
  <c r="C1456" i="2"/>
  <c r="B1961" i="2"/>
  <c r="F1067" i="2"/>
  <c r="F1079" i="2"/>
  <c r="F1033" i="2"/>
  <c r="B1397" i="2"/>
  <c r="C1225" i="2"/>
  <c r="E103" i="2"/>
  <c r="F2057" i="2"/>
  <c r="C1703" i="2"/>
  <c r="F2122" i="2"/>
  <c r="E1954" i="2"/>
  <c r="F2125" i="2"/>
  <c r="C1946" i="2"/>
  <c r="F1757" i="2"/>
  <c r="B1531" i="2"/>
  <c r="D1802" i="2"/>
  <c r="E1935" i="2"/>
  <c r="B815" i="2"/>
  <c r="D1304" i="2"/>
  <c r="E1607" i="2"/>
  <c r="C1612" i="2"/>
  <c r="C1613" i="2"/>
  <c r="E1120" i="2"/>
  <c r="C1359" i="2"/>
  <c r="F1398" i="2"/>
  <c r="E1406" i="2"/>
  <c r="D603" i="2"/>
  <c r="B1096" i="2"/>
  <c r="E471" i="2"/>
  <c r="B1728" i="2"/>
  <c r="E398" i="2"/>
  <c r="B140" i="2"/>
  <c r="F455" i="2"/>
  <c r="B1592" i="2"/>
  <c r="C1117" i="2"/>
  <c r="F1818" i="2"/>
  <c r="E2409" i="2"/>
  <c r="F2184" i="2"/>
  <c r="B1621" i="2"/>
  <c r="B1182" i="2"/>
  <c r="F2325" i="2"/>
  <c r="E2301" i="2"/>
  <c r="E1694" i="2"/>
  <c r="D1889" i="2"/>
  <c r="C1694" i="2"/>
  <c r="F1126" i="2"/>
  <c r="B2146" i="2"/>
  <c r="B2444" i="2"/>
  <c r="C1801" i="2"/>
  <c r="E1226" i="2"/>
  <c r="D2170" i="2"/>
  <c r="D1869" i="2"/>
  <c r="D1403" i="2"/>
  <c r="F1828" i="2"/>
  <c r="C1200" i="2"/>
  <c r="E1894" i="2"/>
  <c r="F1006" i="2"/>
  <c r="C2091" i="2"/>
  <c r="B1837" i="2"/>
  <c r="F971" i="2"/>
  <c r="D1192" i="2"/>
  <c r="D1921" i="2"/>
  <c r="C1444" i="2"/>
  <c r="D1968" i="2"/>
  <c r="D1473" i="2"/>
  <c r="F1291" i="2"/>
  <c r="F1280" i="2"/>
  <c r="B393" i="2"/>
  <c r="E1256" i="2"/>
  <c r="E1386" i="2"/>
  <c r="E985" i="2"/>
  <c r="E199" i="2"/>
  <c r="C1006" i="2"/>
  <c r="B2191" i="2"/>
  <c r="B1532" i="2"/>
  <c r="E2089" i="2"/>
  <c r="B1240" i="2"/>
  <c r="E1586" i="2"/>
  <c r="F685" i="2"/>
  <c r="B1168" i="2"/>
  <c r="D1440" i="2"/>
  <c r="E2165" i="2"/>
  <c r="B1081" i="2"/>
  <c r="C1187" i="2"/>
  <c r="D1984" i="2"/>
  <c r="E679" i="2"/>
  <c r="F983" i="2"/>
  <c r="C1427" i="2"/>
  <c r="D732" i="2"/>
  <c r="E1358" i="2"/>
  <c r="F950" i="2"/>
  <c r="E775" i="2"/>
  <c r="E227" i="2"/>
  <c r="D962" i="2"/>
  <c r="F1263" i="2"/>
  <c r="D1127" i="2"/>
  <c r="C1002" i="2"/>
  <c r="F865" i="2"/>
  <c r="E1321" i="2"/>
  <c r="E1461" i="2"/>
  <c r="B546" i="2"/>
  <c r="E1264" i="2"/>
  <c r="F1606" i="2"/>
  <c r="C2310" i="2"/>
  <c r="E1548" i="2"/>
  <c r="B1679" i="2"/>
  <c r="D1830" i="2"/>
  <c r="E1568" i="2"/>
  <c r="D1742" i="2"/>
  <c r="B1583" i="2"/>
  <c r="D1409" i="2"/>
  <c r="F910" i="2"/>
  <c r="F1812" i="2"/>
  <c r="F1418" i="2"/>
  <c r="E1160" i="2"/>
  <c r="C1484" i="2"/>
  <c r="B1937" i="2"/>
  <c r="B483" i="2"/>
  <c r="D2036" i="2"/>
  <c r="C1635" i="2"/>
  <c r="D1040" i="2"/>
  <c r="B1298" i="2"/>
  <c r="F1333" i="2"/>
  <c r="F67" i="2"/>
  <c r="F1791" i="2"/>
  <c r="B790" i="2"/>
  <c r="D1392" i="2"/>
  <c r="B1548" i="2"/>
  <c r="F2130" i="2"/>
  <c r="E1826" i="2"/>
  <c r="F1743" i="2"/>
  <c r="B1771" i="2"/>
  <c r="D1407" i="2"/>
  <c r="F1772" i="2"/>
  <c r="B2208" i="2"/>
  <c r="F2286" i="2"/>
  <c r="C1409" i="2"/>
  <c r="C1414" i="2"/>
  <c r="F1211" i="2"/>
  <c r="B1676" i="2"/>
  <c r="F1212" i="2"/>
  <c r="B1646" i="2"/>
  <c r="E1038" i="2"/>
  <c r="D1744" i="2"/>
  <c r="F1817" i="2"/>
  <c r="B1117" i="2"/>
  <c r="B1573" i="2"/>
  <c r="F307" i="2"/>
  <c r="F1395" i="2"/>
  <c r="E647" i="2"/>
  <c r="E1512" i="2"/>
  <c r="B1584" i="2"/>
  <c r="E1255" i="2"/>
  <c r="E1247" i="2"/>
  <c r="F1412" i="2"/>
  <c r="C2043" i="2"/>
  <c r="D1667" i="2"/>
  <c r="C1302" i="2"/>
  <c r="F1616" i="2"/>
  <c r="E1608" i="2"/>
  <c r="B1470" i="2"/>
  <c r="E1761" i="2"/>
  <c r="F2110" i="2"/>
  <c r="C1138" i="2"/>
  <c r="E2032" i="2"/>
  <c r="B1722" i="2"/>
  <c r="F2347" i="2"/>
  <c r="C2118" i="2"/>
  <c r="C1840" i="2"/>
  <c r="B2174" i="2"/>
  <c r="D1506" i="2"/>
  <c r="B1459" i="2"/>
  <c r="D2203" i="2"/>
  <c r="B2107" i="2"/>
  <c r="E1401" i="2"/>
  <c r="E1657" i="2"/>
  <c r="F1288" i="2"/>
  <c r="F1738" i="2"/>
  <c r="D2081" i="2"/>
  <c r="F1460" i="2"/>
  <c r="E1309" i="2"/>
  <c r="F1667" i="2"/>
  <c r="E1956" i="2"/>
  <c r="E1998" i="2"/>
  <c r="D392" i="2"/>
  <c r="D1685" i="2"/>
  <c r="B441" i="2"/>
  <c r="C1169" i="2"/>
  <c r="B1688" i="2"/>
  <c r="F1166" i="2"/>
  <c r="B1381" i="2"/>
  <c r="E1137" i="2"/>
  <c r="E1612" i="2"/>
  <c r="D1687" i="2"/>
  <c r="F1100" i="2"/>
  <c r="B310" i="2"/>
  <c r="F1499" i="2"/>
  <c r="B666" i="2"/>
  <c r="F1785" i="2"/>
  <c r="B874" i="2"/>
  <c r="E1972" i="2"/>
  <c r="C1720" i="2"/>
  <c r="F1615" i="2"/>
  <c r="E1963" i="2"/>
  <c r="E1388" i="2"/>
  <c r="F1804" i="2"/>
  <c r="C2437" i="2"/>
  <c r="E980" i="2"/>
  <c r="E1174" i="2"/>
  <c r="C1663" i="2"/>
  <c r="C1950" i="2"/>
  <c r="F1164" i="2"/>
  <c r="E1305" i="2"/>
  <c r="C1803" i="2"/>
  <c r="D1130" i="2"/>
  <c r="E1423" i="2"/>
  <c r="E947" i="2"/>
  <c r="D1514" i="2"/>
  <c r="B1793" i="2"/>
  <c r="F259" i="2"/>
  <c r="F868" i="2"/>
  <c r="E1337" i="2"/>
  <c r="B1664" i="2"/>
  <c r="E1726" i="2"/>
  <c r="B930" i="2"/>
  <c r="F1000" i="2"/>
  <c r="E946" i="2"/>
  <c r="C912" i="2"/>
  <c r="C186" i="2"/>
  <c r="F762" i="2"/>
  <c r="E1259" i="2"/>
  <c r="E2145" i="2"/>
  <c r="C2284" i="2"/>
  <c r="C1216" i="2"/>
  <c r="F1569" i="2"/>
  <c r="C1657" i="2"/>
  <c r="E1851" i="2"/>
  <c r="D1225" i="2"/>
  <c r="B1467" i="2"/>
  <c r="C1790" i="2"/>
  <c r="E1439" i="2"/>
  <c r="C1638" i="2"/>
  <c r="F1111" i="2"/>
  <c r="D1134" i="2"/>
  <c r="F1428" i="2"/>
  <c r="E1198" i="2"/>
  <c r="F999" i="2"/>
  <c r="D1814" i="2"/>
  <c r="F1744" i="2"/>
  <c r="B1829" i="2"/>
  <c r="E753" i="2"/>
  <c r="E1032" i="2"/>
  <c r="E1485" i="2"/>
  <c r="B1045" i="2"/>
  <c r="C1579" i="2"/>
  <c r="D1037" i="2"/>
  <c r="B2291" i="2"/>
  <c r="F2099" i="2"/>
  <c r="E1236" i="2"/>
  <c r="E1427" i="2"/>
  <c r="B1396" i="2"/>
  <c r="D1654" i="2"/>
  <c r="C1140" i="2"/>
  <c r="B1153" i="2"/>
  <c r="B593" i="2"/>
  <c r="C1841" i="2"/>
  <c r="B1418" i="2"/>
  <c r="B1922" i="2"/>
  <c r="C1285" i="2"/>
  <c r="E1347" i="2"/>
  <c r="C1199" i="2"/>
  <c r="B1647" i="2"/>
  <c r="B1806" i="2"/>
  <c r="E1058" i="2"/>
  <c r="D1162" i="2"/>
  <c r="F987" i="2"/>
  <c r="F1690" i="2"/>
  <c r="E444" i="2"/>
  <c r="F1695" i="2"/>
  <c r="F1085" i="2"/>
  <c r="D527" i="2"/>
  <c r="F2251" i="2"/>
  <c r="F2067" i="2"/>
  <c r="D1421" i="2"/>
  <c r="C1682" i="2"/>
  <c r="D1712" i="2"/>
  <c r="F1514" i="2"/>
  <c r="F1612" i="2"/>
  <c r="B1505" i="2"/>
  <c r="C1932" i="2"/>
  <c r="D1141" i="2"/>
  <c r="F1766" i="2"/>
  <c r="F1759" i="2"/>
  <c r="F378" i="2"/>
  <c r="C2059" i="2"/>
  <c r="B1067" i="2"/>
  <c r="E1105" i="2"/>
  <c r="E1846" i="2"/>
  <c r="B915" i="2"/>
  <c r="D1091" i="2"/>
  <c r="F10" i="2"/>
  <c r="F2409" i="2"/>
  <c r="F1426" i="2"/>
  <c r="F2377" i="2"/>
  <c r="D2151" i="2"/>
  <c r="F1853" i="2"/>
  <c r="F1781" i="2"/>
  <c r="E2444" i="2"/>
  <c r="B1588" i="2"/>
  <c r="B2357" i="2"/>
  <c r="C1606" i="2"/>
  <c r="D1749" i="2"/>
  <c r="C1164" i="2"/>
  <c r="B1025" i="2"/>
  <c r="C970" i="2"/>
  <c r="C1709" i="2"/>
  <c r="C2055" i="2"/>
  <c r="D2365" i="2"/>
  <c r="F1784" i="2"/>
  <c r="B2057" i="2"/>
  <c r="E1545" i="2"/>
  <c r="F1518" i="2"/>
  <c r="F1459" i="2"/>
  <c r="E1521" i="2"/>
  <c r="F1403" i="2"/>
  <c r="C2036" i="2"/>
  <c r="D1820" i="2"/>
  <c r="D1510" i="2"/>
  <c r="C1445" i="2"/>
  <c r="C930" i="2"/>
  <c r="E1249" i="2"/>
  <c r="D1330" i="2"/>
  <c r="F1011" i="2"/>
  <c r="D1852" i="2"/>
  <c r="F260" i="2"/>
  <c r="C1249" i="2"/>
  <c r="D1875" i="2"/>
  <c r="F1364" i="2"/>
  <c r="D2136" i="2"/>
  <c r="D1996" i="2"/>
  <c r="C1370" i="2"/>
  <c r="D1641" i="2"/>
  <c r="C1629" i="2"/>
  <c r="C1231" i="2"/>
  <c r="B1433" i="2"/>
  <c r="B1194" i="2"/>
  <c r="D1503" i="2"/>
  <c r="C1182" i="2"/>
  <c r="E1542" i="2"/>
  <c r="D1105" i="2"/>
  <c r="E1280" i="2"/>
  <c r="F1873" i="2"/>
  <c r="F1693" i="2"/>
  <c r="D1627" i="2"/>
  <c r="B1340" i="2"/>
  <c r="D768" i="2"/>
  <c r="F1513" i="2"/>
  <c r="E2081" i="2"/>
  <c r="D930" i="2"/>
  <c r="F1321" i="2"/>
  <c r="F1065" i="2"/>
  <c r="D1261" i="2"/>
  <c r="E1538" i="2"/>
  <c r="F921" i="2"/>
  <c r="C1106" i="2"/>
  <c r="D1619" i="2"/>
  <c r="B76" i="2"/>
  <c r="C1489" i="2"/>
  <c r="F1634" i="2"/>
  <c r="E1204" i="2"/>
  <c r="F1585" i="2"/>
  <c r="D1733" i="2"/>
  <c r="C1144" i="2"/>
  <c r="E1470" i="2"/>
  <c r="E807" i="2"/>
  <c r="E1331" i="2"/>
  <c r="C1160" i="2"/>
  <c r="F444" i="2"/>
  <c r="C1685" i="2"/>
  <c r="B1614" i="2"/>
  <c r="F2087" i="2"/>
  <c r="F1675" i="2"/>
  <c r="D1209" i="2"/>
  <c r="D1046" i="2"/>
  <c r="D1442" i="2"/>
  <c r="D1773" i="2"/>
  <c r="C1385" i="2"/>
  <c r="E991" i="2"/>
  <c r="F1639" i="2"/>
  <c r="D1711" i="2"/>
  <c r="B1756" i="2"/>
  <c r="F1369" i="2"/>
  <c r="B630" i="2"/>
  <c r="F2359" i="2"/>
  <c r="E2501" i="2"/>
  <c r="F1769" i="2"/>
  <c r="D2123" i="2"/>
  <c r="C1468" i="2"/>
  <c r="D1572" i="2"/>
  <c r="D1603" i="2"/>
  <c r="E2219" i="2"/>
  <c r="E1898" i="2"/>
  <c r="B1174" i="2"/>
  <c r="D1788" i="2"/>
  <c r="C1887" i="2"/>
  <c r="D1133" i="2"/>
  <c r="F1739" i="2"/>
  <c r="F1189" i="2"/>
  <c r="E1402" i="2"/>
  <c r="D1519" i="2"/>
  <c r="E1969" i="2"/>
  <c r="D1189" i="2"/>
  <c r="F850" i="2"/>
  <c r="C1279" i="2"/>
  <c r="B1432" i="2"/>
  <c r="D559" i="2"/>
  <c r="E1474" i="2"/>
  <c r="C995" i="2"/>
  <c r="C2026" i="2"/>
  <c r="D1364" i="2"/>
  <c r="E1463" i="2"/>
  <c r="E1647" i="2"/>
  <c r="C1178" i="2"/>
  <c r="F1317" i="2"/>
  <c r="D816" i="2"/>
  <c r="B1648" i="2"/>
  <c r="F1182" i="2"/>
  <c r="C1346" i="2"/>
  <c r="D1486" i="2"/>
  <c r="E1629" i="2"/>
  <c r="D1172" i="2"/>
  <c r="D1336" i="2"/>
  <c r="C1485" i="2"/>
  <c r="D953" i="2"/>
  <c r="C1308" i="2"/>
  <c r="B988" i="2"/>
  <c r="C955" i="2"/>
  <c r="F793" i="2"/>
  <c r="C1300" i="2"/>
  <c r="D2270" i="2"/>
  <c r="C1681" i="2"/>
  <c r="E2108" i="2"/>
  <c r="D1509" i="2"/>
  <c r="F1681" i="2"/>
  <c r="E995" i="2"/>
  <c r="C2244" i="2"/>
  <c r="B1879" i="2"/>
  <c r="B1483" i="2"/>
  <c r="B724" i="2"/>
  <c r="E1981" i="2"/>
  <c r="E2376" i="2"/>
  <c r="F2191" i="2"/>
  <c r="C1660" i="2"/>
  <c r="F2174" i="2"/>
  <c r="C2407" i="2"/>
  <c r="C1517" i="2"/>
  <c r="D1625" i="2"/>
  <c r="F1871" i="2"/>
  <c r="C1784" i="2"/>
  <c r="B1967" i="2"/>
  <c r="D2148" i="2"/>
  <c r="B1765" i="2"/>
  <c r="C2487" i="2"/>
  <c r="E1404" i="2"/>
  <c r="E968" i="2"/>
  <c r="B1543" i="2"/>
  <c r="D1316" i="2"/>
  <c r="D1085" i="2"/>
  <c r="D1301" i="2"/>
  <c r="E2055" i="2"/>
  <c r="C923" i="2"/>
  <c r="F1035" i="2"/>
  <c r="E737" i="2"/>
  <c r="D1426" i="2"/>
  <c r="F54" i="2"/>
  <c r="B2080" i="2"/>
  <c r="B1903" i="2"/>
  <c r="C1781" i="2"/>
  <c r="D1673" i="2"/>
  <c r="E1158" i="2"/>
  <c r="D2056" i="2"/>
  <c r="C1843" i="2"/>
  <c r="E1466" i="2"/>
  <c r="F1149" i="2"/>
  <c r="C1274" i="2"/>
  <c r="D1376" i="2"/>
  <c r="B1134" i="2"/>
  <c r="B1323" i="2"/>
  <c r="C1572" i="2"/>
  <c r="D1856" i="2"/>
  <c r="E1285" i="2"/>
  <c r="F829" i="2"/>
  <c r="E1155" i="2"/>
  <c r="E798" i="2"/>
  <c r="D1357" i="2"/>
  <c r="E868" i="2"/>
  <c r="E1399" i="2"/>
  <c r="F1397" i="2"/>
  <c r="F1380" i="2"/>
  <c r="B1085" i="2"/>
  <c r="C1301" i="2"/>
  <c r="F1545" i="2"/>
  <c r="E2044" i="2"/>
  <c r="C1237" i="2"/>
  <c r="D1296" i="2"/>
  <c r="C2472" i="2"/>
  <c r="B1672" i="2"/>
  <c r="F1598" i="2"/>
  <c r="E1997" i="2"/>
  <c r="F1596" i="2"/>
  <c r="D1435" i="2"/>
  <c r="E1413" i="2"/>
  <c r="D1074" i="2"/>
  <c r="F1282" i="2"/>
  <c r="C1748" i="2"/>
  <c r="E1534" i="2"/>
  <c r="C696" i="2"/>
  <c r="E1807" i="2"/>
  <c r="B1272" i="2"/>
  <c r="C1598" i="2"/>
  <c r="F1620" i="2"/>
  <c r="B1249" i="2"/>
  <c r="D1626" i="2"/>
  <c r="F861" i="2"/>
  <c r="C1299" i="2"/>
  <c r="C2415" i="1"/>
  <c r="B1944" i="2"/>
  <c r="E1381" i="2"/>
  <c r="B537" i="2"/>
  <c r="C70" i="2"/>
  <c r="E2105" i="2"/>
  <c r="C1809" i="2"/>
  <c r="F1633" i="2"/>
  <c r="C1626" i="2"/>
  <c r="E1433" i="2"/>
  <c r="C2077" i="2"/>
  <c r="B704" i="2"/>
  <c r="F1755" i="2"/>
  <c r="C2138" i="2"/>
  <c r="D1044" i="2"/>
  <c r="C2079" i="2"/>
  <c r="F1214" i="2"/>
  <c r="E1573" i="2"/>
  <c r="F1063" i="2"/>
  <c r="F841" i="2"/>
  <c r="F1330" i="2"/>
  <c r="C1065" i="2"/>
  <c r="C1377" i="2"/>
  <c r="F834" i="2"/>
  <c r="D1083" i="2"/>
  <c r="B807" i="2"/>
  <c r="E1937" i="2"/>
  <c r="B1622" i="2"/>
  <c r="E1286" i="2"/>
  <c r="C1557" i="2"/>
  <c r="E1389" i="2"/>
  <c r="C1419" i="2"/>
  <c r="F1735" i="2"/>
  <c r="D1351" i="2"/>
  <c r="B1665" i="2"/>
  <c r="F1346" i="2"/>
  <c r="B811" i="2"/>
  <c r="E35" i="2"/>
  <c r="D1359" i="2"/>
  <c r="D1120" i="2"/>
  <c r="F923" i="2"/>
  <c r="B1217" i="2"/>
  <c r="C804" i="2"/>
  <c r="D1384" i="2"/>
  <c r="C1534" i="2"/>
  <c r="B308" i="2"/>
  <c r="C1526" i="2"/>
  <c r="F451" i="2"/>
  <c r="D1021" i="2"/>
  <c r="D1540" i="2"/>
  <c r="F1512" i="2"/>
  <c r="B2226" i="2"/>
  <c r="D1741" i="2"/>
  <c r="B2074" i="2"/>
  <c r="C1641" i="2"/>
  <c r="E1669" i="2"/>
  <c r="F2050" i="2"/>
  <c r="F1903" i="2"/>
  <c r="E1706" i="2"/>
  <c r="C1644" i="2"/>
  <c r="D1598" i="2"/>
  <c r="F1894" i="2"/>
  <c r="B1408" i="2"/>
  <c r="B2251" i="2"/>
  <c r="C1661" i="2"/>
  <c r="B1642" i="2"/>
  <c r="B2271" i="2"/>
  <c r="D1722" i="2"/>
  <c r="B1568" i="2"/>
  <c r="D1698" i="2"/>
  <c r="C1753" i="2"/>
  <c r="C1696" i="2"/>
  <c r="C1630" i="2"/>
  <c r="D1385" i="2"/>
  <c r="D2031" i="2"/>
  <c r="C2457" i="2"/>
  <c r="B886" i="2"/>
  <c r="E1049" i="2"/>
  <c r="D1657" i="2"/>
  <c r="B1715" i="2"/>
  <c r="B1118" i="2"/>
  <c r="E1265" i="2"/>
  <c r="D65" i="2"/>
  <c r="B1379" i="2"/>
  <c r="E975" i="2"/>
  <c r="D972" i="2"/>
  <c r="D584" i="2"/>
  <c r="D1932" i="2"/>
  <c r="F2123" i="2"/>
  <c r="C1443" i="2"/>
  <c r="F1691" i="2"/>
  <c r="D1862" i="2"/>
  <c r="B1278" i="2"/>
  <c r="C1415" i="2"/>
  <c r="C1062" i="2"/>
  <c r="B1736" i="2"/>
  <c r="C1833" i="2"/>
  <c r="C1248" i="2"/>
  <c r="E1464" i="2"/>
  <c r="C1042" i="2"/>
  <c r="C1819" i="2"/>
  <c r="C650" i="2"/>
  <c r="B1625" i="2"/>
  <c r="F1656" i="2"/>
  <c r="D1157" i="2"/>
  <c r="E274" i="2"/>
  <c r="B1682" i="2"/>
  <c r="F737" i="2"/>
  <c r="F1705" i="2"/>
  <c r="E622" i="2"/>
  <c r="E2264" i="2"/>
  <c r="C1075" i="2"/>
  <c r="C1290" i="2"/>
  <c r="F1205" i="2"/>
  <c r="D1812" i="2"/>
  <c r="C1453" i="2"/>
  <c r="E2427" i="2"/>
  <c r="E2013" i="2"/>
  <c r="F1645" i="2"/>
  <c r="E2365" i="2"/>
  <c r="B1598" i="2"/>
  <c r="F1809" i="2"/>
  <c r="F1597" i="2"/>
  <c r="B1377" i="2"/>
  <c r="F1740" i="2"/>
  <c r="C1911" i="2"/>
  <c r="B1987" i="2"/>
  <c r="B1427" i="2"/>
  <c r="B1222" i="2"/>
  <c r="B1699" i="2"/>
  <c r="C1605" i="2"/>
  <c r="F1677" i="2"/>
  <c r="D1940" i="2"/>
  <c r="C1384" i="2"/>
  <c r="B1357" i="2"/>
  <c r="C1574" i="2"/>
  <c r="D1104" i="2"/>
  <c r="C1155" i="2"/>
  <c r="D1682" i="2"/>
  <c r="E857" i="2"/>
  <c r="C165" i="2"/>
  <c r="D783" i="2"/>
  <c r="B2094" i="2"/>
  <c r="B1871" i="2"/>
  <c r="F1334" i="2"/>
  <c r="E1248" i="2"/>
  <c r="C1184" i="2"/>
  <c r="E1415" i="2"/>
  <c r="C1337" i="2"/>
  <c r="F1581" i="2"/>
  <c r="E1569" i="2"/>
  <c r="B1077" i="2"/>
  <c r="F1542" i="2"/>
  <c r="F1138" i="2"/>
  <c r="C2061" i="2"/>
  <c r="D1346" i="2"/>
  <c r="B950" i="2"/>
  <c r="F1311" i="2"/>
  <c r="E823" i="2"/>
  <c r="C1614" i="2"/>
  <c r="D1041" i="2"/>
  <c r="F1119" i="2"/>
  <c r="F1357" i="2"/>
  <c r="F1345" i="2"/>
  <c r="E536" i="2"/>
  <c r="F464" i="2"/>
  <c r="E802" i="2"/>
  <c r="E2018" i="2"/>
  <c r="E1618" i="2"/>
  <c r="D1612" i="2"/>
  <c r="C884" i="2"/>
  <c r="B2159" i="2"/>
  <c r="E1778" i="2"/>
  <c r="E1091" i="2"/>
  <c r="F1159" i="2"/>
  <c r="F1481" i="2"/>
  <c r="D2010" i="2"/>
  <c r="F1614" i="2"/>
  <c r="B1499" i="2"/>
  <c r="E1229" i="2"/>
  <c r="C1206" i="2"/>
  <c r="C1823" i="2"/>
  <c r="E2164" i="2"/>
  <c r="B1206" i="2"/>
  <c r="D1455" i="2"/>
  <c r="D1680" i="2"/>
  <c r="E510" i="2"/>
  <c r="B1301" i="2"/>
  <c r="C1410" i="2"/>
  <c r="D2402" i="2"/>
  <c r="D1496" i="2"/>
  <c r="E1634" i="2"/>
  <c r="F2025" i="2"/>
  <c r="E2112" i="2"/>
  <c r="B1507" i="2"/>
  <c r="E1554" i="2"/>
  <c r="F773" i="2"/>
  <c r="B1833" i="2"/>
  <c r="B1808" i="2"/>
  <c r="E921" i="2"/>
  <c r="B2197" i="2"/>
  <c r="F1595" i="2"/>
  <c r="B1627" i="2"/>
  <c r="F1303" i="2"/>
  <c r="F1457" i="2"/>
  <c r="D1811" i="2"/>
  <c r="B1047" i="2"/>
  <c r="C146" i="2"/>
  <c r="E818" i="2"/>
  <c r="F1031" i="2"/>
  <c r="F361" i="2"/>
  <c r="F557" i="2"/>
  <c r="E2449" i="2"/>
  <c r="D1708" i="2"/>
  <c r="C1773" i="2"/>
  <c r="F1692" i="2"/>
  <c r="C1223" i="2"/>
  <c r="C1481" i="2"/>
  <c r="D1693" i="2"/>
  <c r="C1594" i="2"/>
  <c r="B1540" i="2"/>
  <c r="C1711" i="2"/>
  <c r="C2098" i="2"/>
  <c r="C1960" i="2"/>
  <c r="D974" i="2"/>
  <c r="F2049" i="2"/>
  <c r="D1668" i="2"/>
  <c r="C1340" i="2"/>
  <c r="E1195" i="2"/>
  <c r="E1481" i="2"/>
  <c r="B905" i="2"/>
  <c r="B788" i="2"/>
  <c r="E1964" i="2"/>
  <c r="F1815" i="2"/>
  <c r="C1440" i="2"/>
  <c r="C294" i="2"/>
  <c r="F1636" i="2"/>
  <c r="D1017" i="2"/>
  <c r="E789" i="2"/>
  <c r="D28" i="2"/>
  <c r="E1028" i="2"/>
  <c r="D1350" i="2"/>
  <c r="C2444" i="2"/>
  <c r="E1656" i="2"/>
  <c r="E1847" i="2"/>
  <c r="D1838" i="2"/>
  <c r="F1698" i="2"/>
  <c r="F1654" i="2"/>
  <c r="C1532" i="2"/>
  <c r="B1763" i="2"/>
  <c r="D545" i="2"/>
  <c r="C1175" i="2"/>
  <c r="F1116" i="2"/>
  <c r="C1413" i="2"/>
  <c r="B1417" i="2"/>
  <c r="B1683" i="2"/>
  <c r="D1833" i="2"/>
  <c r="C1691" i="2"/>
  <c r="E1738" i="2"/>
  <c r="B1235" i="2"/>
  <c r="F1965" i="2"/>
  <c r="D998" i="2"/>
  <c r="D934" i="2"/>
  <c r="D1010" i="2"/>
  <c r="B1541" i="2"/>
  <c r="B727" i="2"/>
  <c r="B1529" i="2"/>
  <c r="D2377" i="2"/>
  <c r="F1807" i="2"/>
  <c r="D1549" i="2"/>
  <c r="E2347" i="2"/>
  <c r="F1951" i="2"/>
  <c r="B1729" i="2"/>
  <c r="E1318" i="2"/>
  <c r="E558" i="2"/>
  <c r="C1545" i="2"/>
  <c r="F1594" i="2"/>
  <c r="F1382" i="2"/>
  <c r="F1737" i="2"/>
  <c r="B1256" i="2"/>
  <c r="B1845" i="2"/>
  <c r="E2009" i="2"/>
  <c r="B1799" i="2"/>
  <c r="D1293" i="2"/>
  <c r="D1095" i="2"/>
  <c r="E1766" i="2"/>
  <c r="F964" i="2"/>
  <c r="C1103" i="2"/>
  <c r="E605" i="2"/>
  <c r="E1147" i="2"/>
  <c r="F99" i="2"/>
  <c r="C1303" i="2"/>
  <c r="C657" i="2"/>
  <c r="C1192" i="2"/>
  <c r="D2261" i="2"/>
  <c r="F1904" i="2"/>
  <c r="E424" i="2"/>
  <c r="F1587" i="2"/>
  <c r="B1324" i="2"/>
  <c r="B1675" i="2"/>
  <c r="D1768" i="2"/>
  <c r="C1670" i="2"/>
  <c r="D523" i="2"/>
  <c r="D1493" i="2"/>
  <c r="F869" i="2"/>
  <c r="C1357" i="2"/>
  <c r="B1611" i="2"/>
  <c r="F1202" i="2"/>
  <c r="E1111" i="2"/>
  <c r="C1395" i="2"/>
  <c r="B1053" i="2"/>
  <c r="E729" i="2"/>
  <c r="F2058" i="2"/>
  <c r="B600" i="2"/>
  <c r="F1731" i="2"/>
  <c r="B2085" i="2"/>
  <c r="F832" i="2"/>
  <c r="E1136" i="2"/>
  <c r="E862" i="2"/>
  <c r="F2178" i="2"/>
  <c r="D1825" i="2"/>
  <c r="D1909" i="2"/>
  <c r="E1266" i="2"/>
  <c r="D1670" i="2"/>
  <c r="D875" i="2"/>
  <c r="E1326" i="2"/>
  <c r="F1507" i="2"/>
  <c r="C1940" i="2"/>
  <c r="F1547" i="2"/>
  <c r="D1165" i="2"/>
  <c r="D964" i="2"/>
  <c r="B1466" i="2"/>
  <c r="E1524" i="2"/>
  <c r="D1638" i="2"/>
  <c r="F138" i="2"/>
  <c r="B547" i="2"/>
  <c r="C1582" i="2"/>
  <c r="D1100" i="2"/>
  <c r="D756" i="2"/>
  <c r="B1210" i="2"/>
  <c r="E1479" i="2"/>
  <c r="D1258" i="2"/>
  <c r="F797" i="2"/>
  <c r="E290" i="2"/>
  <c r="D1834" i="2"/>
  <c r="E673" i="2"/>
  <c r="F643" i="2"/>
  <c r="B1190" i="2"/>
  <c r="F1532" i="2"/>
  <c r="E384" i="2"/>
  <c r="B121" i="2"/>
  <c r="B570" i="2"/>
  <c r="E769" i="2"/>
  <c r="D431" i="2"/>
  <c r="B629" i="2"/>
  <c r="E391" i="2"/>
  <c r="B1581" i="2"/>
  <c r="D850" i="2"/>
  <c r="E2491" i="2"/>
  <c r="F1315" i="2"/>
  <c r="E1336" i="2"/>
  <c r="D1579" i="2"/>
  <c r="E1132" i="2"/>
  <c r="B1690" i="2"/>
  <c r="F1834" i="2"/>
  <c r="D1390" i="2"/>
  <c r="B1810" i="2"/>
  <c r="F873" i="2"/>
  <c r="D425" i="2"/>
  <c r="D1618" i="2"/>
  <c r="F757" i="2"/>
  <c r="F2013" i="2"/>
  <c r="E1422" i="2"/>
  <c r="B1629" i="2"/>
  <c r="D1640" i="2"/>
  <c r="E704" i="2"/>
  <c r="D750" i="2"/>
  <c r="E1367" i="2"/>
  <c r="D1160" i="2"/>
  <c r="C1516" i="2"/>
  <c r="D1488" i="2"/>
  <c r="D2022" i="2"/>
  <c r="F490" i="2"/>
  <c r="B294" i="2"/>
  <c r="C896" i="2"/>
  <c r="E1643" i="2"/>
  <c r="B2149" i="1"/>
  <c r="B311" i="2"/>
  <c r="B297" i="2"/>
  <c r="F2053" i="2"/>
  <c r="F724" i="2"/>
  <c r="B572" i="2"/>
  <c r="E123" i="2"/>
  <c r="F838" i="2"/>
  <c r="B2041" i="2"/>
  <c r="F1697" i="2"/>
  <c r="C1749" i="2"/>
  <c r="D2478" i="2"/>
  <c r="D2090" i="2"/>
  <c r="B2101" i="2"/>
  <c r="C1879" i="2"/>
  <c r="C2001" i="2"/>
  <c r="F1248" i="2"/>
  <c r="C1244" i="2"/>
  <c r="E1822" i="2"/>
  <c r="F1429" i="2"/>
  <c r="C1837" i="2"/>
  <c r="F1007" i="2"/>
  <c r="B1995" i="2"/>
  <c r="E1750" i="2"/>
  <c r="D1327" i="2"/>
  <c r="B1238" i="2"/>
  <c r="E1570" i="2"/>
  <c r="D1086" i="2"/>
  <c r="D1415" i="2"/>
  <c r="C1451" i="2"/>
  <c r="D1651" i="2"/>
  <c r="C1380" i="2"/>
  <c r="C1311" i="2"/>
  <c r="C1228" i="2"/>
  <c r="F1448" i="2"/>
  <c r="C1928" i="2"/>
  <c r="E234" i="2"/>
  <c r="E481" i="2"/>
  <c r="C734" i="2"/>
  <c r="E2003" i="2"/>
  <c r="D1689" i="2"/>
  <c r="B1393" i="2"/>
  <c r="B1316" i="2"/>
  <c r="F1340" i="2"/>
  <c r="F1821" i="2"/>
  <c r="E1359" i="2"/>
  <c r="E1560" i="2"/>
  <c r="E1106" i="2"/>
  <c r="B1746" i="2"/>
  <c r="E1200" i="2"/>
  <c r="B1083" i="2"/>
  <c r="D779" i="2"/>
  <c r="F1413" i="2"/>
  <c r="C1038" i="2"/>
  <c r="E90" i="2"/>
  <c r="F1310" i="2"/>
  <c r="D1942" i="2"/>
  <c r="D1408" i="2"/>
  <c r="E1899" i="2"/>
  <c r="B1250" i="2"/>
  <c r="B204" i="2"/>
  <c r="B948" i="2"/>
  <c r="B1740" i="2"/>
  <c r="B951" i="2"/>
  <c r="E971" i="2"/>
  <c r="C1771" i="2"/>
  <c r="D948" i="2"/>
  <c r="E30" i="2"/>
  <c r="D2258" i="2"/>
  <c r="C1600" i="2"/>
  <c r="B345" i="2"/>
  <c r="E2277" i="2"/>
  <c r="D1650" i="2"/>
  <c r="D1109" i="2"/>
  <c r="F2044" i="2"/>
  <c r="C1215" i="2"/>
  <c r="D1931" i="2"/>
  <c r="C472" i="2"/>
  <c r="B895" i="2"/>
  <c r="D1204" i="2"/>
  <c r="C198" i="2"/>
  <c r="F1312" i="2"/>
  <c r="D1121" i="2"/>
  <c r="D1362" i="2"/>
  <c r="E1161" i="2"/>
  <c r="D860" i="2"/>
  <c r="E140" i="2"/>
  <c r="E660" i="2"/>
  <c r="E1187" i="2"/>
  <c r="D44" i="2"/>
  <c r="D332" i="2"/>
  <c r="D760" i="2"/>
  <c r="E1169" i="2"/>
  <c r="D1208" i="2"/>
  <c r="B2401" i="1"/>
  <c r="C926" i="2"/>
  <c r="F1233" i="2"/>
  <c r="E998" i="2"/>
  <c r="C763" i="2"/>
  <c r="F787" i="2"/>
  <c r="E1167" i="2"/>
  <c r="B1409" i="2"/>
  <c r="C2391" i="1"/>
  <c r="F359" i="2"/>
  <c r="F405" i="2"/>
  <c r="C79" i="2"/>
  <c r="B1054" i="2"/>
  <c r="D488" i="2"/>
  <c r="D192" i="2"/>
  <c r="B9" i="2"/>
  <c r="D1677" i="2"/>
  <c r="B1339" i="2"/>
  <c r="E1268" i="2"/>
  <c r="E423" i="2"/>
  <c r="C975" i="2"/>
  <c r="F1388" i="2"/>
  <c r="C1050" i="2"/>
  <c r="D1491" i="2"/>
  <c r="B89" i="2"/>
  <c r="B1485" i="2"/>
  <c r="E2267" i="2"/>
  <c r="E1503" i="2"/>
  <c r="B1195" i="2"/>
  <c r="D1776" i="2"/>
  <c r="C1324" i="2"/>
  <c r="B683" i="2"/>
  <c r="C324" i="2"/>
  <c r="D926" i="2"/>
  <c r="B1124" i="2"/>
  <c r="B715" i="2"/>
  <c r="C114" i="2"/>
  <c r="D2472" i="1"/>
  <c r="D1234" i="2"/>
  <c r="B385" i="2"/>
  <c r="D109" i="2"/>
  <c r="F2425" i="1"/>
  <c r="F1482" i="2"/>
  <c r="D1431" i="2"/>
  <c r="D241" i="2"/>
  <c r="E976" i="2"/>
  <c r="D1458" i="2"/>
  <c r="C564" i="2"/>
  <c r="E334" i="2"/>
  <c r="F527" i="2"/>
  <c r="F198" i="2"/>
  <c r="F1272" i="2"/>
  <c r="C958" i="2"/>
  <c r="F409" i="2"/>
  <c r="F795" i="2"/>
  <c r="F1353" i="2"/>
  <c r="D1924" i="2"/>
  <c r="B983" i="2"/>
  <c r="B2105" i="2"/>
  <c r="B1697" i="2"/>
  <c r="D1686" i="2"/>
  <c r="D1660" i="2"/>
  <c r="D1536" i="2"/>
  <c r="B1320" i="2"/>
  <c r="C1588" i="2"/>
  <c r="F918" i="2"/>
  <c r="F1036" i="2"/>
  <c r="E1403" i="2"/>
  <c r="B598" i="2"/>
  <c r="E933" i="2"/>
  <c r="C1722" i="2"/>
  <c r="E1571" i="2"/>
  <c r="F1789" i="2"/>
  <c r="E1806" i="2"/>
  <c r="B2095" i="2"/>
  <c r="C1502" i="2"/>
  <c r="C1639" i="2"/>
  <c r="E430" i="2"/>
  <c r="B499" i="2"/>
  <c r="B1166" i="2"/>
  <c r="E1900" i="2"/>
  <c r="F1687" i="2"/>
  <c r="C1949" i="2"/>
  <c r="B1121" i="2"/>
  <c r="C996" i="2"/>
  <c r="E266" i="2"/>
  <c r="D582" i="2"/>
  <c r="F2162" i="2"/>
  <c r="F1155" i="2"/>
  <c r="C1756" i="2"/>
  <c r="E1583" i="2"/>
  <c r="E1251" i="2"/>
  <c r="F854" i="2"/>
  <c r="C2245" i="2"/>
  <c r="E1553" i="2"/>
  <c r="B1398" i="2"/>
  <c r="D825" i="2"/>
  <c r="C1730" i="2"/>
  <c r="E1345" i="2"/>
  <c r="D174" i="2"/>
  <c r="C1943" i="2"/>
  <c r="E1356" i="2"/>
  <c r="C1241" i="2"/>
  <c r="D361" i="2"/>
  <c r="E1581" i="2"/>
  <c r="E1369" i="2"/>
  <c r="C1394" i="2"/>
  <c r="D1329" i="2"/>
  <c r="E1595" i="2"/>
  <c r="F1673" i="2"/>
  <c r="C1101" i="2"/>
  <c r="D1079" i="2"/>
  <c r="F1358" i="2"/>
  <c r="B407" i="2"/>
  <c r="D78" i="2"/>
  <c r="D1552" i="2"/>
  <c r="F1076" i="2"/>
  <c r="C1457" i="2"/>
  <c r="E597" i="2"/>
  <c r="B494" i="2"/>
  <c r="D1494" i="2"/>
  <c r="C1073" i="2"/>
  <c r="C1482" i="2"/>
  <c r="F907" i="2"/>
  <c r="D1178" i="2"/>
  <c r="F332" i="2"/>
  <c r="C2209" i="2"/>
  <c r="F2497" i="2"/>
  <c r="F1932" i="2"/>
  <c r="D857" i="2"/>
  <c r="D1910" i="2"/>
  <c r="B1655" i="2"/>
  <c r="F1125" i="2"/>
  <c r="E1697" i="2"/>
  <c r="F1503" i="2"/>
  <c r="D1363" i="2"/>
  <c r="C1105" i="2"/>
  <c r="F981" i="2"/>
  <c r="D983" i="2"/>
  <c r="E1562" i="2"/>
  <c r="D933" i="2"/>
  <c r="B828" i="2"/>
  <c r="E1487" i="2"/>
  <c r="E1619" i="2"/>
  <c r="F703" i="2"/>
  <c r="B1742" i="2"/>
  <c r="E1378" i="2"/>
  <c r="B1033" i="2"/>
  <c r="E792" i="2"/>
  <c r="F1250" i="2"/>
  <c r="E1480" i="2"/>
  <c r="F1657" i="2"/>
  <c r="F740" i="2"/>
  <c r="B1125" i="2"/>
  <c r="E472" i="2"/>
  <c r="F1144" i="2"/>
  <c r="E489" i="2"/>
  <c r="F1363" i="2"/>
  <c r="F1030" i="2"/>
  <c r="F282" i="2"/>
  <c r="C616" i="2"/>
  <c r="C852" i="2"/>
  <c r="D1444" i="2"/>
  <c r="C2379" i="2"/>
  <c r="F1732" i="2"/>
  <c r="E1649" i="2"/>
  <c r="D1078" i="2"/>
  <c r="D1631" i="2"/>
  <c r="B1367" i="2"/>
  <c r="B1291" i="2"/>
  <c r="C1515" i="2"/>
  <c r="D1286" i="2"/>
  <c r="F1733" i="2"/>
  <c r="B1469" i="2"/>
  <c r="C1506" i="2"/>
  <c r="C431" i="2"/>
  <c r="B1273" i="2"/>
  <c r="D1036" i="2"/>
  <c r="E395" i="2"/>
  <c r="E1543" i="2"/>
  <c r="F942" i="2"/>
  <c r="D810" i="2"/>
  <c r="D235" i="2"/>
  <c r="B1073" i="2"/>
  <c r="C1625" i="2"/>
  <c r="B1692" i="2"/>
  <c r="B1277" i="2"/>
  <c r="E1440" i="2"/>
  <c r="B779" i="2"/>
  <c r="E1026" i="2"/>
  <c r="F914" i="2"/>
  <c r="C787" i="2"/>
  <c r="C501" i="2"/>
  <c r="B1510" i="2"/>
  <c r="B2145" i="2"/>
  <c r="D1754" i="2"/>
  <c r="F883" i="2"/>
  <c r="E1825" i="2"/>
  <c r="D1804" i="2"/>
  <c r="B1199" i="2"/>
  <c r="B1405" i="2"/>
  <c r="D1400" i="2"/>
  <c r="E977" i="2"/>
  <c r="D1147" i="2"/>
  <c r="B1243" i="2"/>
  <c r="B535" i="2"/>
  <c r="C2051" i="2"/>
  <c r="F819" i="2"/>
  <c r="E1223" i="2"/>
  <c r="C1149" i="2"/>
  <c r="B1139" i="2"/>
  <c r="E1445" i="2"/>
  <c r="F1253" i="2"/>
  <c r="B989" i="2"/>
  <c r="C1137" i="2"/>
  <c r="F848" i="2"/>
  <c r="B1132" i="2"/>
  <c r="F1028" i="2"/>
  <c r="F1049" i="2"/>
  <c r="D511" i="2"/>
  <c r="B1851" i="2"/>
  <c r="D2296" i="1"/>
  <c r="D622" i="2"/>
  <c r="E496" i="2"/>
  <c r="D97" i="2"/>
  <c r="F1699" i="2"/>
  <c r="E1713" i="2"/>
  <c r="E1341" i="2"/>
  <c r="B1633" i="2"/>
  <c r="C1738" i="2"/>
  <c r="D1860" i="2"/>
  <c r="F1583" i="2"/>
  <c r="B977" i="2"/>
  <c r="E1212" i="2"/>
  <c r="F213" i="2"/>
  <c r="C1396" i="2"/>
  <c r="B1489" i="2"/>
  <c r="B1596" i="2"/>
  <c r="B1635" i="2"/>
  <c r="F369" i="2"/>
  <c r="B792" i="2"/>
  <c r="F1478" i="2"/>
  <c r="C974" i="2"/>
  <c r="E287" i="2"/>
  <c r="F1059" i="2"/>
  <c r="E672" i="2"/>
  <c r="B240" i="2"/>
  <c r="F150" i="2"/>
  <c r="C724" i="2"/>
  <c r="C1309" i="2"/>
  <c r="E703" i="2"/>
  <c r="C77" i="2"/>
  <c r="D800" i="2"/>
  <c r="E636" i="2"/>
  <c r="F866" i="2"/>
  <c r="C806" i="2"/>
  <c r="C467" i="2"/>
  <c r="B929" i="2"/>
  <c r="F710" i="2"/>
  <c r="C42" i="2"/>
  <c r="C872" i="2"/>
  <c r="B956" i="2"/>
  <c r="D803" i="2"/>
  <c r="E901" i="2"/>
  <c r="C1763" i="2"/>
  <c r="D1764" i="2"/>
  <c r="D1194" i="2"/>
  <c r="B1819" i="2"/>
  <c r="C1058" i="2"/>
  <c r="D257" i="2"/>
  <c r="D1271" i="2"/>
  <c r="D900" i="2"/>
  <c r="C1150" i="2"/>
  <c r="C1795" i="2"/>
  <c r="C511" i="2"/>
  <c r="D1274" i="2"/>
  <c r="D270" i="2"/>
  <c r="D830" i="2"/>
  <c r="B558" i="2"/>
  <c r="C1463" i="2"/>
  <c r="B1005" i="2"/>
  <c r="E2162" i="2"/>
  <c r="B1710" i="2"/>
  <c r="E1916" i="2"/>
  <c r="C1540" i="2"/>
  <c r="E1122" i="2"/>
  <c r="C1034" i="2"/>
  <c r="F2272" i="1"/>
  <c r="C832" i="2"/>
  <c r="B2010" i="2"/>
  <c r="E1437" i="2"/>
  <c r="D1305" i="2"/>
  <c r="E1102" i="2"/>
  <c r="C962" i="2"/>
  <c r="C1066" i="2"/>
  <c r="D524" i="2"/>
  <c r="E1897" i="2"/>
  <c r="E1221" i="2"/>
  <c r="F1535" i="2"/>
  <c r="F1689" i="2"/>
  <c r="B1303" i="2"/>
  <c r="D1011" i="2"/>
  <c r="B2077" i="2"/>
  <c r="F1438" i="2"/>
  <c r="F1146" i="2"/>
  <c r="F1183" i="2"/>
  <c r="D1763" i="2"/>
  <c r="C1552" i="2"/>
  <c r="D908" i="2"/>
  <c r="D1560" i="2"/>
  <c r="F1680" i="2"/>
  <c r="D1524" i="2"/>
  <c r="E1497" i="2"/>
  <c r="B1526" i="2"/>
  <c r="C1240" i="2"/>
  <c r="D688" i="2"/>
  <c r="E624" i="2"/>
  <c r="D1356" i="2"/>
  <c r="F2040" i="2"/>
  <c r="C979" i="2"/>
  <c r="E154" i="2"/>
  <c r="D2475" i="2"/>
  <c r="F3" i="2"/>
  <c r="B1177" i="2"/>
  <c r="E2329" i="1"/>
  <c r="E1582" i="2"/>
  <c r="D601" i="2"/>
  <c r="D634" i="2"/>
  <c r="C364" i="2"/>
  <c r="F1157" i="2"/>
  <c r="E313" i="2"/>
  <c r="E606" i="2"/>
  <c r="F23" i="2"/>
  <c r="F881" i="2"/>
  <c r="C2511" i="1"/>
  <c r="B2318" i="2"/>
  <c r="C2006" i="2"/>
  <c r="C1754" i="2"/>
  <c r="D1131" i="2"/>
  <c r="C1901" i="2"/>
  <c r="E1591" i="2"/>
  <c r="D1809" i="2"/>
  <c r="C740" i="2"/>
  <c r="D1256" i="2"/>
  <c r="C1382" i="2"/>
  <c r="C102" i="2"/>
  <c r="D1163" i="2"/>
  <c r="C683" i="2"/>
  <c r="F818" i="2"/>
  <c r="C900" i="2"/>
  <c r="D259" i="2"/>
  <c r="B1203" i="2"/>
  <c r="B973" i="2"/>
  <c r="C707" i="2"/>
  <c r="F1219" i="2"/>
  <c r="B903" i="2"/>
  <c r="E1292" i="2"/>
  <c r="F582" i="2"/>
  <c r="B1714" i="2"/>
  <c r="B451" i="2"/>
  <c r="F1584" i="2"/>
  <c r="D530" i="2"/>
  <c r="D1098" i="2"/>
  <c r="D30" i="2"/>
  <c r="F998" i="2"/>
  <c r="B756" i="2"/>
  <c r="E1129" i="2"/>
  <c r="F529" i="2"/>
  <c r="B555" i="2"/>
  <c r="D1111" i="2"/>
  <c r="F1110" i="2"/>
  <c r="B208" i="2"/>
  <c r="D2284" i="2"/>
  <c r="C1731" i="2"/>
  <c r="E2161" i="2"/>
  <c r="F1411" i="2"/>
  <c r="F1230" i="2"/>
  <c r="D1195" i="2"/>
  <c r="D1022" i="2"/>
  <c r="B1902" i="2"/>
  <c r="E1823" i="2"/>
  <c r="C1265" i="2"/>
  <c r="B761" i="2"/>
  <c r="C1183" i="2"/>
  <c r="D1322" i="2"/>
  <c r="C1190" i="2"/>
  <c r="F1531" i="2"/>
  <c r="D956" i="2"/>
  <c r="D1879" i="2"/>
  <c r="D845" i="2"/>
  <c r="E339" i="2"/>
  <c r="D2443" i="1"/>
  <c r="B934" i="2"/>
  <c r="D1056" i="2"/>
  <c r="E1852" i="2"/>
  <c r="F2136" i="2"/>
  <c r="C1158" i="2"/>
  <c r="C1246" i="2"/>
  <c r="B1013" i="2"/>
  <c r="F1475" i="2"/>
  <c r="F1241" i="2"/>
  <c r="B500" i="2"/>
  <c r="C2193" i="2"/>
  <c r="F1715" i="2"/>
  <c r="B1707" i="2"/>
  <c r="B1263" i="2"/>
  <c r="B1356" i="2"/>
  <c r="D1588" i="2"/>
  <c r="C1907" i="2"/>
  <c r="C1349" i="2"/>
  <c r="B1413" i="2"/>
  <c r="C812" i="2"/>
  <c r="C1368" i="2"/>
  <c r="E680" i="2"/>
  <c r="C1510" i="2"/>
  <c r="F938" i="2"/>
  <c r="B997" i="2"/>
  <c r="E74" i="2"/>
  <c r="B1042" i="2"/>
  <c r="C1354" i="2"/>
  <c r="B439" i="2"/>
  <c r="B1820" i="2"/>
  <c r="C1043" i="2"/>
  <c r="F563" i="2"/>
  <c r="F666" i="2"/>
  <c r="B1353" i="2"/>
  <c r="D813" i="2"/>
  <c r="F446" i="2"/>
  <c r="E401" i="2"/>
  <c r="F1096" i="2"/>
  <c r="F698" i="2"/>
  <c r="F699" i="2"/>
  <c r="E963" i="2"/>
  <c r="B953" i="2"/>
  <c r="C1478" i="2"/>
  <c r="B985" i="2"/>
  <c r="C1829" i="2"/>
  <c r="B1528" i="2"/>
  <c r="B1246" i="2"/>
  <c r="E1112" i="2"/>
  <c r="B1670" i="2"/>
  <c r="E1019" i="2"/>
  <c r="B587" i="2"/>
  <c r="C1804" i="2"/>
  <c r="C1261" i="2"/>
  <c r="C1204" i="2"/>
  <c r="D1345" i="2"/>
  <c r="D1328" i="2"/>
  <c r="F1564" i="2"/>
  <c r="E709" i="2"/>
  <c r="D1072" i="2"/>
  <c r="C1523" i="2"/>
  <c r="E1201" i="2"/>
  <c r="B901" i="2"/>
  <c r="C774" i="2"/>
  <c r="F601" i="2"/>
  <c r="D869" i="2"/>
  <c r="C1053" i="2"/>
  <c r="E285" i="2"/>
  <c r="E156" i="2"/>
  <c r="B1520" i="2"/>
  <c r="B2466" i="1"/>
  <c r="F147" i="2"/>
  <c r="B1501" i="2"/>
  <c r="D1521" i="2"/>
  <c r="F2468" i="1"/>
  <c r="E2056" i="1"/>
  <c r="D118" i="2"/>
  <c r="B917" i="2"/>
  <c r="C157" i="2"/>
  <c r="F1942" i="1"/>
  <c r="C485" i="2"/>
  <c r="D130" i="2"/>
  <c r="C2269" i="2"/>
  <c r="D1467" i="2"/>
  <c r="D982" i="2"/>
  <c r="E1621" i="2"/>
  <c r="D960" i="2"/>
  <c r="B1026" i="2"/>
  <c r="C1135" i="2"/>
  <c r="D1714" i="2"/>
  <c r="D833" i="2"/>
  <c r="B1521" i="2"/>
  <c r="E1511" i="2"/>
  <c r="C736" i="2"/>
  <c r="F993" i="2"/>
  <c r="C1430" i="2"/>
  <c r="F813" i="2"/>
  <c r="C1493" i="2"/>
  <c r="C1441" i="2"/>
  <c r="B65" i="2"/>
  <c r="D1045" i="2"/>
  <c r="C580" i="2"/>
  <c r="D837" i="2"/>
  <c r="A2409" i="1"/>
  <c r="C322" i="2"/>
  <c r="B1620" i="2"/>
  <c r="D667" i="2"/>
  <c r="B17" i="2"/>
  <c r="C220" i="2"/>
  <c r="B848" i="2"/>
  <c r="E416" i="2"/>
  <c r="B429" i="2"/>
  <c r="E1202" i="2"/>
  <c r="D1084" i="2"/>
  <c r="F591" i="2"/>
  <c r="B2389" i="1"/>
  <c r="C829" i="2"/>
  <c r="E191" i="2"/>
  <c r="E458" i="2"/>
  <c r="C289" i="2"/>
  <c r="E2288" i="2"/>
  <c r="D1479" i="2"/>
  <c r="C1669" i="2"/>
  <c r="F1793" i="2"/>
  <c r="D1273" i="2"/>
  <c r="D894" i="2"/>
  <c r="E1210" i="2"/>
  <c r="F1618" i="2"/>
  <c r="F934" i="2"/>
  <c r="C876" i="2"/>
  <c r="B1661" i="2"/>
  <c r="C879" i="2"/>
  <c r="D1244" i="2"/>
  <c r="F1463" i="2"/>
  <c r="C1214" i="2"/>
  <c r="B401" i="2"/>
  <c r="B1355" i="2"/>
  <c r="F466" i="2"/>
  <c r="D1088" i="2"/>
  <c r="E1012" i="2"/>
  <c r="C743" i="2"/>
  <c r="D1824" i="2"/>
  <c r="D1245" i="2"/>
  <c r="B2014" i="2"/>
  <c r="F1767" i="2"/>
  <c r="E2090" i="2"/>
  <c r="D1213" i="2"/>
  <c r="D2143" i="2"/>
  <c r="B1351" i="2"/>
  <c r="D920" i="2"/>
  <c r="C2173" i="2"/>
  <c r="E1611" i="2"/>
  <c r="D1112" i="2"/>
  <c r="F1924" i="2"/>
  <c r="F1722" i="2"/>
  <c r="E1709" i="2"/>
  <c r="B1745" i="2"/>
  <c r="B1677" i="2"/>
  <c r="B1416" i="2"/>
  <c r="E2069" i="2"/>
  <c r="E1069" i="2"/>
  <c r="B1451" i="2"/>
  <c r="F1609" i="2"/>
  <c r="E1675" i="2"/>
  <c r="C1831" i="2"/>
  <c r="E1572" i="2"/>
  <c r="C1649" i="2"/>
  <c r="F1599" i="2"/>
  <c r="E1451" i="2"/>
  <c r="E905" i="2"/>
  <c r="F803" i="2"/>
  <c r="C1153" i="2"/>
  <c r="B2301" i="2"/>
  <c r="F939" i="2"/>
  <c r="E1578" i="2"/>
  <c r="D1460" i="2"/>
  <c r="B1354" i="2"/>
  <c r="C1334" i="2"/>
  <c r="F1180" i="2"/>
  <c r="C1194" i="2"/>
  <c r="F1371" i="2"/>
  <c r="D1978" i="2"/>
  <c r="E1351" i="2"/>
  <c r="B1244" i="2"/>
  <c r="C1335" i="2"/>
  <c r="D1383" i="2"/>
  <c r="D951" i="2"/>
  <c r="B853" i="2"/>
  <c r="D925" i="2"/>
  <c r="D226" i="2"/>
  <c r="E447" i="2"/>
  <c r="B775" i="2"/>
  <c r="D1595" i="2"/>
  <c r="B1014" i="2"/>
  <c r="D1446" i="2"/>
  <c r="E892" i="2"/>
  <c r="C552" i="2"/>
  <c r="E1564" i="2"/>
  <c r="D1727" i="2"/>
  <c r="E1620" i="2"/>
  <c r="C1341" i="2"/>
  <c r="E1614" i="2"/>
  <c r="B1171" i="2"/>
  <c r="F1856" i="2"/>
  <c r="C1496" i="2"/>
  <c r="B1945" i="2"/>
  <c r="B1179" i="2"/>
  <c r="B360" i="2"/>
  <c r="F1379" i="2"/>
  <c r="B548" i="2"/>
  <c r="B819" i="2"/>
  <c r="E1271" i="2"/>
  <c r="C1001" i="2"/>
  <c r="B1477" i="2"/>
  <c r="E1108" i="2"/>
  <c r="D722" i="2"/>
  <c r="D1398" i="2"/>
  <c r="C1339" i="2"/>
  <c r="E825" i="2"/>
  <c r="C2369" i="1"/>
  <c r="D2379" i="2"/>
  <c r="B378" i="2"/>
  <c r="E1232" i="2"/>
  <c r="E527" i="2"/>
  <c r="B758" i="2"/>
  <c r="E1048" i="2"/>
  <c r="B1333" i="2"/>
  <c r="C1123" i="2"/>
  <c r="F771" i="2"/>
  <c r="F550" i="2"/>
  <c r="C767" i="2"/>
  <c r="F900" i="2"/>
  <c r="B1445" i="2"/>
  <c r="C1094" i="2"/>
  <c r="F1934" i="2"/>
  <c r="B1563" i="2"/>
  <c r="D1622" i="2"/>
  <c r="E1975" i="2"/>
  <c r="F701" i="2"/>
  <c r="B1430" i="2"/>
  <c r="E1722" i="2"/>
  <c r="F877" i="2"/>
  <c r="F1912" i="2"/>
  <c r="E733" i="2"/>
  <c r="D225" i="2"/>
  <c r="C1115" i="2"/>
  <c r="E865" i="2"/>
  <c r="B1912" i="2"/>
  <c r="D1155" i="2"/>
  <c r="C1345" i="2"/>
  <c r="C1247" i="2"/>
  <c r="C583" i="2"/>
  <c r="C981" i="2"/>
  <c r="C2176" i="2"/>
  <c r="C596" i="2"/>
  <c r="B1678" i="2"/>
  <c r="C1469" i="2"/>
  <c r="E1654" i="2"/>
  <c r="C932" i="2"/>
  <c r="C1028" i="2"/>
  <c r="B860" i="2"/>
  <c r="C1565" i="2"/>
  <c r="B256" i="2"/>
  <c r="E927" i="2"/>
  <c r="B1233" i="2"/>
  <c r="F1969" i="2"/>
  <c r="E1712" i="2"/>
  <c r="F468" i="2"/>
  <c r="F1440" i="2"/>
  <c r="C1400" i="2"/>
  <c r="E1811" i="2"/>
  <c r="F1554" i="2"/>
  <c r="B1352" i="2"/>
  <c r="D949" i="2"/>
  <c r="D352" i="2"/>
  <c r="B1251" i="2"/>
  <c r="E634" i="2"/>
  <c r="D1240" i="2"/>
  <c r="B987" i="2"/>
  <c r="C372" i="2"/>
  <c r="E675" i="2"/>
  <c r="E555" i="2"/>
  <c r="B362" i="2"/>
  <c r="E1153" i="2"/>
  <c r="C1428" i="2"/>
  <c r="C205" i="2"/>
  <c r="C189" i="2"/>
  <c r="D1729" i="2"/>
  <c r="B468" i="2"/>
  <c r="E1421" i="2"/>
  <c r="B705" i="2"/>
  <c r="C1422" i="2"/>
  <c r="F227" i="2"/>
  <c r="D623" i="2"/>
  <c r="B419" i="2"/>
  <c r="F1005" i="2"/>
  <c r="E1958" i="2"/>
  <c r="E1483" i="2"/>
  <c r="F1279" i="2"/>
  <c r="E1878" i="2"/>
  <c r="F1208" i="2"/>
  <c r="E1544" i="2"/>
  <c r="D1108" i="2"/>
  <c r="F1434" i="2"/>
  <c r="C1618" i="2"/>
  <c r="C1191" i="2"/>
  <c r="D1008" i="2"/>
  <c r="F1163" i="2"/>
  <c r="B1028" i="2"/>
  <c r="E994" i="2"/>
  <c r="F927" i="2"/>
  <c r="F1098" i="2"/>
  <c r="F1361" i="2"/>
  <c r="E495" i="2"/>
  <c r="C404" i="2"/>
  <c r="E2383" i="1"/>
  <c r="E972" i="2"/>
  <c r="E2338" i="1"/>
  <c r="C1551" i="2"/>
  <c r="C1167" i="2"/>
  <c r="B968" i="2"/>
  <c r="B449" i="2"/>
  <c r="C1142" i="2"/>
  <c r="C1201" i="2"/>
  <c r="C1358" i="2"/>
  <c r="F139" i="2"/>
  <c r="B355" i="2"/>
  <c r="C893" i="2"/>
  <c r="D792" i="2"/>
  <c r="C1019" i="2"/>
  <c r="E357" i="2"/>
  <c r="B299" i="2"/>
  <c r="C659" i="2"/>
  <c r="D20" i="2"/>
  <c r="C1997" i="2"/>
  <c r="F2062" i="2"/>
  <c r="C1755" i="2"/>
  <c r="E926" i="2"/>
  <c r="B1205" i="2"/>
  <c r="C1124" i="2"/>
  <c r="F1373" i="2"/>
  <c r="D1388" i="2"/>
  <c r="E1782" i="2"/>
  <c r="E1302" i="2"/>
  <c r="E1023" i="2"/>
  <c r="B938" i="2"/>
  <c r="B1269" i="2"/>
  <c r="D1333" i="2"/>
  <c r="D552" i="2"/>
  <c r="D692" i="2"/>
  <c r="E1081" i="2"/>
  <c r="B473" i="2"/>
  <c r="E641" i="2"/>
  <c r="C1179" i="2"/>
  <c r="C551" i="2"/>
  <c r="C1640" i="2"/>
  <c r="D1429" i="2"/>
  <c r="C495" i="2"/>
  <c r="D788" i="2"/>
  <c r="F371" i="2"/>
  <c r="C1521" i="2"/>
  <c r="C1293" i="2"/>
  <c r="D343" i="2"/>
  <c r="B584" i="2"/>
  <c r="D1748" i="2"/>
  <c r="C1035" i="2"/>
  <c r="C221" i="2"/>
  <c r="B732" i="2"/>
  <c r="D1193" i="2"/>
  <c r="F899" i="2"/>
  <c r="B2314" i="1"/>
  <c r="D407" i="2"/>
  <c r="F704" i="2"/>
  <c r="E1700" i="2"/>
  <c r="E1794" i="2"/>
  <c r="D1437" i="2"/>
  <c r="F1640" i="2"/>
  <c r="D1264" i="2"/>
  <c r="F1258" i="2"/>
  <c r="C1620" i="2"/>
  <c r="B1056" i="2"/>
  <c r="C379" i="2"/>
  <c r="B899" i="2"/>
  <c r="C1317" i="2"/>
  <c r="D1217" i="2"/>
  <c r="D161" i="2"/>
  <c r="B13" i="2"/>
  <c r="C1080" i="2"/>
  <c r="F435" i="2"/>
  <c r="F1544" i="2"/>
  <c r="E317" i="2"/>
  <c r="D642" i="2"/>
  <c r="D2432" i="1"/>
  <c r="B284" i="2"/>
  <c r="F1257" i="2"/>
  <c r="D1334" i="2"/>
  <c r="D2446" i="2"/>
  <c r="B1577" i="2"/>
  <c r="B1579" i="2"/>
  <c r="D1608" i="2"/>
  <c r="F1652" i="2"/>
  <c r="D1355" i="2"/>
  <c r="E1332" i="2"/>
  <c r="F1521" i="2"/>
  <c r="D1303" i="2"/>
  <c r="B2204" i="2"/>
  <c r="F1454" i="2"/>
  <c r="F1245" i="2"/>
  <c r="B1506" i="2"/>
  <c r="D1822" i="2"/>
  <c r="B1496" i="2"/>
  <c r="C1438" i="2"/>
  <c r="B1345" i="2"/>
  <c r="C2013" i="2"/>
  <c r="C1608" i="2"/>
  <c r="D1963" i="2"/>
  <c r="C1226" i="2"/>
  <c r="C584" i="2"/>
  <c r="E1172" i="2"/>
  <c r="D1808" i="2"/>
  <c r="C1695" i="2"/>
  <c r="F1613" i="2"/>
  <c r="F1714" i="2"/>
  <c r="E1349" i="2"/>
  <c r="C655" i="2"/>
  <c r="C875" i="2"/>
  <c r="D2310" i="2"/>
  <c r="D2008" i="2"/>
  <c r="E295" i="2"/>
  <c r="D1272" i="2"/>
  <c r="C716" i="2"/>
  <c r="F166" i="2"/>
  <c r="C1079" i="2"/>
  <c r="C341" i="2"/>
  <c r="C957" i="2"/>
  <c r="B1658" i="2"/>
  <c r="C835" i="2"/>
  <c r="E243" i="2"/>
  <c r="F406" i="2"/>
  <c r="D1447" i="2"/>
  <c r="E1146" i="2"/>
  <c r="C1122" i="2"/>
  <c r="C800" i="2"/>
  <c r="B16" i="2"/>
  <c r="D798" i="2"/>
  <c r="D778" i="2"/>
  <c r="B1" i="2"/>
  <c r="D1308" i="2"/>
  <c r="D350" i="2"/>
  <c r="D492" i="2"/>
  <c r="B307" i="2"/>
  <c r="E858" i="2"/>
  <c r="D1752" i="2"/>
  <c r="F1216" i="2"/>
  <c r="B1446" i="2"/>
  <c r="F1386" i="2"/>
  <c r="D2028" i="2"/>
  <c r="C1761" i="2"/>
  <c r="C1473" i="2"/>
  <c r="C1327" i="2"/>
  <c r="D1202" i="2"/>
  <c r="F976" i="2"/>
  <c r="F874" i="2"/>
  <c r="F1365" i="2"/>
  <c r="E439" i="2"/>
  <c r="E1489" i="2"/>
  <c r="D489" i="2"/>
  <c r="C469" i="2"/>
  <c r="E1491" i="2"/>
  <c r="D1533" i="2"/>
  <c r="B962" i="2"/>
  <c r="C1364" i="2"/>
  <c r="E841" i="2"/>
  <c r="B865" i="2"/>
  <c r="B846" i="2"/>
  <c r="B1394" i="2"/>
  <c r="E203" i="2"/>
  <c r="B1192" i="2"/>
  <c r="D89" i="2"/>
  <c r="F1337" i="2"/>
  <c r="E44" i="2"/>
  <c r="F1089" i="2"/>
  <c r="C421" i="2"/>
  <c r="F1058" i="2"/>
  <c r="C1063" i="2"/>
  <c r="B2304" i="1"/>
  <c r="F393" i="2"/>
  <c r="C1096" i="2"/>
  <c r="D1423" i="2"/>
  <c r="C1890" i="2"/>
  <c r="C1280" i="2"/>
  <c r="E1379" i="2"/>
  <c r="B1914" i="2"/>
  <c r="E2011" i="2"/>
  <c r="F1195" i="2"/>
  <c r="B763" i="2"/>
  <c r="D1221" i="2"/>
  <c r="D1125" i="2"/>
  <c r="D1320" i="2"/>
  <c r="B998" i="2"/>
  <c r="C229" i="2"/>
  <c r="C1015" i="2"/>
  <c r="F1836" i="2"/>
  <c r="B1656" i="2"/>
  <c r="E885" i="2"/>
  <c r="F1575" i="2"/>
  <c r="F252" i="2"/>
  <c r="F1458" i="2"/>
  <c r="E1176" i="2"/>
  <c r="B1613" i="2"/>
  <c r="E1377" i="2"/>
  <c r="D859" i="2"/>
  <c r="F1431" i="2"/>
  <c r="C1418" i="2"/>
  <c r="D828" i="2"/>
  <c r="D689" i="2"/>
  <c r="D896" i="2"/>
  <c r="F985" i="2"/>
  <c r="D263" i="2"/>
  <c r="D1794" i="2"/>
  <c r="E1945" i="2"/>
  <c r="D1647" i="2"/>
  <c r="C1348" i="2"/>
  <c r="F1259" i="2"/>
  <c r="E1443" i="2"/>
  <c r="F1218" i="2"/>
  <c r="D1386" i="2"/>
  <c r="F1264" i="2"/>
  <c r="C1499" i="2"/>
  <c r="B541" i="2"/>
  <c r="C1230" i="2"/>
  <c r="D1176" i="2"/>
  <c r="D1138" i="2"/>
  <c r="B1041" i="2"/>
  <c r="F42" i="2"/>
  <c r="D832" i="2"/>
  <c r="D789" i="2"/>
  <c r="C673" i="2"/>
  <c r="B1300" i="2"/>
  <c r="C805" i="2"/>
  <c r="B1064" i="2"/>
  <c r="E1551" i="2"/>
  <c r="C987" i="2"/>
  <c r="B1576" i="2"/>
  <c r="B1318" i="2"/>
  <c r="E59" i="2"/>
  <c r="D1816" i="2"/>
  <c r="F510" i="2"/>
  <c r="D1381" i="2"/>
  <c r="C1420" i="2"/>
  <c r="B1274" i="2"/>
  <c r="B1450" i="2"/>
  <c r="C1699" i="2"/>
  <c r="F1302" i="2"/>
  <c r="C1412" i="2"/>
  <c r="B1170" i="2"/>
  <c r="B1287" i="2"/>
  <c r="B1362" i="2"/>
  <c r="B1719" i="2"/>
  <c r="C1189" i="2"/>
  <c r="F826" i="2"/>
  <c r="C1114" i="2"/>
  <c r="D1146" i="2"/>
  <c r="F1305" i="2"/>
  <c r="E809" i="2"/>
  <c r="B12" i="2"/>
  <c r="E1465" i="2"/>
  <c r="C1747" i="2"/>
  <c r="E628" i="2"/>
  <c r="D1096" i="2"/>
  <c r="C860" i="2"/>
  <c r="D640" i="2"/>
  <c r="E1281" i="2"/>
  <c r="B963" i="2"/>
  <c r="D1347" i="2"/>
  <c r="E1104" i="2"/>
  <c r="D1080" i="2"/>
  <c r="C1281" i="2"/>
  <c r="B57" i="2"/>
  <c r="C997" i="2"/>
  <c r="D5" i="2"/>
  <c r="E642" i="2"/>
  <c r="F151" i="2"/>
  <c r="F789" i="2"/>
  <c r="F183" i="2"/>
  <c r="B1401" i="2"/>
  <c r="B213" i="2"/>
  <c r="B130" i="2"/>
  <c r="B1306" i="2"/>
  <c r="E1681" i="2"/>
  <c r="E1441" i="2"/>
  <c r="D2042" i="2"/>
  <c r="D1267" i="2"/>
  <c r="D1454" i="2"/>
  <c r="F1170" i="2"/>
  <c r="B1218" i="2"/>
  <c r="C973" i="2"/>
  <c r="B1126" i="2"/>
  <c r="C986" i="2"/>
  <c r="F1038" i="2"/>
  <c r="F709" i="2"/>
  <c r="B1473" i="2"/>
  <c r="E465" i="2"/>
  <c r="E1639" i="2"/>
  <c r="F2404" i="1"/>
  <c r="D981" i="2"/>
  <c r="C845" i="2"/>
  <c r="B1155" i="2"/>
  <c r="E1055" i="2"/>
  <c r="E725" i="2"/>
  <c r="C139" i="2"/>
  <c r="E1118" i="2"/>
  <c r="E2088" i="1"/>
  <c r="C956" i="2"/>
  <c r="D69" i="2"/>
  <c r="C1566" i="2"/>
  <c r="D129" i="2"/>
  <c r="B384" i="2"/>
  <c r="E640" i="2"/>
  <c r="E1486" i="2"/>
  <c r="E867" i="2"/>
  <c r="E47" i="2"/>
  <c r="F946" i="2"/>
  <c r="D1798" i="2"/>
  <c r="D822" i="2"/>
  <c r="C968" i="2"/>
  <c r="F852" i="2"/>
  <c r="B868" i="2"/>
  <c r="B2457" i="2"/>
  <c r="E1140" i="2"/>
  <c r="C870" i="2"/>
  <c r="D1122" i="2"/>
  <c r="F1519" i="2"/>
  <c r="F1227" i="2"/>
  <c r="B1435" i="2"/>
  <c r="D826" i="2"/>
  <c r="E1335" i="2"/>
  <c r="E1978" i="2"/>
  <c r="F1213" i="2"/>
  <c r="E588" i="2"/>
  <c r="E1837" i="2"/>
  <c r="D1393" i="2"/>
  <c r="C466" i="2"/>
  <c r="C1146" i="2"/>
  <c r="B456" i="2"/>
  <c r="C698" i="2"/>
  <c r="D160" i="2"/>
  <c r="F742" i="2"/>
  <c r="D1119" i="2"/>
  <c r="B409" i="2"/>
  <c r="B1140" i="2"/>
  <c r="C1548" i="2"/>
  <c r="C2068" i="2"/>
  <c r="B1136" i="2"/>
  <c r="D1290" i="2"/>
  <c r="E1110" i="2"/>
  <c r="D1671" i="2"/>
  <c r="C1099" i="2"/>
  <c r="D1980" i="2"/>
  <c r="E801" i="2"/>
  <c r="D1753" i="2"/>
  <c r="C1560" i="2"/>
  <c r="E1073" i="2"/>
  <c r="C1193" i="2"/>
  <c r="B1200" i="2"/>
  <c r="D1982" i="2"/>
  <c r="F1556" i="2"/>
  <c r="E1626" i="2"/>
  <c r="D1551" i="2"/>
  <c r="D1366" i="2"/>
  <c r="E251" i="2"/>
  <c r="D881" i="2"/>
  <c r="C1828" i="2"/>
  <c r="B1811" i="2"/>
  <c r="C2074" i="2"/>
  <c r="E1994" i="2"/>
  <c r="B1513" i="2"/>
  <c r="D1701" i="2"/>
  <c r="E1698" i="2"/>
  <c r="D1230" i="2"/>
  <c r="F1779" i="2"/>
  <c r="F1892" i="2"/>
  <c r="F2214" i="1"/>
  <c r="D909" i="2"/>
  <c r="B1109" i="2"/>
  <c r="F1410" i="2"/>
  <c r="F954" i="2"/>
  <c r="E1260" i="2"/>
  <c r="F1580" i="2"/>
  <c r="B1237" i="2"/>
  <c r="C2060" i="2"/>
  <c r="B965" i="2"/>
  <c r="B1261" i="2"/>
  <c r="B1426" i="2"/>
  <c r="D2384" i="2"/>
  <c r="F253" i="2"/>
  <c r="F1177" i="2"/>
  <c r="F705" i="2"/>
  <c r="F1570" i="2"/>
  <c r="C441" i="2"/>
  <c r="C1262" i="2"/>
  <c r="D1425" i="2"/>
  <c r="C1654" i="2"/>
  <c r="B235" i="2"/>
  <c r="E125" i="2"/>
  <c r="C1827" i="2"/>
  <c r="B1789" i="2"/>
  <c r="B1253" i="2"/>
  <c r="E1041" i="2"/>
  <c r="B883" i="2"/>
  <c r="B767" i="2"/>
  <c r="D1478" i="2"/>
  <c r="B1188" i="2"/>
  <c r="B1305" i="2"/>
  <c r="D1314" i="2"/>
  <c r="E1384" i="2"/>
  <c r="D1257" i="2"/>
  <c r="B1796" i="2"/>
  <c r="D1039" i="2"/>
  <c r="E765" i="2"/>
  <c r="B2062" i="2"/>
  <c r="D1360" i="2"/>
  <c r="D1247" i="2"/>
  <c r="D87" i="2"/>
  <c r="D1463" i="2"/>
  <c r="E1008" i="2"/>
  <c r="B337" i="2"/>
  <c r="D64" i="2"/>
  <c r="C538" i="2"/>
  <c r="D577" i="2"/>
  <c r="D955" i="2"/>
  <c r="F815" i="2"/>
  <c r="B217" i="2"/>
  <c r="D1527" i="2"/>
  <c r="B365" i="2"/>
  <c r="C447" i="2"/>
  <c r="F310" i="2"/>
  <c r="E648" i="2"/>
  <c r="D686" i="2"/>
  <c r="B638" i="2"/>
  <c r="F1194" i="2"/>
  <c r="F1196" i="2"/>
  <c r="C1390" i="2"/>
  <c r="B2054" i="2"/>
  <c r="C1351" i="2"/>
  <c r="B172" i="2"/>
  <c r="B1681" i="2"/>
  <c r="E979" i="2"/>
  <c r="F1831" i="2"/>
  <c r="E1411" i="2"/>
  <c r="F1803" i="2"/>
  <c r="C921" i="2"/>
  <c r="B191" i="2"/>
  <c r="F672" i="2"/>
  <c r="F621" i="2"/>
  <c r="E829" i="2"/>
  <c r="F1148" i="2"/>
  <c r="B978" i="2"/>
  <c r="B703" i="2"/>
  <c r="B1075" i="2"/>
  <c r="F129" i="2"/>
  <c r="C1899" i="2"/>
  <c r="D1288" i="2"/>
  <c r="F898" i="2"/>
  <c r="A2473" i="1"/>
  <c r="D1211" i="2"/>
  <c r="B1343" i="2"/>
  <c r="D843" i="2"/>
  <c r="F1246" i="2"/>
  <c r="D1874" i="2"/>
  <c r="E614" i="2"/>
  <c r="F2411" i="2"/>
  <c r="F1994" i="2"/>
  <c r="D1475" i="2"/>
  <c r="E1757" i="2"/>
  <c r="F1404" i="2"/>
  <c r="B685" i="2"/>
  <c r="D1263" i="2"/>
  <c r="E1284" i="2"/>
  <c r="E1267" i="2"/>
  <c r="E1144" i="2"/>
  <c r="F1229" i="2"/>
  <c r="C1599" i="2"/>
  <c r="E372" i="2"/>
  <c r="F1296" i="2"/>
  <c r="C1069" i="2"/>
  <c r="C1095" i="2"/>
  <c r="B1494" i="2"/>
  <c r="F890" i="2"/>
  <c r="E1724" i="2"/>
  <c r="F1249" i="2"/>
  <c r="D992" i="2"/>
  <c r="D1103" i="2"/>
  <c r="C856" i="2"/>
  <c r="E756" i="2"/>
  <c r="E1207" i="2"/>
  <c r="C1219" i="2"/>
  <c r="D1284" i="2"/>
  <c r="D395" i="2"/>
  <c r="B1603" i="2"/>
  <c r="E653" i="2"/>
  <c r="B469" i="2"/>
  <c r="E1078" i="2"/>
  <c r="E2199" i="2"/>
  <c r="B1542" i="2"/>
  <c r="E389" i="2"/>
  <c r="B900" i="2"/>
  <c r="D1050" i="2"/>
  <c r="C982" i="2"/>
  <c r="F1133" i="2"/>
  <c r="F1025" i="2"/>
  <c r="F1467" i="2"/>
  <c r="E1352" i="2"/>
  <c r="E813" i="2"/>
  <c r="C1931" i="2"/>
  <c r="C1508" i="2"/>
  <c r="F839" i="2"/>
  <c r="B1055" i="2"/>
  <c r="E696" i="2"/>
  <c r="D1064" i="2"/>
  <c r="F743" i="2"/>
  <c r="B1030" i="2"/>
  <c r="B888" i="2"/>
  <c r="D290" i="2"/>
  <c r="D758" i="2"/>
  <c r="B1474" i="2"/>
  <c r="C276" i="2"/>
  <c r="F760" i="2"/>
  <c r="D2182" i="1"/>
  <c r="D2115" i="2"/>
  <c r="B125" i="2"/>
  <c r="B674" i="2"/>
  <c r="C251" i="2"/>
  <c r="D861" i="2"/>
  <c r="B668" i="2"/>
  <c r="A2129" i="1"/>
  <c r="D499" i="2"/>
  <c r="B1821" i="2"/>
  <c r="C866" i="2"/>
  <c r="E263" i="2"/>
  <c r="F1108" i="2"/>
  <c r="B923" i="2"/>
  <c r="C2341" i="2"/>
  <c r="C1757" i="2"/>
  <c r="E2205" i="2"/>
  <c r="E1637" i="2"/>
  <c r="E1387" i="2"/>
  <c r="E1301" i="2"/>
  <c r="B949" i="2"/>
  <c r="C2102" i="2"/>
  <c r="B735" i="2"/>
  <c r="E2180" i="1"/>
  <c r="D1075" i="2"/>
  <c r="B249" i="2"/>
  <c r="B1828" i="2"/>
  <c r="D1042" i="2"/>
  <c r="B1105" i="2"/>
  <c r="B1129" i="2"/>
  <c r="B1406" i="2"/>
  <c r="D1132" i="2"/>
  <c r="D363" i="2"/>
  <c r="B442" i="2"/>
  <c r="C658" i="2"/>
  <c r="E718" i="2"/>
  <c r="B1183" i="2"/>
  <c r="D113" i="2"/>
  <c r="D802" i="2"/>
  <c r="C488" i="2"/>
  <c r="E433" i="2"/>
  <c r="B1008" i="2"/>
  <c r="D483" i="2"/>
  <c r="F231" i="2"/>
  <c r="D190" i="2"/>
  <c r="F978" i="2"/>
  <c r="B2497" i="1"/>
  <c r="F193" i="2"/>
  <c r="F1306" i="2"/>
  <c r="B1074" i="2"/>
  <c r="D2452" i="1"/>
  <c r="C2422" i="1"/>
  <c r="D716" i="2"/>
  <c r="F1461" i="2"/>
  <c r="E1235" i="2"/>
  <c r="B2051" i="2"/>
  <c r="C864" i="2"/>
  <c r="D1653" i="2"/>
  <c r="F1914" i="2"/>
  <c r="D1341" i="2"/>
  <c r="C1064" i="2"/>
  <c r="E1484" i="2"/>
  <c r="F1043" i="2"/>
  <c r="E953" i="2"/>
  <c r="C1759" i="2"/>
  <c r="F956" i="2"/>
  <c r="D1180" i="2"/>
  <c r="E1020" i="2"/>
  <c r="B21" i="2"/>
  <c r="E1338" i="2"/>
  <c r="D222" i="2"/>
  <c r="C1404" i="2"/>
  <c r="C400" i="2"/>
  <c r="F2437" i="1"/>
  <c r="D2423" i="1"/>
  <c r="D1323" i="2"/>
  <c r="E1550" i="2"/>
  <c r="E1165" i="2"/>
  <c r="F1528" i="2"/>
  <c r="D1140" i="2"/>
  <c r="E1348" i="2"/>
  <c r="F1029" i="2"/>
  <c r="D1061" i="2"/>
  <c r="C1765" i="2"/>
  <c r="C520" i="2"/>
  <c r="E1540" i="2"/>
  <c r="D879" i="2"/>
  <c r="D1413" i="2"/>
  <c r="B1084" i="2"/>
  <c r="B1694" i="2"/>
  <c r="C2050" i="2"/>
  <c r="F1558" i="2"/>
  <c r="E1838" i="2"/>
  <c r="E846" i="2"/>
  <c r="C1033" i="2"/>
  <c r="B1549" i="2"/>
  <c r="B1608" i="2"/>
  <c r="D575" i="2"/>
  <c r="E1279" i="2"/>
  <c r="B1934" i="2"/>
  <c r="F1484" i="2"/>
  <c r="F722" i="2"/>
  <c r="E806" i="2"/>
  <c r="E1225" i="2"/>
  <c r="B957" i="2"/>
  <c r="B1209" i="2"/>
  <c r="E667" i="2"/>
  <c r="E1893" i="2"/>
  <c r="B1680" i="2"/>
  <c r="F1123" i="2"/>
  <c r="C1170" i="2"/>
  <c r="C149" i="2"/>
  <c r="E820" i="2"/>
  <c r="F349" i="2"/>
  <c r="F624" i="2"/>
  <c r="B1229" i="2"/>
  <c r="F1162" i="2"/>
  <c r="C1318" i="2"/>
  <c r="D679" i="2"/>
  <c r="D1558" i="2"/>
  <c r="C865" i="2"/>
  <c r="E163" i="2"/>
  <c r="B799" i="2"/>
  <c r="E812" i="2"/>
  <c r="C2042" i="2"/>
  <c r="B1600" i="2"/>
  <c r="E414" i="2"/>
  <c r="D366" i="2"/>
  <c r="C549" i="2"/>
  <c r="C1174" i="2"/>
  <c r="F1377" i="2"/>
  <c r="E607" i="2"/>
  <c r="C732" i="2"/>
  <c r="C913" i="2"/>
  <c r="E2165" i="1"/>
  <c r="C737" i="2"/>
  <c r="F2074" i="1"/>
  <c r="C1333" i="2"/>
  <c r="D1373" i="2"/>
  <c r="E1604" i="2"/>
  <c r="F1050" i="2"/>
  <c r="E1233" i="2"/>
  <c r="D274" i="2"/>
  <c r="F1419" i="2"/>
  <c r="D1207" i="2"/>
  <c r="E1060" i="2"/>
  <c r="C1077" i="2"/>
  <c r="E1566" i="2"/>
  <c r="F520" i="2"/>
  <c r="C888" i="2"/>
  <c r="E1928" i="2"/>
  <c r="F478" i="2"/>
  <c r="C1267" i="2"/>
  <c r="F774" i="2"/>
  <c r="F691" i="2"/>
  <c r="C62" i="2"/>
  <c r="B1390" i="2"/>
  <c r="B577" i="2"/>
  <c r="E1952" i="2"/>
  <c r="B1037" i="2"/>
  <c r="E1095" i="2"/>
  <c r="C1494" i="2"/>
  <c r="E1405" i="2"/>
  <c r="E529" i="2"/>
  <c r="E1510" i="2"/>
  <c r="D1457" i="2"/>
  <c r="C1433" i="2"/>
  <c r="C1207" i="2"/>
  <c r="F897" i="2"/>
  <c r="B1245" i="2"/>
  <c r="F937" i="2"/>
  <c r="C527" i="2"/>
  <c r="F298" i="2"/>
  <c r="F211" i="2"/>
  <c r="E1177" i="2"/>
  <c r="D913" i="2"/>
  <c r="B583" i="2"/>
  <c r="E919" i="2"/>
  <c r="E1166" i="2"/>
  <c r="E572" i="2"/>
  <c r="C898" i="2"/>
  <c r="D571" i="2"/>
  <c r="D1216" i="2"/>
  <c r="D1471" i="2"/>
  <c r="E520" i="2"/>
  <c r="E474" i="2"/>
  <c r="E506" i="2"/>
  <c r="D763" i="2"/>
  <c r="F1600" i="2"/>
  <c r="B1663" i="2"/>
  <c r="C630" i="2"/>
  <c r="C1055" i="2"/>
  <c r="C817" i="2"/>
  <c r="D285" i="2"/>
  <c r="C269" i="2"/>
  <c r="C1005" i="2"/>
  <c r="D2456" i="1"/>
  <c r="D591" i="2"/>
  <c r="C727" i="2"/>
  <c r="F1683" i="2"/>
  <c r="D1215" i="2"/>
  <c r="E849" i="2"/>
  <c r="B350" i="2"/>
  <c r="B1148" i="2"/>
  <c r="F462" i="2"/>
  <c r="D1280" i="2"/>
  <c r="F715" i="2"/>
  <c r="E215" i="2"/>
  <c r="B1421" i="2"/>
  <c r="B1311" i="2"/>
  <c r="B402" i="2"/>
  <c r="B1004" i="2"/>
  <c r="D927" i="2"/>
  <c r="B592" i="2"/>
  <c r="B544" i="2"/>
  <c r="B1280" i="2"/>
  <c r="C142" i="2"/>
  <c r="C1313" i="2"/>
  <c r="C208" i="2"/>
  <c r="F199" i="2"/>
  <c r="D209" i="2"/>
  <c r="D378" i="2"/>
  <c r="E701" i="2"/>
  <c r="C2188" i="1"/>
  <c r="C207" i="2"/>
  <c r="D2237" i="1"/>
  <c r="F807" i="2"/>
  <c r="F595" i="2"/>
  <c r="F66" i="2"/>
  <c r="F658" i="2"/>
  <c r="C2348" i="1"/>
  <c r="D169" i="2"/>
  <c r="E2186" i="1"/>
  <c r="E1042" i="2"/>
  <c r="F187" i="2"/>
  <c r="C838" i="2"/>
  <c r="C230" i="2"/>
  <c r="E1340" i="2"/>
  <c r="B22" i="2"/>
  <c r="F785" i="2"/>
  <c r="E848" i="2"/>
  <c r="D2165" i="1"/>
  <c r="A2335" i="1"/>
  <c r="D2197" i="1"/>
  <c r="C2004" i="1"/>
  <c r="E8" i="2"/>
  <c r="E1409" i="1"/>
  <c r="D795" i="2"/>
  <c r="E2320" i="1"/>
  <c r="F254" i="2"/>
  <c r="C1559" i="1"/>
  <c r="B154" i="2"/>
  <c r="F1582" i="2"/>
  <c r="E1736" i="2"/>
  <c r="C1486" i="2"/>
  <c r="B1186" i="2"/>
  <c r="F509" i="2"/>
  <c r="F634" i="2"/>
  <c r="C640" i="2"/>
  <c r="B205" i="2"/>
  <c r="F678" i="2"/>
  <c r="E396" i="2"/>
  <c r="B918" i="2"/>
  <c r="F794" i="2"/>
  <c r="D434" i="2"/>
  <c r="D540" i="2"/>
  <c r="D1199" i="2"/>
  <c r="F1220" i="2"/>
  <c r="B845" i="2"/>
  <c r="B2502" i="1"/>
  <c r="A2429" i="1"/>
  <c r="C303" i="2"/>
  <c r="C327" i="2"/>
  <c r="A2089" i="1"/>
  <c r="F273" i="2"/>
  <c r="E158" i="2"/>
  <c r="E1036" i="2"/>
  <c r="F606" i="2"/>
  <c r="C194" i="2"/>
  <c r="F2166" i="1"/>
  <c r="C493" i="2"/>
  <c r="B358" i="2"/>
  <c r="C476" i="2"/>
  <c r="D512" i="2"/>
  <c r="C560" i="2"/>
  <c r="B729" i="2"/>
  <c r="C2377" i="1"/>
  <c r="B1967" i="1"/>
  <c r="B72" i="2"/>
  <c r="D446" i="2"/>
  <c r="F41" i="2"/>
  <c r="F317" i="2"/>
  <c r="D735" i="2"/>
  <c r="F122" i="2"/>
  <c r="B366" i="2"/>
  <c r="F18" i="2"/>
  <c r="C619" i="2"/>
  <c r="E859" i="2"/>
  <c r="E2349" i="1"/>
  <c r="B673" i="2"/>
  <c r="D2180" i="1"/>
  <c r="B1555" i="2"/>
  <c r="B1224" i="2"/>
  <c r="E1680" i="2"/>
  <c r="B1090" i="2"/>
  <c r="C1391" i="2"/>
  <c r="E1546" i="2"/>
  <c r="B1974" i="2"/>
  <c r="F1749" i="2"/>
  <c r="B648" i="2"/>
  <c r="E1779" i="2"/>
  <c r="F1546" i="2"/>
  <c r="C1525" i="2"/>
  <c r="C922" i="2"/>
  <c r="F1107" i="2"/>
  <c r="E1252" i="2"/>
  <c r="D443" i="2"/>
  <c r="F947" i="2"/>
  <c r="E1438" i="2"/>
  <c r="C1041" i="2"/>
  <c r="E1196" i="2"/>
  <c r="F1591" i="2"/>
  <c r="E1007" i="2"/>
  <c r="C824" i="2"/>
  <c r="D1958" i="2"/>
  <c r="E1549" i="2"/>
  <c r="B1312" i="2"/>
  <c r="E943" i="2"/>
  <c r="B1003" i="2"/>
  <c r="B824" i="2"/>
  <c r="B1649" i="2"/>
  <c r="F986" i="2"/>
  <c r="B1557" i="2"/>
  <c r="B1101" i="2"/>
  <c r="F801" i="2"/>
  <c r="B871" i="2"/>
  <c r="B28" i="2"/>
  <c r="C1942" i="2"/>
  <c r="C1658" i="2"/>
  <c r="E1627" i="2"/>
  <c r="B1822" i="2"/>
  <c r="B1365" i="2"/>
  <c r="D128" i="2"/>
  <c r="C887" i="2"/>
  <c r="E1814" i="2"/>
  <c r="E486" i="2"/>
  <c r="B812" i="2"/>
  <c r="B496" i="2"/>
  <c r="D542" i="2"/>
  <c r="F2474" i="2"/>
  <c r="D1542" i="2"/>
  <c r="C1570" i="2"/>
  <c r="F1228" i="2"/>
  <c r="B1018" i="2"/>
  <c r="C162" i="2"/>
  <c r="B33" i="2"/>
  <c r="E659" i="2"/>
  <c r="C438" i="2"/>
  <c r="E730" i="2"/>
  <c r="D1358" i="2"/>
  <c r="D429" i="2"/>
  <c r="B994" i="2"/>
  <c r="D1960" i="2"/>
  <c r="E1059" i="2"/>
  <c r="F1806" i="2"/>
  <c r="D1628" i="2"/>
  <c r="B880" i="2"/>
  <c r="F592" i="2"/>
  <c r="F348" i="2"/>
  <c r="C1212" i="2"/>
  <c r="D389" i="2"/>
  <c r="E1100" i="2"/>
  <c r="D604" i="2"/>
  <c r="F1707" i="2"/>
  <c r="D236" i="2"/>
  <c r="B1547" i="2"/>
  <c r="E387" i="2"/>
  <c r="D422" i="2"/>
  <c r="C1470" i="2"/>
  <c r="B422" i="2"/>
  <c r="D776" i="2"/>
  <c r="B1389" i="2"/>
  <c r="E1478" i="2"/>
  <c r="F2156" i="2"/>
  <c r="B1472" i="2"/>
  <c r="B1512" i="2"/>
  <c r="B887" i="2"/>
  <c r="C789" i="2"/>
  <c r="C365" i="2"/>
  <c r="F926" i="2"/>
  <c r="E1397" i="2"/>
  <c r="B1594" i="2"/>
  <c r="B1422" i="2"/>
  <c r="D1745" i="2"/>
  <c r="E1414" i="2"/>
  <c r="F549" i="2"/>
  <c r="F924" i="2"/>
  <c r="E181" i="2"/>
  <c r="E664" i="2"/>
  <c r="C978" i="2"/>
  <c r="C40" i="2"/>
  <c r="D620" i="2"/>
  <c r="E780" i="2"/>
  <c r="B1293" i="2"/>
  <c r="D2455" i="1"/>
  <c r="C562" i="2"/>
  <c r="C85" i="2"/>
  <c r="C1421" i="2"/>
  <c r="E880" i="2"/>
  <c r="C381" i="2"/>
  <c r="B769" i="2"/>
  <c r="C796" i="2"/>
  <c r="E118" i="2"/>
  <c r="F2028" i="2"/>
  <c r="C1544" i="2"/>
  <c r="B1329" i="2"/>
  <c r="B1327" i="2"/>
  <c r="D520" i="2"/>
  <c r="B1535" i="2"/>
  <c r="D940" i="2"/>
  <c r="E275" i="2"/>
  <c r="F504" i="2"/>
  <c r="C283" i="2"/>
  <c r="F465" i="2"/>
  <c r="D954" i="2"/>
  <c r="D678" i="2"/>
  <c r="C1652" i="2"/>
  <c r="F1161" i="2"/>
  <c r="B169" i="2"/>
  <c r="B1878" i="2"/>
  <c r="D1669" i="2"/>
  <c r="E488" i="2"/>
  <c r="B23" i="2"/>
  <c r="C795" i="2"/>
  <c r="F809" i="2"/>
  <c r="F840" i="2"/>
  <c r="D874" i="2"/>
  <c r="D1182" i="2"/>
  <c r="B117" i="2"/>
  <c r="D2299" i="1"/>
  <c r="D985" i="2"/>
  <c r="F1895" i="2"/>
  <c r="B890" i="2"/>
  <c r="E969" i="2"/>
  <c r="C989" i="2"/>
  <c r="D450" i="2"/>
  <c r="D2474" i="1"/>
  <c r="B2118" i="1"/>
  <c r="E2429" i="1"/>
  <c r="E247" i="2"/>
  <c r="E22" i="2"/>
  <c r="E2183" i="1"/>
  <c r="C2455" i="1"/>
  <c r="C225" i="2"/>
  <c r="E824" i="2"/>
  <c r="B232" i="2"/>
  <c r="F637" i="2"/>
  <c r="E1037" i="2"/>
  <c r="D214" i="2"/>
  <c r="F432" i="2"/>
  <c r="E1409" i="2"/>
  <c r="C2430" i="1"/>
  <c r="E819" i="2"/>
  <c r="F1090" i="2"/>
  <c r="E104" i="2"/>
  <c r="F1988" i="1"/>
  <c r="A1850" i="1"/>
  <c r="E2447" i="1"/>
  <c r="E1865" i="1"/>
  <c r="F2201" i="1"/>
  <c r="E2019" i="1"/>
  <c r="E507" i="2"/>
  <c r="E2400" i="1"/>
  <c r="E742" i="2"/>
  <c r="D1251" i="2"/>
  <c r="C2274" i="1"/>
  <c r="E715" i="2"/>
  <c r="B665" i="2"/>
  <c r="E1220" i="2"/>
  <c r="B795" i="2"/>
  <c r="E574" i="2"/>
  <c r="E1584" i="2"/>
  <c r="F1446" i="2"/>
  <c r="B1159" i="2"/>
  <c r="E1719" i="2"/>
  <c r="F1051" i="2"/>
  <c r="C1056" i="2"/>
  <c r="E794" i="2"/>
  <c r="E749" i="2"/>
  <c r="C285" i="2"/>
  <c r="F1298" i="2"/>
  <c r="D383" i="2"/>
  <c r="C718" i="2"/>
  <c r="F1859" i="1"/>
  <c r="F362" i="2"/>
  <c r="C595" i="2"/>
  <c r="C331" i="2"/>
  <c r="D2486" i="1"/>
  <c r="B452" i="2"/>
  <c r="F2332" i="1"/>
  <c r="E337" i="2"/>
  <c r="F768" i="2"/>
  <c r="D1205" i="2"/>
  <c r="C235" i="2"/>
  <c r="C1012" i="2"/>
  <c r="F179" i="2"/>
  <c r="E1065" i="2"/>
  <c r="F2360" i="1"/>
  <c r="E493" i="2"/>
  <c r="E99" i="2"/>
  <c r="D624" i="2"/>
  <c r="D564" i="2"/>
  <c r="D2024" i="2"/>
  <c r="D232" i="2"/>
  <c r="B597" i="2"/>
  <c r="F2261" i="1"/>
  <c r="D1636" i="2"/>
  <c r="C377" i="2"/>
  <c r="D574" i="2"/>
  <c r="B2158" i="1"/>
  <c r="B566" i="2"/>
  <c r="B920" i="2"/>
  <c r="F46" i="2"/>
  <c r="F2329" i="1"/>
  <c r="E306" i="2"/>
  <c r="F1351" i="2"/>
  <c r="C2288" i="1"/>
  <c r="D1452" i="2"/>
  <c r="E1763" i="2"/>
  <c r="F1660" i="2"/>
  <c r="C2025" i="2"/>
  <c r="F461" i="2"/>
  <c r="B889" i="2"/>
  <c r="E2014" i="2"/>
  <c r="D812" i="2"/>
  <c r="B1088" i="2"/>
  <c r="F1343" i="2"/>
  <c r="C672" i="2"/>
  <c r="F1190" i="2"/>
  <c r="D1077" i="2"/>
  <c r="E732" i="2"/>
  <c r="D1508" i="2"/>
  <c r="F2285" i="2"/>
  <c r="C1533" i="2"/>
  <c r="E1392" i="2"/>
  <c r="E195" i="2"/>
  <c r="B1374" i="2"/>
  <c r="F1242" i="2"/>
  <c r="F471" i="2"/>
  <c r="D660" i="2"/>
  <c r="D1145" i="2"/>
  <c r="D1563" i="2"/>
  <c r="F721" i="2"/>
  <c r="D319" i="2"/>
  <c r="D1414" i="2"/>
  <c r="F1115" i="2"/>
  <c r="F915" i="2"/>
  <c r="F306" i="2"/>
  <c r="F1391" i="2"/>
  <c r="C1797" i="2"/>
  <c r="C1221" i="2"/>
  <c r="B1875" i="2"/>
  <c r="F975" i="2"/>
  <c r="C1251" i="2"/>
  <c r="B1601" i="2"/>
  <c r="D2085" i="2"/>
  <c r="D1599" i="2"/>
  <c r="B1460" i="2"/>
  <c r="D1295" i="2"/>
  <c r="B1115" i="2"/>
  <c r="F55" i="2"/>
  <c r="F913" i="2"/>
  <c r="C579" i="2"/>
  <c r="F974" i="2"/>
  <c r="F110" i="2"/>
  <c r="E2030" i="2"/>
  <c r="D853" i="2"/>
  <c r="E689" i="2"/>
  <c r="B1437" i="2"/>
  <c r="A2469" i="1"/>
  <c r="E681" i="2"/>
  <c r="F1376" i="2"/>
  <c r="B1797" i="2"/>
  <c r="B1226" i="2"/>
  <c r="C1295" i="2"/>
  <c r="E79" i="2"/>
  <c r="D180" i="2"/>
  <c r="C1477" i="2"/>
  <c r="C1824" i="2"/>
  <c r="E1541" i="2"/>
  <c r="F846" i="2"/>
  <c r="C712" i="2"/>
  <c r="C1054" i="2"/>
  <c r="F791" i="2"/>
  <c r="D1262" i="2"/>
  <c r="E608" i="2"/>
  <c r="F665" i="2"/>
  <c r="F1449" i="2"/>
  <c r="F941" i="2"/>
  <c r="E768" i="2"/>
  <c r="B710" i="2"/>
  <c r="F38" i="2"/>
  <c r="E355" i="2"/>
  <c r="F558" i="2"/>
  <c r="D388" i="2"/>
  <c r="F272" i="2"/>
  <c r="B1232" i="2"/>
  <c r="C1611" i="2"/>
  <c r="C1741" i="2"/>
  <c r="B1764" i="2"/>
  <c r="B1743" i="2"/>
  <c r="C1616" i="2"/>
  <c r="B1644" i="2"/>
  <c r="D1214" i="2"/>
  <c r="C1961" i="2"/>
  <c r="D1495" i="2"/>
  <c r="D645" i="2"/>
  <c r="F1018" i="2"/>
  <c r="F896" i="2"/>
  <c r="C1046" i="2"/>
  <c r="C325" i="2"/>
  <c r="B237" i="2"/>
  <c r="C1147" i="2"/>
  <c r="F1471" i="2"/>
  <c r="C598" i="2"/>
  <c r="C612" i="2"/>
  <c r="E171" i="2"/>
  <c r="B430" i="2"/>
  <c r="E1128" i="2"/>
  <c r="B660" i="2"/>
  <c r="E530" i="2"/>
  <c r="F225" i="2"/>
  <c r="D245" i="2"/>
  <c r="C477" i="2"/>
  <c r="C971" i="2"/>
  <c r="B940" i="2"/>
  <c r="D441" i="2"/>
  <c r="F1299" i="2"/>
  <c r="B2496" i="1"/>
  <c r="D616" i="2"/>
  <c r="D1340" i="2"/>
  <c r="B1149" i="2"/>
  <c r="E1519" i="2"/>
  <c r="C1595" i="2"/>
  <c r="E1490" i="2"/>
  <c r="D1335" i="2"/>
  <c r="C1036" i="2"/>
  <c r="B507" i="2"/>
  <c r="D753" i="2"/>
  <c r="B392" i="2"/>
  <c r="E1163" i="2"/>
  <c r="B1071" i="2"/>
  <c r="E1398" i="2"/>
  <c r="B66" i="2"/>
  <c r="B553" i="2"/>
  <c r="E186" i="2"/>
  <c r="D1396" i="2"/>
  <c r="E174" i="2"/>
  <c r="B250" i="2"/>
  <c r="C992" i="2"/>
  <c r="E2492" i="1"/>
  <c r="C723" i="2"/>
  <c r="F2496" i="1"/>
  <c r="C396" i="2"/>
  <c r="D2242" i="1"/>
  <c r="E712" i="2"/>
  <c r="C569" i="2"/>
  <c r="C933" i="2"/>
  <c r="D2372" i="1"/>
  <c r="C209" i="2"/>
  <c r="E254" i="2"/>
  <c r="B596" i="2"/>
  <c r="F2341" i="1"/>
  <c r="F2140" i="1"/>
  <c r="F1370" i="2"/>
  <c r="F1754" i="2"/>
  <c r="B138" i="2"/>
  <c r="E2090" i="1"/>
  <c r="F894" i="2"/>
  <c r="F1086" i="2"/>
  <c r="B77" i="2"/>
  <c r="C1048" i="2"/>
  <c r="C1166" i="2"/>
  <c r="E350" i="2"/>
  <c r="F662" i="2"/>
  <c r="B216" i="2"/>
  <c r="C749" i="2"/>
  <c r="E1131" i="2"/>
  <c r="F2400" i="1"/>
  <c r="F1185" i="2"/>
  <c r="B550" i="2"/>
  <c r="E838" i="2"/>
  <c r="E609" i="2"/>
  <c r="E741" i="2"/>
  <c r="F111" i="2"/>
  <c r="C163" i="2"/>
  <c r="F2244" i="1"/>
  <c r="B1714" i="1"/>
  <c r="F191" i="2"/>
  <c r="F2473" i="1"/>
  <c r="F523" i="2"/>
  <c r="B2471" i="1"/>
  <c r="E2398" i="1"/>
  <c r="C1968" i="2"/>
  <c r="F1579" i="2"/>
  <c r="D772" i="2"/>
  <c r="F1860" i="2"/>
  <c r="B1544" i="2"/>
  <c r="C757" i="2"/>
  <c r="B906" i="2"/>
  <c r="B1196" i="2"/>
  <c r="F383" i="2"/>
  <c r="B933" i="2"/>
  <c r="F2376" i="1"/>
  <c r="F1084" i="2"/>
  <c r="F201" i="2"/>
  <c r="B1713" i="2"/>
  <c r="F134" i="2"/>
  <c r="D370" i="2"/>
  <c r="E297" i="2"/>
  <c r="B1257" i="2"/>
  <c r="F265" i="2"/>
  <c r="F863" i="2"/>
  <c r="E895" i="2"/>
  <c r="C129" i="2"/>
  <c r="E1039" i="2"/>
  <c r="C2428" i="1"/>
  <c r="D137" i="2"/>
  <c r="C333" i="2"/>
  <c r="F561" i="2"/>
  <c r="C487" i="2"/>
  <c r="B136" i="2"/>
  <c r="E1076" i="2"/>
  <c r="F70" i="2"/>
  <c r="C690" i="2"/>
  <c r="B2218" i="1"/>
  <c r="B844" i="2"/>
  <c r="E962" i="2"/>
  <c r="B533" i="2"/>
  <c r="B670" i="2"/>
  <c r="C802" i="2"/>
  <c r="B2031" i="1"/>
  <c r="C768" i="2"/>
  <c r="D139" i="2"/>
  <c r="D703" i="2"/>
  <c r="E1290" i="2"/>
  <c r="C515" i="2"/>
  <c r="E362" i="2"/>
  <c r="C1258" i="2"/>
  <c r="D946" i="2"/>
  <c r="A2059" i="1"/>
  <c r="D533" i="2"/>
  <c r="B336" i="2"/>
  <c r="B1325" i="2"/>
  <c r="F333" i="2"/>
  <c r="C112" i="2"/>
  <c r="F144" i="2"/>
  <c r="E2296" i="1"/>
  <c r="F1826" i="1"/>
  <c r="D54" i="2"/>
  <c r="C2279" i="1"/>
  <c r="C792" i="2"/>
  <c r="B212" i="2"/>
  <c r="D550" i="2"/>
  <c r="B2425" i="1"/>
  <c r="C2090" i="1"/>
  <c r="E2497" i="2"/>
  <c r="B1285" i="2"/>
  <c r="E1027" i="2"/>
  <c r="C78" i="2"/>
  <c r="D1512" i="2"/>
  <c r="B1514" i="2"/>
  <c r="D1676" i="2"/>
  <c r="C250" i="2"/>
  <c r="D1805" i="2"/>
  <c r="F1040" i="2"/>
  <c r="D37" i="2"/>
  <c r="C2398" i="1"/>
  <c r="C517" i="2"/>
  <c r="F172" i="2"/>
  <c r="C462" i="2"/>
  <c r="B375" i="2"/>
  <c r="C1514" i="2"/>
  <c r="E219" i="2"/>
  <c r="B1347" i="2"/>
  <c r="E1182" i="2"/>
  <c r="D1614" i="2"/>
  <c r="D1434" i="2"/>
  <c r="F2329" i="2"/>
  <c r="E1329" i="2"/>
  <c r="C1802" i="2"/>
  <c r="D1621" i="2"/>
  <c r="B1322" i="2"/>
  <c r="E1710" i="2"/>
  <c r="B760" i="2"/>
  <c r="B840" i="2"/>
  <c r="E1615" i="2"/>
  <c r="E1613" i="2"/>
  <c r="B1348" i="2"/>
  <c r="F1462" i="2"/>
  <c r="F2444" i="1"/>
  <c r="B718" i="2"/>
  <c r="D1427" i="2"/>
  <c r="C2048" i="2"/>
  <c r="E1579" i="2"/>
  <c r="C1312" i="2"/>
  <c r="E1323" i="2"/>
  <c r="E1836" i="2"/>
  <c r="C1338" i="2"/>
  <c r="D1412" i="2"/>
  <c r="B1036" i="2"/>
  <c r="B1097" i="2"/>
  <c r="E2221" i="2"/>
  <c r="C1975" i="2"/>
  <c r="C1839" i="2"/>
  <c r="F1548" i="2"/>
  <c r="E1858" i="2"/>
  <c r="C788" i="2"/>
  <c r="E630" i="2"/>
  <c r="E1686" i="2"/>
  <c r="E2077" i="2"/>
  <c r="F1127" i="2"/>
  <c r="B1032" i="2"/>
  <c r="B1749" i="2"/>
  <c r="E567" i="2"/>
  <c r="D609" i="2"/>
  <c r="C895" i="2"/>
  <c r="F215" i="2"/>
  <c r="F990" i="2"/>
  <c r="C483" i="2"/>
  <c r="E2049" i="2"/>
  <c r="F1294" i="2"/>
  <c r="E503" i="2"/>
  <c r="B943" i="2"/>
  <c r="C582" i="2"/>
  <c r="D110" i="2"/>
  <c r="C126" i="2"/>
  <c r="B857" i="2"/>
  <c r="B939" i="2"/>
  <c r="F821" i="2"/>
  <c r="D420" i="2"/>
  <c r="B443" i="2"/>
  <c r="E1000" i="2"/>
  <c r="D2248" i="2"/>
  <c r="D1761" i="2"/>
  <c r="F236" i="2"/>
  <c r="B2207" i="2"/>
  <c r="D1483" i="2"/>
  <c r="D1171" i="2"/>
  <c r="E872" i="2"/>
  <c r="F546" i="2"/>
  <c r="E338" i="2"/>
  <c r="F194" i="2"/>
  <c r="F647" i="2"/>
  <c r="B444" i="2"/>
  <c r="E771" i="2"/>
  <c r="B1231" i="2"/>
  <c r="B576" i="2"/>
  <c r="D224" i="2"/>
  <c r="C608" i="2"/>
  <c r="B139" i="2"/>
  <c r="B2423" i="2"/>
  <c r="B1376" i="2"/>
  <c r="B1660" i="2"/>
  <c r="C1084" i="2"/>
  <c r="D1174" i="2"/>
  <c r="D2283" i="2"/>
  <c r="E1217" i="2"/>
  <c r="D1520" i="2"/>
  <c r="D1185" i="2"/>
  <c r="E1375" i="2"/>
  <c r="F922" i="2"/>
  <c r="F1145" i="2"/>
  <c r="E1408" i="2"/>
  <c r="E1518" i="2"/>
  <c r="F19" i="2"/>
  <c r="D465" i="2"/>
  <c r="F1483" i="2"/>
  <c r="F299" i="2"/>
  <c r="B1480" i="2"/>
  <c r="E781" i="2"/>
  <c r="C691" i="2"/>
  <c r="F936" i="2"/>
  <c r="F1790" i="2"/>
  <c r="D889" i="2"/>
  <c r="E684" i="2"/>
  <c r="C1233" i="2"/>
  <c r="D1306" i="2"/>
  <c r="C46" i="2"/>
  <c r="C745" i="2"/>
  <c r="B894" i="2"/>
  <c r="D1702" i="2"/>
  <c r="D381" i="2"/>
  <c r="F2009" i="1"/>
  <c r="C1603" i="2"/>
  <c r="B1981" i="2"/>
  <c r="D1114" i="2"/>
  <c r="E1126" i="2"/>
  <c r="B1098" i="2"/>
  <c r="D472" i="2"/>
  <c r="D856" i="2"/>
  <c r="D1191" i="2"/>
  <c r="B253" i="2"/>
  <c r="D213" i="2"/>
  <c r="F636" i="2"/>
  <c r="B1248" i="2"/>
  <c r="E286" i="2"/>
  <c r="B717" i="2"/>
  <c r="D2502" i="1"/>
  <c r="B405" i="2"/>
  <c r="C947" i="2"/>
  <c r="F1062" i="2"/>
  <c r="F1688" i="2"/>
  <c r="C2289" i="1"/>
  <c r="B536" i="2"/>
  <c r="E942" i="2"/>
  <c r="F1394" i="2"/>
  <c r="C152" i="2"/>
  <c r="D1546" i="2"/>
  <c r="C661" i="2"/>
  <c r="D142" i="2"/>
  <c r="E325" i="2"/>
  <c r="B41" i="2"/>
  <c r="E162" i="2"/>
  <c r="F1021" i="2"/>
  <c r="E850" i="2"/>
  <c r="E566" i="2"/>
  <c r="F460" i="2"/>
  <c r="E236" i="2"/>
  <c r="D1248" i="2"/>
  <c r="E462" i="2"/>
  <c r="E543" i="2"/>
  <c r="C2375" i="1"/>
  <c r="C107" i="2"/>
  <c r="F2423" i="1"/>
  <c r="F1949" i="1"/>
  <c r="E2104" i="1"/>
  <c r="B55" i="2"/>
  <c r="D329" i="2"/>
  <c r="A1892" i="1"/>
  <c r="E2316" i="1"/>
  <c r="B560" i="2"/>
  <c r="E303" i="2"/>
  <c r="B133" i="2"/>
  <c r="D1800" i="2"/>
  <c r="B2051" i="1"/>
  <c r="B2444" i="1"/>
  <c r="E611" i="2"/>
  <c r="F706" i="2"/>
  <c r="F2410" i="1"/>
  <c r="C64" i="2"/>
  <c r="B2437" i="1"/>
  <c r="E1296" i="2"/>
  <c r="B2400" i="1"/>
  <c r="D93" i="2"/>
  <c r="F399" i="2"/>
  <c r="D2228" i="1"/>
  <c r="D2133" i="2"/>
  <c r="D2066" i="2"/>
  <c r="B1634" i="2"/>
  <c r="B2499" i="1"/>
  <c r="D339" i="2"/>
  <c r="E877" i="2"/>
  <c r="F576" i="2"/>
  <c r="D871" i="2"/>
  <c r="D1123" i="2"/>
  <c r="D1492" i="2"/>
  <c r="D315" i="2"/>
  <c r="E938" i="2"/>
  <c r="B1668" i="2"/>
  <c r="B907" i="2"/>
  <c r="C1088" i="2"/>
  <c r="F1278" i="2"/>
  <c r="C383" i="2"/>
  <c r="D2378" i="1"/>
  <c r="E1459" i="2"/>
  <c r="F2386" i="1"/>
  <c r="E2209" i="1"/>
  <c r="C2100" i="2"/>
  <c r="C941" i="2"/>
  <c r="F2374" i="1"/>
  <c r="E557" i="2"/>
  <c r="E324" i="2"/>
  <c r="C1275" i="2"/>
  <c r="C2425" i="1"/>
  <c r="B1295" i="2"/>
  <c r="B176" i="2"/>
  <c r="B504" i="2"/>
  <c r="F804" i="2"/>
  <c r="F1511" i="2"/>
  <c r="D325" i="2"/>
  <c r="A2247" i="1"/>
  <c r="A2075" i="1"/>
  <c r="E560" i="2"/>
  <c r="E1066" i="2"/>
  <c r="F366" i="2"/>
  <c r="D2025" i="1"/>
  <c r="E1790" i="2"/>
  <c r="D740" i="2"/>
  <c r="A2208" i="1"/>
  <c r="C609" i="2"/>
  <c r="B842" i="2"/>
  <c r="B612" i="2"/>
  <c r="B910" i="2"/>
  <c r="D186" i="2"/>
  <c r="B2473" i="1"/>
  <c r="C184" i="2"/>
  <c r="A2371" i="1"/>
  <c r="D2444" i="2"/>
  <c r="D1837" i="2"/>
  <c r="E1469" i="2"/>
  <c r="E1135" i="2"/>
  <c r="F1586" i="2"/>
  <c r="D1920" i="2"/>
  <c r="D1203" i="2"/>
  <c r="F1626" i="2"/>
  <c r="D597" i="2"/>
  <c r="B1015" i="2"/>
  <c r="F989" i="2"/>
  <c r="B875" i="2"/>
  <c r="E1532" i="2"/>
  <c r="E685" i="2"/>
  <c r="E1875" i="2"/>
  <c r="C1098" i="2"/>
  <c r="B1853" i="2"/>
  <c r="D1337" i="2"/>
  <c r="E996" i="2"/>
  <c r="B1461" i="2"/>
  <c r="F640" i="2"/>
  <c r="C2024" i="2"/>
  <c r="C1052" i="2"/>
  <c r="F2204" i="2"/>
  <c r="E1513" i="2"/>
  <c r="A2492" i="1"/>
  <c r="B1659" i="2"/>
  <c r="F286" i="2"/>
  <c r="B150" i="2"/>
  <c r="E95" i="2"/>
  <c r="E1795" i="2"/>
  <c r="B1009" i="2"/>
  <c r="E2039" i="2"/>
  <c r="F1439" i="2"/>
  <c r="F1251" i="2"/>
  <c r="D1374" i="2"/>
  <c r="D1081" i="2"/>
  <c r="C1580" i="2"/>
  <c r="C1458" i="2"/>
  <c r="E1062" i="2"/>
  <c r="F356" i="2"/>
  <c r="E1605" i="2"/>
  <c r="D497" i="2"/>
  <c r="C901" i="2"/>
  <c r="E1308" i="2"/>
  <c r="F472" i="2"/>
  <c r="C1569" i="2"/>
  <c r="C2393" i="1"/>
  <c r="B1284" i="2"/>
  <c r="D181" i="2"/>
  <c r="D1237" i="2"/>
  <c r="E381" i="2"/>
  <c r="E879" i="2"/>
  <c r="F294" i="2"/>
  <c r="E1400" i="2"/>
  <c r="D433" i="2"/>
  <c r="E658" i="2"/>
  <c r="F1173" i="2"/>
  <c r="E2477" i="1"/>
  <c r="F1083" i="2"/>
  <c r="B2086" i="2"/>
  <c r="D1583" i="2"/>
  <c r="C1405" i="2"/>
  <c r="B1385" i="2"/>
  <c r="B1063" i="2"/>
  <c r="C1977" i="2"/>
  <c r="F991" i="2"/>
  <c r="C1070" i="2"/>
  <c r="F1348" i="2"/>
  <c r="E2121" i="1"/>
  <c r="F1071" i="2"/>
  <c r="D997" i="2"/>
  <c r="E361" i="2"/>
  <c r="F2115" i="2"/>
  <c r="D561" i="2"/>
  <c r="F263" i="2"/>
  <c r="E884" i="2"/>
  <c r="D1623" i="2"/>
  <c r="B317" i="2"/>
  <c r="D2110" i="2"/>
  <c r="D994" i="2"/>
  <c r="B1657" i="2"/>
  <c r="D1880" i="2"/>
  <c r="F1742" i="2"/>
  <c r="B822" i="2"/>
  <c r="C769" i="2"/>
  <c r="C1049" i="2"/>
  <c r="E552" i="2"/>
  <c r="B1145" i="2"/>
  <c r="D936" i="2"/>
  <c r="D519" i="2"/>
  <c r="E777" i="2"/>
  <c r="C629" i="2"/>
  <c r="B188" i="2"/>
  <c r="C507" i="2"/>
  <c r="C1157" i="2"/>
  <c r="E2344" i="1"/>
  <c r="C1091" i="2"/>
  <c r="C611" i="2"/>
  <c r="D1069" i="2"/>
  <c r="B338" i="2"/>
  <c r="C1371" i="2"/>
  <c r="F135" i="2"/>
  <c r="D495" i="2"/>
  <c r="C249" i="2"/>
  <c r="E1186" i="2"/>
  <c r="F1943" i="2"/>
  <c r="E1054" i="2"/>
  <c r="F1176" i="2"/>
  <c r="C1186" i="2"/>
  <c r="B843" i="2"/>
  <c r="D2050" i="2"/>
  <c r="D1456" i="2"/>
  <c r="D1605" i="2"/>
  <c r="C253" i="2"/>
  <c r="D694" i="2"/>
  <c r="F765" i="2"/>
  <c r="C1319" i="2"/>
  <c r="E767" i="2"/>
  <c r="B1211" i="2"/>
  <c r="D242" i="2"/>
  <c r="C818" i="2"/>
  <c r="D1150" i="2"/>
  <c r="B1346" i="2"/>
  <c r="E2020" i="2"/>
  <c r="C869" i="2"/>
  <c r="E690" i="2"/>
  <c r="E2054" i="1"/>
  <c r="B833" i="2"/>
  <c r="E1017" i="2"/>
  <c r="B634" i="2"/>
  <c r="A2461" i="1"/>
  <c r="C950" i="2"/>
  <c r="C846" i="2"/>
  <c r="B2491" i="1"/>
  <c r="C89" i="2"/>
  <c r="F739" i="2"/>
  <c r="B37" i="2"/>
  <c r="B2326" i="1"/>
  <c r="B1778" i="2"/>
  <c r="B726" i="2"/>
  <c r="B1453" i="2"/>
  <c r="B1848" i="2"/>
  <c r="E1798" i="2"/>
  <c r="E21" i="2"/>
  <c r="C654" i="2"/>
  <c r="B2316" i="1"/>
  <c r="E1426" i="2"/>
  <c r="C573" i="2"/>
  <c r="D558" i="2"/>
  <c r="D2373" i="1"/>
  <c r="C678" i="2"/>
  <c r="E745" i="2"/>
  <c r="D307" i="2"/>
  <c r="A2260" i="1"/>
  <c r="B650" i="2"/>
  <c r="B223" i="2"/>
  <c r="F2324" i="1"/>
  <c r="B524" i="2"/>
  <c r="D2457" i="1"/>
  <c r="E922" i="2"/>
  <c r="D217" i="2"/>
  <c r="D829" i="2"/>
  <c r="E356" i="2"/>
  <c r="E363" i="2"/>
  <c r="E2405" i="1"/>
  <c r="D1695" i="1"/>
  <c r="E246" i="2"/>
  <c r="F1651" i="1"/>
  <c r="E1507" i="1"/>
  <c r="B29" i="2"/>
  <c r="D364" i="2"/>
  <c r="D21" i="2"/>
  <c r="F751" i="2"/>
  <c r="D1779" i="1"/>
  <c r="E1915" i="2"/>
  <c r="D633" i="2"/>
  <c r="E1756" i="2"/>
  <c r="D1943" i="2"/>
  <c r="D1000" i="2"/>
  <c r="D1706" i="2"/>
  <c r="D2045" i="2"/>
  <c r="D46" i="2"/>
  <c r="D197" i="2"/>
  <c r="E883" i="2"/>
  <c r="C471" i="2"/>
  <c r="B873" i="2"/>
  <c r="F596" i="2"/>
  <c r="E553" i="2"/>
  <c r="B420" i="2"/>
  <c r="C550" i="2"/>
  <c r="D1128" i="2"/>
  <c r="D866" i="2"/>
  <c r="C290" i="2"/>
  <c r="C1004" i="2"/>
  <c r="B2342" i="1"/>
  <c r="C61" i="2"/>
  <c r="A2497" i="1"/>
  <c r="D2326" i="1"/>
  <c r="B298" i="2"/>
  <c r="E494" i="2"/>
  <c r="C518" i="2"/>
  <c r="D171" i="2"/>
  <c r="C494" i="2"/>
  <c r="E259" i="2"/>
  <c r="E563" i="2"/>
  <c r="F500" i="2"/>
  <c r="F1074" i="2"/>
  <c r="C2089" i="1"/>
  <c r="C653" i="2"/>
  <c r="E2048" i="1"/>
  <c r="C908" i="2"/>
  <c r="D690" i="2"/>
  <c r="A2458" i="1"/>
  <c r="B354" i="2"/>
  <c r="C1000" i="2"/>
  <c r="C1130" i="2"/>
  <c r="B699" i="2"/>
  <c r="D741" i="2"/>
  <c r="F487" i="2"/>
  <c r="C24" i="2"/>
  <c r="B579" i="2"/>
  <c r="F319" i="2"/>
  <c r="F1854" i="2"/>
  <c r="F1171" i="2"/>
  <c r="B2053" i="1"/>
  <c r="E1699" i="2"/>
  <c r="B1288" i="2"/>
  <c r="B935" i="2"/>
  <c r="B599" i="2"/>
  <c r="D1871" i="2"/>
  <c r="D1448" i="2"/>
  <c r="E1455" i="2"/>
  <c r="E1071" i="2"/>
  <c r="B1689" i="2"/>
  <c r="B1686" i="2"/>
  <c r="F1671" i="2"/>
  <c r="E1344" i="2"/>
  <c r="D1148" i="2"/>
  <c r="D2130" i="2"/>
  <c r="F1300" i="2"/>
  <c r="B1141" i="2"/>
  <c r="C1151" i="2"/>
  <c r="B1268" i="2"/>
  <c r="F723" i="2"/>
  <c r="C848" i="2"/>
  <c r="B879" i="2"/>
  <c r="E782" i="2"/>
  <c r="B109" i="2"/>
  <c r="E1565" i="2"/>
  <c r="C1851" i="2"/>
  <c r="F1276" i="2"/>
  <c r="B992" i="2"/>
  <c r="F58" i="2"/>
  <c r="B95" i="2"/>
  <c r="B1212" i="2"/>
  <c r="B2118" i="2"/>
  <c r="D2016" i="2"/>
  <c r="F1057" i="2"/>
  <c r="D2072" i="2"/>
  <c r="C1017" i="2"/>
  <c r="D752" i="2"/>
  <c r="E797" i="2"/>
  <c r="D858" i="2"/>
  <c r="F2150" i="2"/>
  <c r="B752" i="2"/>
  <c r="D151" i="2"/>
  <c r="E826" i="2"/>
  <c r="F857" i="2"/>
  <c r="F1013" i="2"/>
  <c r="F449" i="2"/>
  <c r="C1344" i="2"/>
  <c r="D251" i="2"/>
  <c r="C418" i="2"/>
  <c r="B1051" i="2"/>
  <c r="F1215" i="2"/>
  <c r="B999" i="2"/>
  <c r="F106" i="2"/>
  <c r="C1083" i="2"/>
  <c r="F1421" i="2"/>
  <c r="E470" i="2"/>
  <c r="D288" i="2"/>
  <c r="F429" i="2"/>
  <c r="E537" i="2"/>
  <c r="C326" i="2"/>
  <c r="E172" i="2"/>
  <c r="C1859" i="2"/>
  <c r="D1218" i="2"/>
  <c r="E1222" i="2"/>
  <c r="B1628" i="2"/>
  <c r="D1633" i="2"/>
  <c r="E1241" i="2"/>
  <c r="F419" i="2"/>
  <c r="B127" i="2"/>
  <c r="D693" i="2"/>
  <c r="E451" i="2"/>
  <c r="D1292" i="2"/>
  <c r="F387" i="2"/>
  <c r="E1117" i="2"/>
  <c r="D1219" i="2"/>
  <c r="F1203" i="2"/>
  <c r="C2368" i="1"/>
  <c r="C50" i="2"/>
  <c r="D1197" i="2"/>
  <c r="F1143" i="2"/>
  <c r="C1963" i="2"/>
  <c r="E2214" i="2"/>
  <c r="C1852" i="2"/>
  <c r="F1295" i="2"/>
  <c r="B1372" i="2"/>
  <c r="F1224" i="2"/>
  <c r="D1652" i="2"/>
  <c r="E1045" i="2"/>
  <c r="E913" i="2"/>
  <c r="D562" i="2"/>
  <c r="D1287" i="2"/>
  <c r="F746" i="2"/>
  <c r="D400" i="2"/>
  <c r="C2359" i="1"/>
  <c r="C60" i="2"/>
  <c r="D1033" i="2"/>
  <c r="B398" i="2"/>
  <c r="D300" i="2"/>
  <c r="C603" i="2"/>
  <c r="D1902" i="2"/>
  <c r="B1068" i="2"/>
  <c r="E930" i="2"/>
  <c r="D901" i="2"/>
  <c r="B151" i="2"/>
  <c r="C234" i="2"/>
  <c r="B680" i="2"/>
  <c r="D1232" i="2"/>
  <c r="D1168" i="2"/>
  <c r="F1563" i="2"/>
  <c r="F1271" i="2"/>
  <c r="B32" i="2"/>
  <c r="F1136" i="2"/>
  <c r="C1714" i="2"/>
  <c r="E864" i="2"/>
  <c r="D1813" i="2"/>
  <c r="B1992" i="2"/>
  <c r="E1124" i="2"/>
  <c r="C82" i="2"/>
  <c r="E1170" i="2"/>
  <c r="E635" i="2"/>
  <c r="E2471" i="1"/>
  <c r="E808" i="2"/>
  <c r="F553" i="2"/>
  <c r="E1450" i="2"/>
  <c r="D880" i="2"/>
  <c r="D66" i="2"/>
  <c r="B582" i="2"/>
  <c r="B1595" i="2"/>
  <c r="B368" i="2"/>
  <c r="A2269" i="1"/>
  <c r="F389" i="2"/>
  <c r="D469" i="2"/>
  <c r="D1490" i="2"/>
  <c r="D587" i="2"/>
  <c r="B129" i="2"/>
  <c r="B190" i="2"/>
  <c r="B2230" i="1"/>
  <c r="B746" i="2"/>
  <c r="D2206" i="1"/>
  <c r="E616" i="2"/>
  <c r="E523" i="2"/>
  <c r="D731" i="2"/>
  <c r="C161" i="2"/>
  <c r="F940" i="2"/>
  <c r="F322" i="2"/>
  <c r="F250" i="2"/>
  <c r="B400" i="2"/>
  <c r="A2403" i="1"/>
  <c r="D699" i="2"/>
  <c r="D897" i="2"/>
  <c r="A2385" i="1"/>
  <c r="B719" i="2"/>
  <c r="B1342" i="2"/>
  <c r="C71" i="2"/>
  <c r="D943" i="2"/>
  <c r="B229" i="2"/>
  <c r="C1165" i="2"/>
  <c r="E1051" i="2"/>
  <c r="C692" i="2"/>
  <c r="E2381" i="1"/>
  <c r="B654" i="2"/>
  <c r="B1239" i="2"/>
  <c r="D698" i="2"/>
  <c r="E621" i="2"/>
  <c r="F1078" i="2"/>
  <c r="B2299" i="1"/>
  <c r="D1756" i="1"/>
  <c r="D2483" i="1"/>
  <c r="D646" i="2"/>
  <c r="B453" i="2"/>
  <c r="A1718" i="1"/>
  <c r="C351" i="2"/>
  <c r="E403" i="2"/>
  <c r="E57" i="2"/>
  <c r="E1960" i="1"/>
  <c r="E1559" i="1"/>
  <c r="E1237" i="2"/>
  <c r="E1558" i="2"/>
  <c r="E1471" i="2"/>
  <c r="D1285" i="2"/>
  <c r="B2071" i="2"/>
  <c r="D1101" i="2"/>
  <c r="F355" i="2"/>
  <c r="E1297" i="2"/>
  <c r="C373" i="2"/>
  <c r="B1897" i="2"/>
  <c r="F1184" i="2"/>
  <c r="E1276" i="2"/>
  <c r="E267" i="2"/>
  <c r="D872" i="2"/>
  <c r="F1151" i="2"/>
  <c r="B224" i="2"/>
  <c r="D281" i="2"/>
  <c r="A2463" i="1"/>
  <c r="D418" i="2"/>
  <c r="F425" i="2"/>
  <c r="D1135" i="2"/>
  <c r="E1218" i="2"/>
  <c r="C267" i="2"/>
  <c r="D162" i="2"/>
  <c r="F1082" i="2"/>
  <c r="C1128" i="2"/>
  <c r="B105" i="2"/>
  <c r="F2320" i="1"/>
  <c r="D1265" i="2"/>
  <c r="D470" i="2"/>
  <c r="E1493" i="2"/>
  <c r="D1848" i="2"/>
  <c r="F1625" i="2"/>
  <c r="C2224" i="2"/>
  <c r="C1593" i="2"/>
  <c r="C1787" i="2"/>
  <c r="E1294" i="2"/>
  <c r="E1446" i="2"/>
  <c r="B412" i="2"/>
  <c r="D333" i="2"/>
  <c r="B1923" i="2"/>
  <c r="F1520" i="2"/>
  <c r="D650" i="2"/>
  <c r="B1094" i="2"/>
  <c r="C2096" i="2"/>
  <c r="E830" i="2"/>
  <c r="C1786" i="2"/>
  <c r="D1746" i="2"/>
  <c r="B1522" i="2"/>
  <c r="E1328" i="2"/>
  <c r="E1300" i="2"/>
  <c r="D165" i="2"/>
  <c r="D917" i="2"/>
  <c r="A2457" i="1"/>
  <c r="C1024" i="2"/>
  <c r="E1505" i="2"/>
  <c r="F1308" i="2"/>
  <c r="D990" i="2"/>
  <c r="E1982" i="2"/>
  <c r="B1065" i="2"/>
  <c r="F1001" i="2"/>
  <c r="E1173" i="2"/>
  <c r="F1191" i="2"/>
  <c r="D1298" i="2"/>
  <c r="B1564" i="2"/>
  <c r="F1128" i="2"/>
  <c r="E902" i="2"/>
  <c r="E1184" i="2"/>
  <c r="B1490" i="2"/>
  <c r="F1336" i="2"/>
  <c r="F398" i="2"/>
  <c r="E579" i="2"/>
  <c r="D1029" i="2"/>
  <c r="F1335" i="2"/>
  <c r="F456" i="2"/>
  <c r="B1511" i="2"/>
  <c r="E1171" i="2"/>
  <c r="B823" i="2"/>
  <c r="F1623" i="2"/>
  <c r="E1767" i="2"/>
  <c r="D1186" i="2"/>
  <c r="E341" i="2"/>
  <c r="F775" i="2"/>
  <c r="E124" i="2"/>
  <c r="F2160" i="2"/>
  <c r="E757" i="2"/>
  <c r="F1077" i="2"/>
  <c r="C719" i="2"/>
  <c r="D258" i="2"/>
  <c r="D1476" i="2"/>
  <c r="B2358" i="1"/>
  <c r="C1449" i="2"/>
  <c r="D1898" i="2"/>
  <c r="F1247" i="2"/>
  <c r="E1180" i="2"/>
  <c r="B1801" i="2"/>
  <c r="E894" i="2"/>
  <c r="C52" i="2"/>
  <c r="B1609" i="2"/>
  <c r="F103" i="2"/>
  <c r="F1676" i="2"/>
  <c r="E535" i="2"/>
  <c r="B927" i="2"/>
  <c r="B425" i="2"/>
  <c r="C821" i="2"/>
  <c r="F149" i="2"/>
  <c r="E860" i="2"/>
  <c r="C482" i="2"/>
  <c r="B374" i="2"/>
  <c r="F436" i="2"/>
  <c r="D2439" i="2"/>
  <c r="F2180" i="2"/>
  <c r="C880" i="2"/>
  <c r="E1985" i="2"/>
  <c r="B1885" i="2"/>
  <c r="D1545" i="2"/>
  <c r="D1594" i="2"/>
  <c r="E956" i="2"/>
  <c r="D1094" i="2"/>
  <c r="B820" i="2"/>
  <c r="B25" i="2"/>
  <c r="B86" i="2"/>
  <c r="F483" i="2"/>
  <c r="D1432" i="2"/>
  <c r="F7" i="2"/>
  <c r="C127" i="2"/>
  <c r="B1403" i="2"/>
  <c r="B713" i="2"/>
  <c r="E2483" i="1"/>
  <c r="C502" i="2"/>
  <c r="C606" i="2"/>
  <c r="E561" i="2"/>
  <c r="C1330" i="2"/>
  <c r="A2379" i="1"/>
  <c r="B376" i="2"/>
  <c r="B2403" i="1"/>
  <c r="C1389" i="2"/>
  <c r="D780" i="2"/>
  <c r="E1077" i="2"/>
  <c r="F1092" i="2"/>
  <c r="D1462" i="2"/>
  <c r="C1030" i="2"/>
  <c r="E1371" i="2"/>
  <c r="D1726" i="2"/>
  <c r="D1058" i="2"/>
  <c r="D1106" i="2"/>
  <c r="C1387" i="2"/>
  <c r="C1590" i="2"/>
  <c r="B731" i="2"/>
  <c r="C915" i="2"/>
  <c r="B1160" i="2"/>
  <c r="D1911" i="2"/>
  <c r="F343" i="2"/>
  <c r="E1625" i="2"/>
  <c r="B662" i="2"/>
  <c r="C942" i="2"/>
  <c r="F1721" i="2"/>
  <c r="E528" i="2"/>
  <c r="B1023" i="2"/>
  <c r="D122" i="2"/>
  <c r="B480" i="2"/>
  <c r="D49" i="2"/>
  <c r="F1696" i="2"/>
  <c r="F1313" i="2"/>
  <c r="C688" i="2"/>
  <c r="B2298" i="1"/>
  <c r="C994" i="2"/>
  <c r="D814" i="2"/>
  <c r="B2501" i="1"/>
  <c r="F28" i="2"/>
  <c r="C101" i="2"/>
  <c r="B682" i="2"/>
  <c r="C540" i="2"/>
  <c r="E882" i="2"/>
  <c r="F1537" i="2"/>
  <c r="F663" i="2"/>
  <c r="C345" i="2"/>
  <c r="E2274" i="1"/>
  <c r="F1204" i="2"/>
  <c r="D385" i="2"/>
  <c r="D2349" i="1"/>
  <c r="C2162" i="1"/>
  <c r="C2301" i="1"/>
  <c r="E646" i="2"/>
  <c r="B2223" i="1"/>
  <c r="E2439" i="1"/>
  <c r="D283" i="2"/>
  <c r="E252" i="2"/>
  <c r="D625" i="2"/>
  <c r="E432" i="2"/>
  <c r="E2446" i="1"/>
  <c r="D681" i="2"/>
  <c r="E1416" i="2"/>
  <c r="C348" i="2"/>
  <c r="C2214" i="1"/>
  <c r="B633" i="2"/>
  <c r="D2049" i="1"/>
  <c r="D2062" i="1"/>
  <c r="B56" i="2"/>
  <c r="E2249" i="1"/>
  <c r="F1833" i="1"/>
  <c r="B346" i="2"/>
  <c r="E20" i="2"/>
  <c r="E2467" i="1"/>
  <c r="F133" i="2"/>
  <c r="C2164" i="1"/>
  <c r="D1695" i="2"/>
  <c r="E1316" i="2"/>
  <c r="E1011" i="2"/>
  <c r="E1303" i="2"/>
  <c r="B1175" i="2"/>
  <c r="C1081" i="2"/>
  <c r="B1133" i="2"/>
  <c r="F1437" i="2"/>
  <c r="F962" i="2"/>
  <c r="F426" i="2"/>
  <c r="C1277" i="2"/>
  <c r="B1315" i="2"/>
  <c r="E521" i="2"/>
  <c r="D117" i="2"/>
  <c r="D254" i="2"/>
  <c r="B810" i="2"/>
  <c r="B247" i="2"/>
  <c r="C1025" i="2"/>
  <c r="B1076" i="2"/>
  <c r="F2308" i="1"/>
  <c r="F1506" i="2"/>
  <c r="B919" i="2"/>
  <c r="B1533" i="2"/>
  <c r="D289" i="2"/>
  <c r="B1294" i="2"/>
  <c r="F1416" i="2"/>
  <c r="E759" i="2"/>
  <c r="B372" i="2"/>
  <c r="E1868" i="2"/>
  <c r="B1066" i="2"/>
  <c r="B712" i="2"/>
  <c r="F880" i="2"/>
  <c r="E512" i="2"/>
  <c r="B614" i="2"/>
  <c r="F148" i="2"/>
  <c r="C1145" i="2"/>
  <c r="D416" i="2"/>
  <c r="A2499" i="1"/>
  <c r="F24" i="2"/>
  <c r="B2001" i="1"/>
  <c r="B1012" i="2"/>
  <c r="E2163" i="1"/>
  <c r="C1126" i="2"/>
  <c r="D365" i="2"/>
  <c r="D102" i="2"/>
  <c r="D1377" i="2"/>
  <c r="B1172" i="2"/>
  <c r="E1216" i="2"/>
  <c r="A1963" i="1"/>
  <c r="B2378" i="1"/>
  <c r="A2081" i="1"/>
  <c r="B1022" i="2"/>
  <c r="D892" i="2"/>
  <c r="B196" i="2"/>
  <c r="E2464" i="1"/>
  <c r="F2085" i="1"/>
  <c r="E1557" i="1"/>
  <c r="C2264" i="1"/>
  <c r="A1902" i="1"/>
  <c r="D1076" i="2"/>
  <c r="A2019" i="1"/>
  <c r="B1061" i="2"/>
  <c r="E2377" i="1"/>
  <c r="B1986" i="1"/>
  <c r="D1090" i="2"/>
  <c r="C773" i="2"/>
  <c r="B1111" i="2"/>
  <c r="F1975" i="2"/>
  <c r="B1135" i="2"/>
  <c r="D503" i="2"/>
  <c r="E964" i="2"/>
  <c r="B808" i="2"/>
  <c r="F949" i="2"/>
  <c r="B185" i="2"/>
  <c r="E1199" i="2"/>
  <c r="B1202" i="2"/>
  <c r="B269" i="2"/>
  <c r="C18" i="2"/>
  <c r="B2452" i="1"/>
  <c r="C1772" i="2"/>
  <c r="C1864" i="2"/>
  <c r="C1378" i="2"/>
  <c r="E1214" i="2"/>
  <c r="E871" i="2"/>
  <c r="B1591" i="2"/>
  <c r="E1597" i="2"/>
  <c r="B651" i="2"/>
  <c r="D1570" i="2"/>
  <c r="E399" i="2"/>
  <c r="D1439" i="2"/>
  <c r="F1964" i="2"/>
  <c r="C111" i="2"/>
  <c r="C859" i="2"/>
  <c r="B1221" i="2"/>
  <c r="B486" i="2"/>
  <c r="F720" i="2"/>
  <c r="D1167" i="2"/>
  <c r="E411" i="2"/>
  <c r="D656" i="2"/>
  <c r="C694" i="2"/>
  <c r="B2023" i="1"/>
  <c r="F1602" i="2"/>
  <c r="C340" i="2"/>
  <c r="D336" i="2"/>
  <c r="C1014" i="2"/>
  <c r="F656" i="2"/>
  <c r="F2411" i="1"/>
  <c r="A2333" i="1"/>
  <c r="A2410" i="1"/>
  <c r="F203" i="2"/>
  <c r="F339" i="2"/>
  <c r="D500" i="2"/>
  <c r="B2253" i="1"/>
  <c r="D2171" i="1"/>
  <c r="B111" i="2"/>
  <c r="E2328" i="1"/>
  <c r="B227" i="2"/>
  <c r="D2131" i="1"/>
  <c r="D2444" i="1"/>
  <c r="D1606" i="1"/>
  <c r="B2184" i="2"/>
  <c r="F833" i="2"/>
  <c r="C1775" i="2"/>
  <c r="D738" i="2"/>
  <c r="C1705" i="2"/>
  <c r="F182" i="2"/>
  <c r="F118" i="2"/>
  <c r="F1087" i="2"/>
  <c r="B557" i="2"/>
  <c r="D1933" i="2"/>
  <c r="B1791" i="2"/>
  <c r="B92" i="2"/>
  <c r="D2505" i="1"/>
  <c r="F1008" i="2"/>
  <c r="F872" i="2"/>
  <c r="F1193" i="2"/>
  <c r="C671" i="2"/>
  <c r="C684" i="2"/>
  <c r="F2342" i="1"/>
  <c r="F189" i="2"/>
  <c r="E1004" i="2"/>
  <c r="E2501" i="1"/>
  <c r="D608" i="2"/>
  <c r="B2442" i="1"/>
  <c r="B148" i="2"/>
  <c r="A2121" i="1"/>
  <c r="D2467" i="1"/>
  <c r="F2269" i="1"/>
  <c r="A2442" i="1"/>
  <c r="E238" i="2"/>
  <c r="E2259" i="1"/>
  <c r="E197" i="2"/>
  <c r="F1561" i="2"/>
  <c r="C390" i="2"/>
  <c r="B173" i="2"/>
  <c r="D298" i="2"/>
  <c r="D712" i="2"/>
  <c r="F695" i="2"/>
  <c r="C273" i="2"/>
  <c r="B690" i="2"/>
  <c r="D1556" i="2"/>
  <c r="C84" i="2"/>
  <c r="F960" i="2"/>
  <c r="B2397" i="1"/>
  <c r="B892" i="2"/>
  <c r="C2172" i="2"/>
  <c r="D568" i="2"/>
  <c r="E1145" i="2"/>
  <c r="F1775" i="2"/>
  <c r="B1289" i="2"/>
  <c r="B1599" i="2"/>
  <c r="B493" i="2"/>
  <c r="D1024" i="2"/>
  <c r="B791" i="2"/>
  <c r="B466" i="2"/>
  <c r="D475" i="2"/>
  <c r="F392" i="2"/>
  <c r="F951" i="2"/>
  <c r="D347" i="2"/>
  <c r="D1073" i="2"/>
  <c r="B636" i="2"/>
  <c r="F502" i="2"/>
  <c r="E654" i="2"/>
  <c r="C1196" i="2"/>
  <c r="D9" i="2"/>
  <c r="C726" i="2"/>
  <c r="F174" i="2"/>
  <c r="F955" i="2"/>
  <c r="F21" i="2"/>
  <c r="D1839" i="2"/>
  <c r="D405" i="2"/>
  <c r="E336" i="2"/>
  <c r="B506" i="2"/>
  <c r="F2256" i="2"/>
  <c r="F1543" i="2"/>
  <c r="D371" i="2"/>
  <c r="D2418" i="1"/>
  <c r="B1570" i="2"/>
  <c r="C1426" i="2"/>
  <c r="F391" i="2"/>
  <c r="F207" i="2"/>
  <c r="F480" i="2"/>
  <c r="F413" i="2"/>
  <c r="D510" i="2"/>
  <c r="E426" i="2"/>
  <c r="B327" i="2"/>
  <c r="D2504" i="1"/>
  <c r="C113" i="2"/>
  <c r="B2180" i="1"/>
  <c r="C512" i="2"/>
  <c r="F1158" i="2"/>
  <c r="E56" i="2"/>
  <c r="C328" i="2"/>
  <c r="C409" i="2"/>
  <c r="C193" i="2"/>
  <c r="C2386" i="1"/>
  <c r="D886" i="2"/>
  <c r="B166" i="2"/>
  <c r="A2219" i="1"/>
  <c r="A1637" i="1"/>
  <c r="B1945" i="1"/>
  <c r="D1997" i="1"/>
  <c r="C2000" i="1"/>
  <c r="C2126" i="1"/>
  <c r="B1308" i="2"/>
  <c r="A2378" i="1"/>
  <c r="B1861" i="1"/>
  <c r="E1885" i="2"/>
  <c r="F1186" i="2"/>
  <c r="D1184" i="2"/>
  <c r="F1630" i="2"/>
  <c r="B2384" i="2"/>
  <c r="B979" i="2"/>
  <c r="C836" i="2"/>
  <c r="D820" i="2"/>
  <c r="C2212" i="1"/>
  <c r="F777" i="2"/>
  <c r="C751" i="2"/>
  <c r="C1460" i="2"/>
  <c r="C892" i="2"/>
  <c r="B1039" i="2"/>
  <c r="C407" i="2"/>
  <c r="D842" i="2"/>
  <c r="B784" i="2"/>
  <c r="A2415" i="1"/>
  <c r="F2373" i="1"/>
  <c r="C1045" i="2"/>
  <c r="E364" i="2"/>
  <c r="E900" i="2"/>
  <c r="C1029" i="2"/>
  <c r="D243" i="2"/>
  <c r="E1357" i="2"/>
  <c r="C646" i="2"/>
  <c r="F279" i="2"/>
  <c r="F503" i="2"/>
  <c r="F1555" i="1"/>
  <c r="C508" i="2"/>
  <c r="E2282" i="1"/>
  <c r="D2322" i="1"/>
  <c r="E973" i="2"/>
  <c r="B1891" i="1"/>
  <c r="D2064" i="1"/>
  <c r="D1505" i="2"/>
  <c r="F2497" i="1"/>
  <c r="B114" i="2"/>
  <c r="C1480" i="2"/>
  <c r="D1291" i="2"/>
  <c r="B377" i="2"/>
  <c r="C1764" i="2"/>
  <c r="F700" i="2"/>
  <c r="C299" i="2"/>
  <c r="C434" i="2"/>
  <c r="F275" i="2"/>
  <c r="F853" i="2"/>
  <c r="F506" i="2"/>
  <c r="C120" i="2"/>
  <c r="C830" i="2"/>
  <c r="D1051" i="2"/>
  <c r="F1066" i="2"/>
  <c r="E1258" i="2"/>
  <c r="D988" i="2"/>
  <c r="C215" i="2"/>
  <c r="D1501" i="2"/>
  <c r="C1276" i="2"/>
  <c r="E226" i="2"/>
  <c r="E1362" i="2"/>
  <c r="E1" i="2"/>
  <c r="D928" i="2"/>
  <c r="D882" i="2"/>
  <c r="C965" i="2"/>
  <c r="D572" i="2"/>
  <c r="F752" i="2"/>
  <c r="F440" i="2"/>
  <c r="E2354" i="1"/>
  <c r="C1255" i="2"/>
  <c r="F588" i="2"/>
  <c r="F1720" i="2"/>
  <c r="B626" i="2"/>
  <c r="C1266" i="2"/>
  <c r="F342" i="2"/>
  <c r="C453" i="2"/>
  <c r="D6" i="2"/>
  <c r="A1821" i="1"/>
  <c r="E2315" i="1"/>
  <c r="F44" i="2"/>
  <c r="F234" i="2"/>
  <c r="E291" i="2"/>
  <c r="F350" i="2"/>
  <c r="C16" i="2"/>
  <c r="D2233" i="1"/>
  <c r="C2439" i="1"/>
  <c r="E1944" i="1"/>
  <c r="A1365" i="1"/>
  <c r="B937" i="2"/>
  <c r="F2104" i="1"/>
  <c r="A1741" i="1"/>
  <c r="C1888" i="2"/>
  <c r="E1291" i="2"/>
  <c r="E981" i="2"/>
  <c r="E1183" i="2"/>
  <c r="E2317" i="1"/>
  <c r="D126" i="2"/>
  <c r="D977" i="2"/>
  <c r="F315" i="2"/>
  <c r="D632" i="2"/>
  <c r="E82" i="2"/>
  <c r="B2215" i="1"/>
  <c r="C782" i="2"/>
  <c r="B2413" i="1"/>
  <c r="C607" i="2"/>
  <c r="C2402" i="1"/>
  <c r="C134" i="2"/>
  <c r="E637" i="2"/>
  <c r="B1423" i="2"/>
  <c r="E898" i="2"/>
  <c r="D1861" i="2"/>
  <c r="D1266" i="2"/>
  <c r="B912" i="2"/>
  <c r="E534" i="2"/>
  <c r="E939" i="2"/>
  <c r="F548" i="2"/>
  <c r="C2204" i="1"/>
  <c r="B1463" i="2"/>
  <c r="D1935" i="2"/>
  <c r="E897" i="2"/>
  <c r="D233" i="2"/>
  <c r="D1143" i="2"/>
  <c r="B1500" i="2"/>
  <c r="C946" i="2"/>
  <c r="E1125" i="2"/>
  <c r="C141" i="2"/>
  <c r="B1198" i="2"/>
  <c r="D2199" i="1"/>
  <c r="A2200" i="1"/>
  <c r="E2009" i="1"/>
  <c r="F1022" i="2"/>
  <c r="C1372" i="2"/>
  <c r="B202" i="2"/>
  <c r="B733" i="2"/>
  <c r="E1009" i="2"/>
  <c r="F972" i="2"/>
  <c r="B396" i="2"/>
  <c r="C2506" i="1"/>
  <c r="A2087" i="1"/>
  <c r="D451" i="2"/>
  <c r="B2266" i="1"/>
  <c r="B640" i="2"/>
  <c r="C14" i="2"/>
  <c r="E418" i="2"/>
  <c r="B2345" i="1"/>
  <c r="D560" i="2"/>
  <c r="C728" i="2"/>
  <c r="A1982" i="1"/>
  <c r="C2361" i="1"/>
  <c r="B1802" i="2"/>
  <c r="D1870" i="2"/>
  <c r="C642" i="2"/>
  <c r="D1616" i="2"/>
  <c r="E127" i="2"/>
  <c r="F1112" i="2"/>
  <c r="B839" i="2"/>
  <c r="B1817" i="2"/>
  <c r="B684" i="2"/>
  <c r="B841" i="2"/>
  <c r="B996" i="2"/>
  <c r="C634" i="2"/>
  <c r="E242" i="2"/>
  <c r="B563" i="2"/>
  <c r="C505" i="2"/>
  <c r="B220" i="2"/>
  <c r="B214" i="2"/>
  <c r="C656" i="2"/>
  <c r="C88" i="2"/>
  <c r="D793" i="2"/>
  <c r="C1134" i="2"/>
  <c r="E674" i="2"/>
  <c r="C760" i="2"/>
  <c r="E231" i="2"/>
  <c r="E375" i="2"/>
  <c r="B952" i="2"/>
  <c r="B189" i="2"/>
  <c r="C993" i="2"/>
  <c r="D316" i="2"/>
  <c r="E687" i="2"/>
  <c r="E182" i="2"/>
  <c r="D2104" i="1"/>
  <c r="D1043" i="2"/>
  <c r="F143" i="2"/>
  <c r="F2013" i="1"/>
  <c r="F324" i="2"/>
  <c r="D589" i="2"/>
  <c r="E1368" i="2"/>
  <c r="A2201" i="1"/>
  <c r="C375" i="2"/>
  <c r="D462" i="2"/>
  <c r="E211" i="2"/>
  <c r="F905" i="2"/>
  <c r="C831" i="2"/>
  <c r="E657" i="2"/>
  <c r="E1468" i="2"/>
  <c r="C1895" i="2"/>
  <c r="F958" i="2"/>
  <c r="E1234" i="2"/>
  <c r="D864" i="2"/>
  <c r="B1266" i="2"/>
  <c r="E1638" i="2"/>
  <c r="D1136" i="2"/>
  <c r="F1254" i="2"/>
  <c r="D494" i="2"/>
  <c r="C1398" i="2"/>
  <c r="B1617" i="2"/>
  <c r="E1257" i="2"/>
  <c r="C1217" i="2"/>
  <c r="B1537" i="2"/>
  <c r="E903" i="2"/>
  <c r="F397" i="2"/>
  <c r="F277" i="2"/>
  <c r="C1558" i="2"/>
  <c r="C1110" i="2"/>
  <c r="C1282" i="2"/>
  <c r="F957" i="2"/>
  <c r="C313" i="2"/>
  <c r="E300" i="2"/>
  <c r="B855" i="2"/>
  <c r="F671" i="2"/>
  <c r="D2200" i="1"/>
  <c r="E988" i="2"/>
  <c r="B618" i="2"/>
  <c r="D386" i="2"/>
  <c r="F2208" i="1"/>
  <c r="E217" i="2"/>
  <c r="F1273" i="2"/>
  <c r="F525" i="2"/>
  <c r="C861" i="2"/>
  <c r="D2133" i="1"/>
  <c r="D1620" i="2"/>
  <c r="F2219" i="1"/>
  <c r="F2173" i="1"/>
  <c r="D125" i="2"/>
  <c r="F531" i="2"/>
  <c r="E678" i="2"/>
  <c r="B2510" i="1"/>
  <c r="D27" i="2"/>
  <c r="D717" i="2"/>
  <c r="D402" i="2"/>
  <c r="C2504" i="1"/>
  <c r="E1631" i="2"/>
  <c r="D1394" i="2"/>
  <c r="C632" i="2"/>
  <c r="F415" i="2"/>
  <c r="C664" i="2"/>
  <c r="C615" i="2"/>
  <c r="E360" i="2"/>
  <c r="C1846" i="1"/>
  <c r="B1757" i="1"/>
  <c r="A2258" i="1"/>
  <c r="B2300" i="1"/>
  <c r="E1868" i="1"/>
  <c r="F2362" i="1"/>
  <c r="D403" i="2"/>
  <c r="A2459" i="1"/>
  <c r="F817" i="2"/>
  <c r="E1159" i="2"/>
  <c r="E945" i="2"/>
  <c r="C697" i="2"/>
  <c r="F997" i="2"/>
  <c r="F243" i="2"/>
  <c r="E1227" i="2"/>
  <c r="B285" i="2"/>
  <c r="C133" i="2"/>
  <c r="C451" i="2"/>
  <c r="B655" i="2"/>
  <c r="E335" i="2"/>
  <c r="D382" i="2"/>
  <c r="C87" i="2"/>
  <c r="C317" i="2"/>
  <c r="F2482" i="1"/>
  <c r="C308" i="2"/>
  <c r="D199" i="2"/>
  <c r="D1703" i="2"/>
  <c r="C2157" i="1"/>
  <c r="F437" i="2"/>
  <c r="B1010" i="2"/>
  <c r="B1043" i="2"/>
  <c r="B45" i="2"/>
  <c r="D286" i="2"/>
  <c r="E1092" i="2"/>
  <c r="D2315" i="1"/>
  <c r="A1848" i="1"/>
  <c r="F732" i="2"/>
  <c r="D2090" i="1"/>
  <c r="C565" i="2"/>
  <c r="C2307" i="1"/>
  <c r="E755" i="2"/>
  <c r="C2152" i="1"/>
  <c r="C2201" i="1"/>
  <c r="E69" i="2"/>
  <c r="C1782" i="1"/>
  <c r="C809" i="2"/>
  <c r="F1778" i="2"/>
  <c r="E487" i="2"/>
  <c r="E1815" i="2"/>
  <c r="C1434" i="2"/>
  <c r="C2490" i="1"/>
  <c r="F1003" i="2"/>
  <c r="B691" i="2"/>
  <c r="F713" i="2"/>
  <c r="E581" i="2"/>
  <c r="B2219" i="1"/>
  <c r="B2339" i="1"/>
  <c r="E2235" i="1"/>
  <c r="C2080" i="1"/>
  <c r="C2335" i="1"/>
  <c r="E618" i="2"/>
  <c r="D2240" i="1"/>
  <c r="C167" i="2"/>
  <c r="E1678" i="2"/>
  <c r="D751" i="2"/>
  <c r="E210" i="2"/>
  <c r="C575" i="2"/>
  <c r="B141" i="2"/>
  <c r="F1287" i="2"/>
  <c r="F644" i="2"/>
  <c r="C370" i="2"/>
  <c r="F683" i="2"/>
  <c r="B331" i="2"/>
  <c r="E1250" i="2"/>
  <c r="F316" i="2"/>
  <c r="E1434" i="2"/>
  <c r="F573" i="2"/>
  <c r="B723" i="2"/>
  <c r="D2498" i="1"/>
  <c r="D808" i="2"/>
  <c r="D2401" i="1"/>
  <c r="D480" i="2"/>
  <c r="F2228" i="1"/>
  <c r="D787" i="2"/>
  <c r="D945" i="2"/>
  <c r="F2472" i="1"/>
  <c r="C1610" i="2"/>
  <c r="E1013" i="2"/>
  <c r="E842" i="2"/>
  <c r="F492" i="2"/>
  <c r="B2174" i="1"/>
  <c r="A2189" i="1"/>
  <c r="A2025" i="1"/>
  <c r="B302" i="2"/>
  <c r="B2277" i="1"/>
  <c r="E2155" i="1"/>
  <c r="A2034" i="1"/>
  <c r="B1843" i="2"/>
  <c r="F1122" i="2"/>
  <c r="C784" i="2"/>
  <c r="B1640" i="2"/>
  <c r="B1336" i="2"/>
  <c r="C1401" i="2"/>
  <c r="D354" i="2"/>
  <c r="B246" i="2"/>
  <c r="C2381" i="1"/>
  <c r="C668" i="2"/>
  <c r="B2214" i="1"/>
  <c r="F257" i="2"/>
  <c r="B1519" i="2"/>
  <c r="E2068" i="1"/>
  <c r="E1749" i="2"/>
  <c r="F267" i="2"/>
  <c r="F202" i="2"/>
  <c r="F882" i="2"/>
  <c r="D1683" i="2"/>
  <c r="D1275" i="2"/>
  <c r="C1561" i="2"/>
  <c r="A2361" i="1"/>
  <c r="B1162" i="2"/>
  <c r="D399" i="2"/>
  <c r="E282" i="2"/>
  <c r="B386" i="2"/>
  <c r="C1636" i="2"/>
  <c r="F888" i="2"/>
  <c r="C1242" i="2"/>
  <c r="F1565" i="2"/>
  <c r="C1297" i="2"/>
  <c r="F755" i="2"/>
  <c r="D1243" i="2"/>
  <c r="C1948" i="2"/>
  <c r="C1996" i="1"/>
  <c r="B851" i="2"/>
  <c r="C175" i="2"/>
  <c r="F498" i="2"/>
  <c r="D16" i="2"/>
  <c r="D127" i="2"/>
  <c r="E743" i="2"/>
  <c r="B747" i="2"/>
  <c r="B1436" i="2"/>
  <c r="C813" i="2"/>
  <c r="C600" i="2"/>
  <c r="C435" i="2"/>
  <c r="C833" i="2"/>
  <c r="D43" i="2"/>
  <c r="B349" i="2"/>
  <c r="B847" i="2"/>
  <c r="F1948" i="1"/>
  <c r="E302" i="2"/>
  <c r="B1738" i="1"/>
  <c r="F2072" i="1"/>
  <c r="A1809" i="1"/>
  <c r="F579" i="2"/>
  <c r="F541" i="2"/>
  <c r="F1632" i="1"/>
  <c r="F1699" i="1"/>
  <c r="F2224" i="2"/>
  <c r="B1703" i="2"/>
  <c r="B476" i="2"/>
  <c r="F131" i="2"/>
  <c r="E917" i="2"/>
  <c r="B1050" i="2"/>
  <c r="C702" i="2"/>
  <c r="B1086" i="2"/>
  <c r="F368" i="2"/>
  <c r="F979" i="2"/>
  <c r="D729" i="2"/>
  <c r="C1229" i="2"/>
  <c r="E1083" i="2"/>
  <c r="F60" i="2"/>
  <c r="F635" i="2"/>
  <c r="E126" i="2"/>
  <c r="B192" i="2"/>
  <c r="D1348" i="2"/>
  <c r="E348" i="2"/>
  <c r="E957" i="2"/>
  <c r="D157" i="2"/>
  <c r="C839" i="2"/>
  <c r="D807" i="2"/>
  <c r="D456" i="2"/>
  <c r="F181" i="2"/>
  <c r="D33" i="2"/>
  <c r="D396" i="2"/>
  <c r="B52" i="2"/>
  <c r="F1073" i="2"/>
  <c r="C2429" i="1"/>
  <c r="A2496" i="1"/>
  <c r="C783" i="2"/>
  <c r="B2231" i="1"/>
  <c r="F1516" i="2"/>
  <c r="D2450" i="1"/>
  <c r="A2047" i="1"/>
  <c r="D636" i="2"/>
  <c r="F953" i="2"/>
  <c r="E2181" i="1"/>
  <c r="A2315" i="1"/>
  <c r="B93" i="2"/>
  <c r="E301" i="2"/>
  <c r="B251" i="2"/>
  <c r="F2445" i="1"/>
  <c r="D409" i="2"/>
  <c r="E1702" i="2"/>
  <c r="D1032" i="2"/>
  <c r="D720" i="2"/>
  <c r="D1459" i="2"/>
  <c r="F1093" i="2"/>
  <c r="F163" i="2"/>
  <c r="E940" i="2"/>
  <c r="E516" i="2"/>
  <c r="E853" i="2"/>
  <c r="E1514" i="2"/>
  <c r="B325" i="2"/>
  <c r="B339" i="2"/>
  <c r="D2215" i="1"/>
  <c r="B490" i="2"/>
  <c r="D709" i="2"/>
  <c r="C1361" i="2"/>
  <c r="C919" i="2"/>
  <c r="F1534" i="2"/>
  <c r="C886" i="2"/>
  <c r="B1225" i="2"/>
  <c r="F1900" i="2"/>
  <c r="E908" i="2"/>
  <c r="C660" i="2"/>
  <c r="C154" i="2"/>
  <c r="B1052" i="2"/>
  <c r="D805" i="2"/>
  <c r="B2333" i="1"/>
  <c r="D182" i="2"/>
  <c r="E1515" i="2"/>
  <c r="B876" i="2"/>
  <c r="B2196" i="1"/>
  <c r="A2422" i="1"/>
  <c r="F1200" i="2"/>
  <c r="F59" i="2"/>
  <c r="F229" i="2"/>
  <c r="D12" i="2"/>
  <c r="E85" i="2"/>
  <c r="B390" i="2"/>
  <c r="D2113" i="1"/>
  <c r="F1355" i="2"/>
  <c r="B408" i="2"/>
  <c r="D818" i="2"/>
  <c r="E147" i="2"/>
  <c r="E670" i="2"/>
  <c r="F312" i="2"/>
  <c r="F402" i="2"/>
  <c r="B511" i="2"/>
  <c r="C918" i="2"/>
  <c r="B611" i="2"/>
  <c r="C454" i="2"/>
  <c r="E2125" i="1"/>
  <c r="D231" i="2"/>
  <c r="B688" i="2"/>
  <c r="D2268" i="1"/>
  <c r="A2311" i="1"/>
  <c r="C2029" i="1"/>
  <c r="B1625" i="1"/>
  <c r="B2417" i="1"/>
  <c r="E323" i="2"/>
  <c r="F177" i="2"/>
  <c r="D2510" i="1"/>
  <c r="C278" i="2"/>
  <c r="B796" i="2"/>
  <c r="F1441" i="2"/>
  <c r="B1888" i="2"/>
  <c r="C519" i="2"/>
  <c r="F433" i="2"/>
  <c r="D904" i="2"/>
  <c r="E643" i="2"/>
  <c r="B512" i="2"/>
  <c r="B1619" i="2"/>
  <c r="F2350" i="1"/>
  <c r="E438" i="2"/>
  <c r="C758" i="2"/>
  <c r="E326" i="2"/>
  <c r="C648" i="2"/>
  <c r="C312" i="2"/>
  <c r="E328" i="2"/>
  <c r="C967" i="2"/>
  <c r="F1396" i="2"/>
  <c r="F667" i="2"/>
  <c r="B1757" i="2"/>
  <c r="D2465" i="1"/>
  <c r="C1604" i="2"/>
  <c r="F655" i="2"/>
  <c r="B1907" i="2"/>
  <c r="E810" i="2"/>
  <c r="C295" i="2"/>
  <c r="F741" i="2"/>
  <c r="C2183" i="1"/>
  <c r="B1781" i="1"/>
  <c r="D481" i="2"/>
  <c r="B748" i="2"/>
  <c r="D2370" i="1"/>
  <c r="C1668" i="2"/>
  <c r="B1934" i="1"/>
  <c r="C949" i="2"/>
  <c r="B2163" i="1"/>
  <c r="F450" i="2"/>
  <c r="B2035" i="2"/>
  <c r="B1102" i="2"/>
  <c r="E413" i="2"/>
  <c r="B1314" i="2"/>
  <c r="C66" i="2"/>
  <c r="D2277" i="1"/>
  <c r="F1222" i="2"/>
  <c r="D1282" i="2"/>
  <c r="F1770" i="2"/>
  <c r="D556" i="2"/>
  <c r="D177" i="2"/>
  <c r="D898" i="2"/>
  <c r="D359" i="2"/>
  <c r="C2494" i="1"/>
  <c r="F284" i="2"/>
  <c r="F1289" i="2"/>
  <c r="E965" i="2"/>
  <c r="E1044" i="2"/>
  <c r="E1313" i="2"/>
  <c r="C909" i="2"/>
  <c r="B1163" i="2"/>
  <c r="B787" i="2"/>
  <c r="B85" i="2"/>
  <c r="C406" i="2"/>
  <c r="E603" i="2"/>
  <c r="C1013" i="2"/>
  <c r="D759" i="2"/>
  <c r="B835" i="2"/>
  <c r="E29" i="2"/>
  <c r="E514" i="2"/>
  <c r="B1502" i="2"/>
  <c r="D61" i="2"/>
  <c r="E504" i="2"/>
  <c r="C23" i="2"/>
  <c r="F1381" i="2"/>
  <c r="A2157" i="1"/>
  <c r="E65" i="2"/>
  <c r="B2128" i="1"/>
  <c r="D517" i="2"/>
  <c r="E2168" i="1"/>
  <c r="F994" i="2"/>
  <c r="B2016" i="1"/>
  <c r="B183" i="2"/>
  <c r="D246" i="2"/>
  <c r="F169" i="2"/>
  <c r="A2035" i="1"/>
  <c r="A2367" i="1"/>
  <c r="F2275" i="1"/>
  <c r="E129" i="2"/>
  <c r="F489" i="2"/>
  <c r="F145" i="2"/>
  <c r="E796" i="2"/>
  <c r="C1549" i="2"/>
  <c r="C242" i="2"/>
  <c r="E314" i="2"/>
  <c r="C1210" i="2"/>
  <c r="F670" i="2"/>
  <c r="D767" i="2"/>
  <c r="E652" i="2"/>
  <c r="F1055" i="2"/>
  <c r="C1076" i="2"/>
  <c r="A2426" i="1"/>
  <c r="D1717" i="2"/>
  <c r="C1356" i="2"/>
  <c r="E480" i="2"/>
  <c r="C75" i="2"/>
  <c r="D2381" i="1"/>
  <c r="E505" i="2"/>
  <c r="B757" i="2"/>
  <c r="B1962" i="2"/>
  <c r="B1165" i="2"/>
  <c r="B367" i="2"/>
  <c r="D1151" i="2"/>
  <c r="D504" i="2"/>
  <c r="F745" i="2"/>
  <c r="C766" i="2"/>
  <c r="D1315" i="2"/>
  <c r="C853" i="2"/>
  <c r="B162" i="2"/>
  <c r="C969" i="2"/>
  <c r="E98" i="2"/>
  <c r="C1836" i="2"/>
  <c r="B689" i="2"/>
  <c r="F961" i="2"/>
  <c r="C117" i="2"/>
  <c r="E1322" i="2"/>
  <c r="F1407" i="2"/>
  <c r="F64" i="2"/>
  <c r="B590" i="2"/>
  <c r="F512" i="2"/>
  <c r="D2441" i="1"/>
  <c r="D863" i="2"/>
  <c r="E1496" i="2"/>
  <c r="D1270" i="2"/>
  <c r="B1471" i="2"/>
  <c r="D976" i="2"/>
  <c r="E666" i="2"/>
  <c r="D546" i="2"/>
  <c r="F735" i="2"/>
  <c r="E598" i="2"/>
  <c r="D406" i="2"/>
  <c r="D2274" i="1"/>
  <c r="F2087" i="1"/>
  <c r="B2074" i="1"/>
  <c r="D2391" i="1"/>
  <c r="B2071" i="1"/>
  <c r="C63" i="2"/>
  <c r="D435" i="2"/>
  <c r="E2065" i="1"/>
  <c r="B1746" i="1"/>
  <c r="B1302" i="2"/>
  <c r="C2087" i="2"/>
  <c r="D1371" i="2"/>
  <c r="F608" i="2"/>
  <c r="E1310" i="2"/>
  <c r="E1156" i="2"/>
  <c r="E1312" i="2"/>
  <c r="F1223" i="2"/>
  <c r="E526" i="2"/>
  <c r="B959" i="2"/>
  <c r="D1370" i="2"/>
  <c r="E1327" i="2"/>
  <c r="E1561" i="2"/>
  <c r="B838" i="2"/>
  <c r="F1849" i="2"/>
  <c r="C1564" i="2"/>
  <c r="B341" i="2"/>
  <c r="B2387" i="1"/>
  <c r="E138" i="2"/>
  <c r="D419" i="2"/>
  <c r="F482" i="2"/>
  <c r="F682" i="2"/>
  <c r="E404" i="2"/>
  <c r="C894" i="2"/>
  <c r="B782" i="2"/>
  <c r="B459" i="2"/>
  <c r="F522" i="2"/>
  <c r="C204" i="2"/>
  <c r="E393" i="2"/>
  <c r="C96" i="2"/>
  <c r="B2141" i="1"/>
  <c r="B701" i="2"/>
  <c r="F878" i="2"/>
  <c r="F204" i="2"/>
  <c r="C380" i="2"/>
  <c r="E184" i="2"/>
  <c r="D2369" i="1"/>
  <c r="C97" i="2"/>
  <c r="C711" i="2"/>
  <c r="D2513" i="1"/>
  <c r="E724" i="2"/>
  <c r="B279" i="2"/>
  <c r="C647" i="2"/>
  <c r="D509" i="2"/>
  <c r="D417" i="2"/>
  <c r="C1674" i="2"/>
  <c r="C1793" i="2"/>
  <c r="D891" i="2"/>
  <c r="C1559" i="2"/>
  <c r="D145" i="2"/>
  <c r="B411" i="2"/>
  <c r="F416" i="2"/>
  <c r="D1278" i="2"/>
  <c r="B891" i="2"/>
  <c r="C759" i="2"/>
  <c r="D1634" i="2"/>
  <c r="C964" i="2"/>
  <c r="B1181" i="2"/>
  <c r="B1384" i="2"/>
  <c r="D114" i="2"/>
  <c r="F669" i="2"/>
  <c r="E932" i="2"/>
  <c r="B896" i="2"/>
  <c r="D261" i="2"/>
  <c r="D1188" i="2"/>
  <c r="E949" i="2"/>
  <c r="D1307" i="2"/>
  <c r="E410" i="2"/>
  <c r="C228" i="2"/>
  <c r="C1263" i="2"/>
  <c r="B1213" i="2"/>
  <c r="D606" i="2"/>
  <c r="E101" i="2"/>
  <c r="C651" i="2"/>
  <c r="F1064" i="2"/>
  <c r="C132" i="2"/>
  <c r="F2262" i="1"/>
  <c r="C1127" i="2"/>
  <c r="E1084" i="2"/>
  <c r="E63" i="2"/>
  <c r="E2115" i="1"/>
  <c r="D702" i="2"/>
  <c r="E159" i="2"/>
  <c r="C2420" i="1"/>
  <c r="C2077" i="1"/>
  <c r="F454" i="2"/>
  <c r="D360" i="2"/>
  <c r="A2293" i="1"/>
  <c r="C150" i="2"/>
  <c r="C12" i="2"/>
  <c r="D193" i="2"/>
  <c r="F639" i="2"/>
  <c r="D1164" i="2"/>
  <c r="D555" i="2"/>
  <c r="B982" i="2"/>
  <c r="A2365" i="1"/>
  <c r="B460" i="2"/>
  <c r="A2196" i="1"/>
  <c r="D2013" i="1"/>
  <c r="A2408" i="1"/>
  <c r="D414" i="2"/>
  <c r="C2365" i="1"/>
  <c r="C1739" i="1"/>
  <c r="B914" i="1"/>
  <c r="C617" i="2"/>
  <c r="C2376" i="1"/>
  <c r="D2106" i="2"/>
  <c r="F1152" i="2"/>
  <c r="D893" i="2"/>
  <c r="B921" i="2"/>
  <c r="B1465" i="2"/>
  <c r="B877" i="2"/>
  <c r="D466" i="2"/>
  <c r="C231" i="2"/>
  <c r="B1193" i="2"/>
  <c r="F694" i="2"/>
  <c r="E459" i="2"/>
  <c r="F628" i="2"/>
  <c r="F770" i="2"/>
  <c r="E25" i="2"/>
  <c r="A2138" i="1"/>
  <c r="B2308" i="1"/>
  <c r="C1027" i="2"/>
  <c r="C1325" i="2"/>
  <c r="A2373" i="1"/>
  <c r="B2203" i="1"/>
  <c r="C857" i="2"/>
  <c r="D973" i="2"/>
  <c r="B755" i="2"/>
  <c r="E888" i="2"/>
  <c r="F808" i="2"/>
  <c r="B2032" i="1"/>
  <c r="E928" i="2"/>
  <c r="D2203" i="1"/>
  <c r="D2232" i="1"/>
  <c r="C713" i="2"/>
  <c r="B2332" i="1"/>
  <c r="E93" i="2"/>
  <c r="F2454" i="1"/>
  <c r="B91" i="2"/>
  <c r="C906" i="2"/>
  <c r="F686" i="2"/>
  <c r="F2369" i="1"/>
  <c r="C2468" i="1"/>
  <c r="B2066" i="2"/>
  <c r="D1311" i="2"/>
  <c r="F1002" i="2"/>
  <c r="B1078" i="2"/>
  <c r="D687" i="2"/>
  <c r="E469" i="2"/>
  <c r="F1567" i="2"/>
  <c r="B765" i="2"/>
  <c r="F508" i="2"/>
  <c r="C402" i="2"/>
  <c r="B264" i="2"/>
  <c r="E2255" i="1"/>
  <c r="F929" i="2"/>
  <c r="B2239" i="1"/>
  <c r="B971" i="2"/>
  <c r="F820" i="2"/>
  <c r="D669" i="2"/>
  <c r="C2316" i="1"/>
  <c r="F1858" i="2"/>
  <c r="F1835" i="2"/>
  <c r="D848" i="2"/>
  <c r="F1175" i="2"/>
  <c r="B161" i="2"/>
  <c r="D736" i="2"/>
  <c r="C1197" i="2"/>
  <c r="B364" i="2"/>
  <c r="B492" i="2"/>
  <c r="D923" i="2"/>
  <c r="B904" i="2"/>
  <c r="E2145" i="1"/>
  <c r="F160" i="2"/>
  <c r="C770" i="2"/>
  <c r="E367" i="2"/>
  <c r="C1008" i="2"/>
  <c r="F1316" i="2"/>
  <c r="C793" i="2"/>
  <c r="B2373" i="1"/>
  <c r="D223" i="2"/>
  <c r="D971" i="2"/>
  <c r="C779" i="2"/>
  <c r="B1040" i="2"/>
  <c r="C36" i="2"/>
  <c r="E2190" i="1"/>
  <c r="E649" i="2"/>
  <c r="E498" i="2"/>
  <c r="F288" i="2"/>
  <c r="F1679" i="1"/>
  <c r="A2226" i="1"/>
  <c r="A614" i="1"/>
  <c r="B2357" i="1"/>
  <c r="E533" i="2"/>
  <c r="B974" i="2"/>
  <c r="C1462" i="2"/>
  <c r="B1080" i="2"/>
  <c r="C1813" i="2"/>
  <c r="E1138" i="2"/>
  <c r="B2036" i="2"/>
  <c r="E656" i="2"/>
  <c r="B602" i="2"/>
  <c r="D1846" i="2"/>
  <c r="E2495" i="1"/>
  <c r="E332" i="2"/>
  <c r="C1250" i="2"/>
  <c r="B1044" i="2"/>
  <c r="E739" i="2"/>
  <c r="F2492" i="1"/>
  <c r="C738" i="2"/>
  <c r="D1089" i="2"/>
  <c r="D294" i="2"/>
  <c r="C258" i="2"/>
  <c r="F1160" i="2"/>
  <c r="B696" i="2"/>
  <c r="D1047" i="2"/>
  <c r="C1732" i="2"/>
  <c r="E959" i="2"/>
  <c r="C1592" i="2"/>
  <c r="B647" i="2"/>
  <c r="C1882" i="2"/>
  <c r="F1301" i="2"/>
  <c r="F630" i="2"/>
  <c r="D1149" i="2"/>
  <c r="B1792" i="2"/>
  <c r="C1011" i="2"/>
  <c r="C537" i="2"/>
  <c r="B1220" i="2"/>
  <c r="D348" i="2"/>
  <c r="E1150" i="2"/>
  <c r="E1130" i="2"/>
  <c r="E1072" i="2"/>
  <c r="B750" i="2"/>
  <c r="B2441" i="1"/>
  <c r="B543" i="2"/>
  <c r="D424" i="2"/>
  <c r="E1107" i="2"/>
  <c r="C710" i="2"/>
  <c r="D867" i="2"/>
  <c r="C247" i="2"/>
  <c r="E1034" i="2"/>
  <c r="D1097" i="2"/>
  <c r="B267" i="2"/>
  <c r="E408" i="2"/>
  <c r="C480" i="2"/>
  <c r="B1985" i="1"/>
  <c r="C2410" i="1"/>
  <c r="E2406" i="1"/>
  <c r="A2079" i="1"/>
  <c r="D1485" i="1"/>
  <c r="E665" i="2"/>
  <c r="A2398" i="1"/>
  <c r="E2069" i="1"/>
  <c r="B2200" i="1"/>
  <c r="C1938" i="2"/>
  <c r="E1142" i="2"/>
  <c r="C1202" i="2"/>
  <c r="C266" i="2"/>
  <c r="E542" i="2"/>
  <c r="F727" i="2"/>
  <c r="C554" i="2"/>
  <c r="C939" i="2"/>
  <c r="B1258" i="2"/>
  <c r="D1201" i="2"/>
  <c r="E446" i="2"/>
  <c r="F76" i="2"/>
  <c r="E2487" i="1"/>
  <c r="C429" i="2"/>
  <c r="C1835" i="2"/>
  <c r="F20" i="2"/>
  <c r="F996" i="2"/>
  <c r="D834" i="2"/>
  <c r="C311" i="2"/>
  <c r="E346" i="2"/>
  <c r="C877" i="2"/>
  <c r="F642" i="2"/>
  <c r="F241" i="2"/>
  <c r="C2211" i="1"/>
  <c r="B1616" i="2"/>
  <c r="D146" i="2"/>
  <c r="C2407" i="1"/>
  <c r="E890" i="2"/>
  <c r="F403" i="2"/>
  <c r="C669" i="2"/>
  <c r="D823" i="2"/>
  <c r="E954" i="2"/>
  <c r="F467" i="2"/>
  <c r="E402" i="2"/>
  <c r="D2333" i="1"/>
  <c r="F457" i="2"/>
  <c r="D135" i="2"/>
  <c r="E852" i="2"/>
  <c r="B58" i="2"/>
  <c r="E180" i="2"/>
  <c r="E967" i="2"/>
  <c r="E136" i="2"/>
  <c r="E2080" i="1"/>
  <c r="D2033" i="1"/>
  <c r="F828" i="2"/>
  <c r="E1203" i="2"/>
  <c r="E1601" i="2"/>
  <c r="F1568" i="2"/>
  <c r="D1297" i="2"/>
  <c r="F65" i="2"/>
  <c r="E1660" i="2"/>
  <c r="E380" i="2"/>
  <c r="D827" i="2"/>
  <c r="F574" i="2"/>
  <c r="E1741" i="2"/>
  <c r="B44" i="2"/>
  <c r="F847" i="2"/>
  <c r="D995" i="2"/>
  <c r="D916" i="2"/>
  <c r="F753" i="2"/>
  <c r="E2298" i="1"/>
  <c r="C48" i="2"/>
  <c r="B567" i="2"/>
  <c r="D384" i="2"/>
  <c r="C1021" i="2"/>
  <c r="F586" i="2"/>
  <c r="B124" i="2"/>
  <c r="E343" i="2"/>
  <c r="B515" i="2"/>
  <c r="D1559" i="2"/>
  <c r="D890" i="2"/>
  <c r="C604" i="2"/>
  <c r="B739" i="2"/>
  <c r="D1339" i="2"/>
  <c r="D334" i="2"/>
  <c r="D159" i="2"/>
  <c r="D888" i="2"/>
  <c r="B42" i="2"/>
  <c r="C490" i="2"/>
  <c r="A2126" i="1"/>
  <c r="E747" i="2"/>
  <c r="D2477" i="1"/>
  <c r="C2389" i="1"/>
  <c r="E1005" i="2"/>
  <c r="F970" i="2"/>
  <c r="E14" i="2"/>
  <c r="F442" i="2"/>
  <c r="E2310" i="1"/>
  <c r="B780" i="2"/>
  <c r="F2417" i="1"/>
  <c r="F959" i="2"/>
  <c r="A2449" i="1"/>
  <c r="D1246" i="2"/>
  <c r="D2311" i="1"/>
  <c r="C2347" i="1"/>
  <c r="D565" i="2"/>
  <c r="E152" i="2"/>
  <c r="B2341" i="1"/>
  <c r="B1609" i="1"/>
  <c r="B632" i="2"/>
  <c r="E639" i="2"/>
  <c r="D2484" i="1"/>
  <c r="D797" i="2"/>
  <c r="E1977" i="1"/>
  <c r="D2243" i="1"/>
  <c r="F2421" i="1"/>
  <c r="B1593" i="2"/>
  <c r="B1119" i="2"/>
  <c r="F246" i="2"/>
  <c r="C1807" i="2"/>
  <c r="E984" i="2"/>
  <c r="C298" i="2"/>
  <c r="D2249" i="1"/>
  <c r="E2162" i="1"/>
  <c r="E593" i="2"/>
  <c r="C65" i="2"/>
  <c r="B48" i="2"/>
  <c r="C109" i="2"/>
  <c r="B1443" i="2"/>
  <c r="E237" i="2"/>
  <c r="B1031" i="2"/>
  <c r="C498" i="2"/>
  <c r="F1221" i="2"/>
  <c r="E541" i="2"/>
  <c r="F251" i="2"/>
  <c r="B381" i="2"/>
  <c r="B778" i="2"/>
  <c r="B2284" i="1"/>
  <c r="C814" i="2"/>
  <c r="F443" i="2"/>
  <c r="D1236" i="2"/>
  <c r="C323" i="2"/>
  <c r="E228" i="2"/>
  <c r="E2273" i="1"/>
  <c r="F543" i="2"/>
  <c r="C144" i="2"/>
  <c r="B481" i="2"/>
  <c r="B435" i="2"/>
  <c r="F1878" i="1"/>
  <c r="E2393" i="1"/>
  <c r="A2228" i="1"/>
  <c r="E240" i="2"/>
  <c r="E2000" i="1"/>
  <c r="D453" i="2"/>
  <c r="D2037" i="2"/>
  <c r="E629" i="2"/>
  <c r="D2390" i="1"/>
  <c r="C94" i="2"/>
  <c r="D2382" i="1"/>
  <c r="B334" i="2"/>
  <c r="E358" i="2"/>
  <c r="F1269" i="2"/>
  <c r="C2403" i="1"/>
  <c r="B233" i="2"/>
  <c r="F1188" i="2"/>
  <c r="E2387" i="1"/>
  <c r="F518" i="2"/>
  <c r="D265" i="2"/>
  <c r="D749" i="2"/>
  <c r="F2340" i="1"/>
  <c r="E1330" i="2"/>
  <c r="A2214" i="1"/>
  <c r="C1550" i="2"/>
  <c r="F1153" i="2"/>
  <c r="D553" i="2"/>
  <c r="C663" i="2"/>
  <c r="B831" i="2"/>
  <c r="D1416" i="2"/>
  <c r="C1018" i="2"/>
  <c r="C878" i="2"/>
  <c r="E861" i="2"/>
  <c r="D491" i="2"/>
  <c r="B884" i="2"/>
  <c r="A1980" i="1"/>
  <c r="F71" i="2"/>
  <c r="E2412" i="1"/>
  <c r="D838" i="2"/>
  <c r="D2410" i="1"/>
  <c r="A2161" i="1"/>
  <c r="E719" i="2"/>
  <c r="E2494" i="1"/>
  <c r="D1870" i="1"/>
  <c r="C105" i="2"/>
  <c r="B60" i="2"/>
  <c r="B4" i="2"/>
  <c r="C1009" i="2"/>
  <c r="C397" i="2"/>
  <c r="F190" i="2"/>
  <c r="F375" i="2"/>
  <c r="C2500" i="1"/>
  <c r="E2442" i="1"/>
  <c r="C374" i="2"/>
  <c r="E2358" i="1"/>
  <c r="C423" i="2"/>
  <c r="C578" i="2"/>
  <c r="E633" i="2"/>
  <c r="F1846" i="2"/>
  <c r="D1004" i="2"/>
  <c r="E1589" i="2"/>
  <c r="E960" i="2"/>
  <c r="F357" i="2"/>
  <c r="D979" i="2"/>
  <c r="F1053" i="2"/>
  <c r="E617" i="2"/>
  <c r="C2088" i="1"/>
  <c r="B2207" i="1"/>
  <c r="F564" i="2"/>
  <c r="E1074" i="2"/>
  <c r="C613" i="2"/>
  <c r="F230" i="2"/>
  <c r="E353" i="2"/>
  <c r="B34" i="2"/>
  <c r="E168" i="2"/>
  <c r="D840" i="2"/>
  <c r="E1871" i="2"/>
  <c r="D455" i="2"/>
  <c r="D1052" i="2"/>
  <c r="B1370" i="2"/>
  <c r="E1057" i="2"/>
  <c r="F870" i="2"/>
  <c r="F1875" i="2"/>
  <c r="B1204" i="2"/>
  <c r="B1146" i="2"/>
  <c r="F1464" i="2"/>
  <c r="F1156" i="2"/>
  <c r="B2125" i="2"/>
  <c r="D1152" i="2"/>
  <c r="E1239" i="2"/>
  <c r="F750" i="2"/>
  <c r="B881" i="2"/>
  <c r="E268" i="2"/>
  <c r="F132" i="2"/>
  <c r="C2276" i="1"/>
  <c r="F2163" i="1"/>
  <c r="E2226" i="1"/>
  <c r="B562" i="2"/>
  <c r="C742" i="2"/>
  <c r="D379" i="2"/>
  <c r="B448" i="2"/>
  <c r="D839" i="2"/>
  <c r="A2363" i="1"/>
  <c r="F108" i="2"/>
  <c r="B2399" i="1"/>
  <c r="C708" i="2"/>
  <c r="B363" i="2"/>
  <c r="D2445" i="1"/>
  <c r="C35" i="2"/>
  <c r="A1675" i="1"/>
  <c r="F68" i="2"/>
  <c r="B1804" i="1"/>
  <c r="E785" i="2"/>
  <c r="B2321" i="1"/>
  <c r="A2123" i="1"/>
  <c r="E133" i="2"/>
  <c r="B1330" i="2"/>
  <c r="D1443" i="2"/>
  <c r="D728" i="2"/>
  <c r="F1718" i="2"/>
  <c r="D1066" i="2"/>
  <c r="D849" i="2"/>
  <c r="E754" i="2"/>
  <c r="B924" i="2"/>
  <c r="F1387" i="2"/>
  <c r="F1068" i="2"/>
  <c r="D140" i="2"/>
  <c r="D831" i="2"/>
  <c r="F618" i="2"/>
  <c r="E1877" i="2"/>
  <c r="C217" i="2"/>
  <c r="F1103" i="2"/>
  <c r="D1113" i="2"/>
  <c r="F1788" i="2"/>
  <c r="B1590" i="2"/>
  <c r="E817" i="2"/>
  <c r="D1831" i="2"/>
  <c r="D851" i="2"/>
  <c r="F1131" i="2"/>
  <c r="D630" i="2"/>
  <c r="F1495" i="2"/>
  <c r="B850" i="2"/>
  <c r="C715" i="2"/>
  <c r="C627" i="2"/>
  <c r="D273" i="2"/>
  <c r="B926" i="2"/>
  <c r="F2428" i="1"/>
  <c r="E2102" i="1"/>
  <c r="C210" i="2"/>
  <c r="E269" i="2"/>
  <c r="F330" i="2"/>
  <c r="D906" i="2"/>
  <c r="E580" i="2"/>
  <c r="E149" i="2"/>
  <c r="F1945" i="2"/>
  <c r="B1971" i="2"/>
  <c r="D639" i="2"/>
  <c r="C1850" i="2"/>
  <c r="E1246" i="2"/>
  <c r="F439" i="2"/>
  <c r="F2217" i="1"/>
  <c r="E41" i="2"/>
  <c r="D2036" i="1"/>
  <c r="E305" i="2"/>
  <c r="E1456" i="2"/>
  <c r="E1410" i="2"/>
  <c r="E1365" i="2"/>
  <c r="F247" i="2"/>
  <c r="C450" i="2"/>
  <c r="D166" i="2"/>
  <c r="F1120" i="2"/>
  <c r="F2502" i="1"/>
  <c r="C1959" i="1"/>
  <c r="C2210" i="1"/>
  <c r="D747" i="2"/>
  <c r="B836" i="2"/>
  <c r="C1143" i="2"/>
  <c r="E1127" i="2"/>
  <c r="B751" i="2"/>
  <c r="F1723" i="2"/>
  <c r="F1168" i="2"/>
  <c r="E1577" i="2"/>
  <c r="F902" i="2"/>
  <c r="E876" i="2"/>
  <c r="C199" i="2"/>
  <c r="E2360" i="1"/>
  <c r="B2057" i="1"/>
  <c r="F417" i="2"/>
  <c r="E304" i="2"/>
  <c r="E691" i="2"/>
  <c r="F476" i="2"/>
  <c r="E2434" i="1"/>
  <c r="E1061" i="2"/>
  <c r="B427" i="2"/>
  <c r="D950" i="2"/>
  <c r="C553" i="2"/>
  <c r="A2152" i="1"/>
  <c r="C2131" i="1"/>
  <c r="F849" i="2"/>
  <c r="F697" i="2"/>
  <c r="C854" i="2"/>
  <c r="B1776" i="2"/>
  <c r="D313" i="2"/>
  <c r="F1293" i="2"/>
  <c r="B586" i="2"/>
  <c r="D2099" i="1"/>
  <c r="D158" i="2"/>
  <c r="B1142" i="2"/>
  <c r="C497" i="2"/>
  <c r="A2262" i="1"/>
  <c r="D1808" i="1"/>
  <c r="D2480" i="1"/>
  <c r="F2287" i="1"/>
  <c r="B2082" i="2"/>
  <c r="E1016" i="2"/>
  <c r="B119" i="2"/>
  <c r="D2350" i="1"/>
  <c r="C644" i="2"/>
  <c r="D1312" i="2"/>
  <c r="C257" i="2"/>
  <c r="E1134" i="2"/>
  <c r="F491" i="2"/>
  <c r="F610" i="2"/>
  <c r="C2176" i="1"/>
  <c r="A2001" i="1"/>
  <c r="C862" i="2"/>
  <c r="B1508" i="2"/>
  <c r="D676" i="2"/>
  <c r="D57" i="2"/>
  <c r="E595" i="2"/>
  <c r="F2267" i="1"/>
  <c r="C744" i="2"/>
  <c r="C2360" i="1"/>
  <c r="B1152" i="2"/>
  <c r="E992" i="2"/>
  <c r="C568" i="2"/>
  <c r="B465" i="2"/>
  <c r="D2493" i="1"/>
  <c r="D96" i="2"/>
  <c r="C1061" i="2"/>
  <c r="E1980" i="1"/>
  <c r="B2309" i="1"/>
  <c r="E2192" i="1"/>
  <c r="E435" i="2"/>
  <c r="A2222" i="1"/>
  <c r="D1645" i="2"/>
  <c r="E492" i="2"/>
  <c r="B2470" i="1"/>
  <c r="C2200" i="1"/>
  <c r="B63" i="2"/>
  <c r="D2156" i="1"/>
  <c r="C72" i="2"/>
  <c r="C2208" i="1"/>
  <c r="E2266" i="1"/>
  <c r="B388" i="2"/>
  <c r="B2177" i="1"/>
  <c r="A1742" i="1"/>
  <c r="E1675" i="1"/>
  <c r="D1718" i="2"/>
  <c r="C1032" i="2"/>
  <c r="D1206" i="2"/>
  <c r="E62" i="2"/>
  <c r="E955" i="2"/>
  <c r="C902" i="2"/>
  <c r="D968" i="2"/>
  <c r="D607" i="2"/>
  <c r="F1105" i="2"/>
  <c r="E427" i="2"/>
  <c r="C628" i="2"/>
  <c r="F363" i="2"/>
  <c r="B319" i="2"/>
  <c r="F711" i="2"/>
  <c r="D317" i="2"/>
  <c r="D671" i="2"/>
  <c r="E966" i="2"/>
  <c r="F63" i="2"/>
  <c r="E50" i="2"/>
  <c r="C936" i="2"/>
  <c r="F448" i="2"/>
  <c r="D611" i="2"/>
  <c r="D2272" i="1"/>
  <c r="D695" i="2"/>
  <c r="D115" i="2"/>
  <c r="B800" i="2"/>
  <c r="B2138" i="1"/>
  <c r="E55" i="2"/>
  <c r="D1840" i="1"/>
  <c r="D2031" i="1"/>
  <c r="F570" i="2"/>
  <c r="F258" i="2"/>
  <c r="C2266" i="1"/>
  <c r="B242" i="2"/>
  <c r="D1572" i="1"/>
  <c r="B947" i="2"/>
  <c r="E1708" i="2"/>
  <c r="E1283" i="2"/>
  <c r="E2095" i="1"/>
  <c r="D2168" i="1"/>
  <c r="D1752" i="1"/>
  <c r="E145" i="2"/>
  <c r="A2507" i="1"/>
  <c r="B749" i="2"/>
  <c r="C2443" i="1"/>
  <c r="B113" i="2"/>
  <c r="D45" i="2"/>
  <c r="E2421" i="1"/>
  <c r="F92" i="2"/>
  <c r="B692" i="2"/>
  <c r="E1495" i="1"/>
  <c r="D1420" i="2"/>
  <c r="F283" i="2"/>
  <c r="C2286" i="1"/>
  <c r="E2359" i="1"/>
  <c r="C2294" i="1"/>
  <c r="A1701" i="1"/>
  <c r="A1822" i="1"/>
  <c r="B2317" i="1"/>
  <c r="D1970" i="1"/>
  <c r="D929" i="2"/>
  <c r="B745" i="2"/>
  <c r="B2175" i="1"/>
  <c r="B972" i="2"/>
  <c r="C411" i="2"/>
  <c r="D2406" i="1"/>
  <c r="D807" i="1"/>
  <c r="D1049" i="1"/>
  <c r="E556" i="2"/>
  <c r="E1750" i="1"/>
  <c r="C2179" i="1"/>
  <c r="F2372" i="1"/>
  <c r="E1001" i="2"/>
  <c r="D445" i="2"/>
  <c r="A1715" i="1"/>
  <c r="E157" i="2"/>
  <c r="B123" i="2"/>
  <c r="B301" i="2"/>
  <c r="C470" i="2"/>
  <c r="B1920" i="2"/>
  <c r="B852" i="2"/>
  <c r="E873" i="2"/>
  <c r="A2339" i="1"/>
  <c r="D958" i="2"/>
  <c r="B588" i="2"/>
  <c r="E146" i="2"/>
  <c r="C281" i="2"/>
  <c r="B914" i="2"/>
  <c r="E2299" i="1"/>
  <c r="C395" i="2"/>
  <c r="F1118" i="2"/>
  <c r="B487" i="2"/>
  <c r="A1862" i="1"/>
  <c r="F1297" i="2"/>
  <c r="A2238" i="1"/>
  <c r="C176" i="2"/>
  <c r="C1813" i="1"/>
  <c r="A1885" i="1"/>
  <c r="D1691" i="1"/>
  <c r="C296" i="2"/>
  <c r="E2497" i="1"/>
  <c r="E420" i="2"/>
  <c r="B1955" i="1"/>
  <c r="B2020" i="1"/>
  <c r="B709" i="2"/>
  <c r="F93" i="2"/>
  <c r="D1965" i="1"/>
  <c r="D211" i="2"/>
  <c r="A2229" i="1"/>
  <c r="C2234" i="1"/>
  <c r="F2465" i="1"/>
  <c r="B2165" i="1"/>
  <c r="F1844" i="1"/>
  <c r="F2063" i="1"/>
  <c r="C1316" i="1"/>
  <c r="F761" i="2"/>
  <c r="C641" i="2"/>
  <c r="D654" i="2"/>
  <c r="E2214" i="1"/>
  <c r="B2043" i="1"/>
  <c r="A1727" i="1"/>
  <c r="B1526" i="1"/>
  <c r="C1992" i="1"/>
  <c r="C241" i="2"/>
  <c r="C1897" i="1"/>
  <c r="C1047" i="1"/>
  <c r="F1631" i="1"/>
  <c r="E440" i="2"/>
  <c r="D1030" i="2"/>
  <c r="D2275" i="1"/>
  <c r="B1114" i="1"/>
  <c r="E1439" i="1"/>
  <c r="E376" i="2"/>
  <c r="B829" i="2"/>
  <c r="A2396" i="1"/>
  <c r="D581" i="2"/>
  <c r="E2334" i="1"/>
  <c r="C695" i="2"/>
  <c r="A1717" i="1"/>
  <c r="B2486" i="1"/>
  <c r="B2250" i="1"/>
  <c r="B1908" i="1"/>
  <c r="A2407" i="1"/>
  <c r="D1637" i="2"/>
  <c r="F195" i="2"/>
  <c r="D784" i="2"/>
  <c r="F1080" i="2"/>
  <c r="F1113" i="2"/>
  <c r="D526" i="2"/>
  <c r="B1666" i="2"/>
  <c r="E568" i="2"/>
  <c r="B809" i="2"/>
  <c r="B945" i="2"/>
  <c r="C801" i="2"/>
  <c r="B1035" i="2"/>
  <c r="C10" i="2"/>
  <c r="E43" i="2"/>
  <c r="B551" i="2"/>
  <c r="F56" i="2"/>
  <c r="C2025" i="1"/>
  <c r="E1596" i="2"/>
  <c r="C197" i="2"/>
  <c r="C1461" i="2"/>
  <c r="E428" i="2"/>
  <c r="E550" i="2"/>
  <c r="F2399" i="1"/>
  <c r="C93" i="2"/>
  <c r="E72" i="2"/>
  <c r="E260" i="2"/>
  <c r="D573" i="2"/>
  <c r="B617" i="2"/>
  <c r="F2296" i="1"/>
  <c r="E1346" i="2"/>
  <c r="E1209" i="2"/>
  <c r="B1027" i="2"/>
  <c r="C2502" i="1"/>
  <c r="B777" i="2"/>
  <c r="F1104" i="2"/>
  <c r="B679" i="2"/>
  <c r="E283" i="2"/>
  <c r="F242" i="2"/>
  <c r="C103" i="2"/>
  <c r="B975" i="2"/>
  <c r="E327" i="2"/>
  <c r="F2199" i="1"/>
  <c r="C437" i="2"/>
  <c r="D2219" i="1"/>
  <c r="D1268" i="2"/>
  <c r="E1590" i="2"/>
  <c r="E11" i="2"/>
  <c r="D706" i="2"/>
  <c r="E131" i="2"/>
  <c r="F1800" i="1"/>
  <c r="F1861" i="1"/>
  <c r="E42" i="2"/>
  <c r="C1109" i="2"/>
  <c r="D439" i="2"/>
  <c r="D598" i="2"/>
  <c r="C408" i="2"/>
  <c r="C1259" i="2"/>
  <c r="E312" i="2"/>
  <c r="F107" i="2"/>
  <c r="F51" i="2"/>
  <c r="D1231" i="2"/>
  <c r="C2379" i="1"/>
  <c r="E2153" i="1"/>
  <c r="C952" i="2"/>
  <c r="B1976" i="1"/>
  <c r="C1547" i="1"/>
  <c r="E1030" i="2"/>
  <c r="E235" i="2"/>
  <c r="D238" i="2"/>
  <c r="C764" i="2"/>
  <c r="B908" i="2"/>
  <c r="C1577" i="2"/>
  <c r="A2082" i="1"/>
  <c r="D1548" i="2"/>
  <c r="F1610" i="2"/>
  <c r="D682" i="2"/>
  <c r="C31" i="2"/>
  <c r="E2326" i="1"/>
  <c r="C855" i="2"/>
  <c r="D1012" i="2"/>
  <c r="B854" i="2"/>
  <c r="F214" i="2"/>
  <c r="B897" i="2"/>
  <c r="B2063" i="1"/>
  <c r="F891" i="2"/>
  <c r="B2349" i="1"/>
  <c r="E2056" i="2"/>
  <c r="B1137" i="2"/>
  <c r="D615" i="2"/>
  <c r="A2453" i="1"/>
  <c r="E1374" i="2"/>
  <c r="F1041" i="2"/>
  <c r="F886" i="2"/>
  <c r="B827" i="2"/>
  <c r="C254" i="2"/>
  <c r="B2367" i="1"/>
  <c r="F499" i="2"/>
  <c r="A1877" i="1"/>
  <c r="E1947" i="2"/>
  <c r="E92" i="2"/>
  <c r="B1106" i="2"/>
  <c r="F80" i="2"/>
  <c r="E379" i="2"/>
  <c r="C486" i="2"/>
  <c r="B961" i="2"/>
  <c r="C1203" i="2"/>
  <c r="B2156" i="1"/>
  <c r="D2278" i="1"/>
  <c r="C1865" i="1"/>
  <c r="F1779" i="1"/>
  <c r="B2504" i="1"/>
  <c r="C1875" i="2"/>
  <c r="F688" i="2"/>
  <c r="E1886" i="2"/>
  <c r="C4" i="2"/>
  <c r="E1453" i="2"/>
  <c r="B825" i="2"/>
  <c r="B1744" i="2"/>
  <c r="E803" i="2"/>
  <c r="B330" i="2"/>
  <c r="E2418" i="1"/>
  <c r="E906" i="2"/>
  <c r="F1309" i="2"/>
  <c r="C181" i="2"/>
  <c r="C444" i="2"/>
  <c r="D369" i="2"/>
  <c r="F1451" i="2"/>
  <c r="E1238" i="2"/>
  <c r="B1442" i="2"/>
  <c r="C226" i="2"/>
  <c r="C288" i="2"/>
  <c r="D41" i="2"/>
  <c r="D1750" i="2"/>
  <c r="C624" i="2"/>
  <c r="C140" i="2"/>
  <c r="A2148" i="1"/>
  <c r="C2357" i="1"/>
  <c r="F948" i="2"/>
  <c r="F2462" i="1"/>
  <c r="E1919" i="1"/>
  <c r="C1534" i="1"/>
  <c r="D2488" i="1"/>
  <c r="F2032" i="1"/>
  <c r="F33" i="2"/>
  <c r="F1918" i="1"/>
  <c r="B2281" i="1"/>
  <c r="D438" i="2"/>
  <c r="C803" i="2"/>
  <c r="F2504" i="1"/>
  <c r="A2169" i="1"/>
  <c r="A1964" i="1"/>
  <c r="B2205" i="1"/>
  <c r="E2510" i="1"/>
  <c r="F1664" i="1"/>
  <c r="A2491" i="1"/>
  <c r="E2351" i="1"/>
  <c r="D1025" i="2"/>
  <c r="F626" i="2"/>
  <c r="F538" i="2"/>
  <c r="D10" i="2"/>
  <c r="D2342" i="1"/>
  <c r="A2053" i="1"/>
  <c r="C851" i="2"/>
  <c r="C2437" i="1"/>
  <c r="E373" i="2"/>
  <c r="B352" i="2"/>
  <c r="B2173" i="1"/>
  <c r="E1955" i="1"/>
  <c r="E2223" i="1"/>
  <c r="E89" i="2"/>
  <c r="C2273" i="1"/>
  <c r="F2075" i="1"/>
  <c r="C2499" i="1"/>
  <c r="C1188" i="1"/>
  <c r="D2409" i="1"/>
  <c r="D2057" i="1"/>
  <c r="F1971" i="1"/>
  <c r="E874" i="1"/>
  <c r="A1985" i="1"/>
  <c r="F1663" i="2"/>
  <c r="B379" i="2"/>
  <c r="E1609" i="1"/>
  <c r="D2371" i="1"/>
  <c r="E1728" i="1"/>
  <c r="F1014" i="2"/>
  <c r="C2237" i="1"/>
  <c r="B2268" i="1"/>
  <c r="B785" i="2"/>
  <c r="D1457" i="1"/>
  <c r="F1904" i="1"/>
  <c r="E1525" i="2"/>
  <c r="D507" i="2"/>
  <c r="F1039" i="2"/>
  <c r="B258" i="2"/>
  <c r="C1023" i="2"/>
  <c r="F423" i="2"/>
  <c r="F1225" i="2"/>
  <c r="B1189" i="2"/>
  <c r="A2162" i="1"/>
  <c r="B97" i="2"/>
  <c r="E370" i="2"/>
  <c r="D2430" i="1"/>
  <c r="E5" i="2"/>
  <c r="A2366" i="1"/>
  <c r="A1993" i="1"/>
  <c r="C320" i="2"/>
  <c r="A1653" i="1"/>
  <c r="B184" i="2"/>
  <c r="A1890" i="1"/>
  <c r="F2455" i="1"/>
  <c r="D8" i="2"/>
  <c r="C2223" i="1"/>
  <c r="E2292" i="1"/>
  <c r="E2050" i="1"/>
  <c r="D1511" i="1"/>
  <c r="F532" i="2"/>
  <c r="D2094" i="1"/>
  <c r="C1839" i="1"/>
  <c r="F580" i="2"/>
  <c r="D51" i="2"/>
  <c r="C858" i="2"/>
  <c r="A2266" i="1"/>
  <c r="C182" i="2"/>
  <c r="C1962" i="1"/>
  <c r="B2251" i="1"/>
  <c r="C1818" i="1"/>
  <c r="B652" i="2"/>
  <c r="A2479" i="1"/>
  <c r="B20" i="2"/>
  <c r="E1625" i="1"/>
  <c r="F1784" i="1"/>
  <c r="C1350" i="1"/>
  <c r="D1910" i="1"/>
  <c r="D2307" i="1"/>
  <c r="F2429" i="1"/>
  <c r="F1809" i="1"/>
  <c r="E1230" i="1"/>
  <c r="E915" i="1"/>
  <c r="B2369" i="1"/>
  <c r="A2151" i="1"/>
  <c r="A2289" i="1"/>
  <c r="E2432" i="1"/>
  <c r="F2450" i="1"/>
  <c r="B2374" i="1"/>
  <c r="B10" i="2"/>
  <c r="F1987" i="1"/>
  <c r="B414" i="2"/>
  <c r="F540" i="2"/>
  <c r="B2048" i="1"/>
  <c r="B2201" i="1"/>
  <c r="A1818" i="1"/>
  <c r="F2506" i="1"/>
  <c r="C2411" i="1"/>
  <c r="F2254" i="1"/>
  <c r="C1500" i="2"/>
  <c r="D1102" i="2"/>
  <c r="B1441" i="2"/>
  <c r="D514" i="2"/>
  <c r="F459" i="2"/>
  <c r="D203" i="2"/>
  <c r="E1018" i="2"/>
  <c r="B1383" i="2"/>
  <c r="E783" i="2"/>
  <c r="B508" i="2"/>
  <c r="D912" i="2"/>
  <c r="B59" i="2"/>
  <c r="D76" i="2"/>
  <c r="D2367" i="1"/>
  <c r="D723" i="2"/>
  <c r="F1895" i="1"/>
  <c r="D673" i="2"/>
  <c r="F1137" i="2"/>
  <c r="B153" i="2"/>
  <c r="F895" i="2"/>
  <c r="B244" i="2"/>
  <c r="E218" i="2"/>
  <c r="D119" i="2"/>
  <c r="B118" i="2"/>
  <c r="C456" i="2"/>
  <c r="C263" i="2"/>
  <c r="E950" i="2"/>
  <c r="B1971" i="1"/>
  <c r="B1321" i="2"/>
  <c r="E910" i="2"/>
  <c r="E1162" i="2"/>
  <c r="B1569" i="2"/>
  <c r="D991" i="2"/>
  <c r="E1089" i="2"/>
  <c r="F716" i="2"/>
  <c r="D18" i="2"/>
  <c r="B1255" i="2"/>
  <c r="C907" i="2"/>
  <c r="F2424" i="1"/>
  <c r="B1072" i="2"/>
  <c r="E193" i="2"/>
  <c r="C464" i="2"/>
  <c r="B463" i="2"/>
  <c r="D1253" i="2"/>
  <c r="F404" i="2"/>
  <c r="D401" i="2"/>
  <c r="A2215" i="1"/>
  <c r="D240" i="2"/>
  <c r="C2128" i="1"/>
  <c r="D148" i="2"/>
  <c r="B1390" i="1"/>
  <c r="F379" i="2"/>
  <c r="C815" i="2"/>
  <c r="E878" i="2"/>
  <c r="B482" i="2"/>
  <c r="D1018" i="2"/>
  <c r="E632" i="2"/>
  <c r="D7" i="2"/>
  <c r="B645" i="2"/>
  <c r="C158" i="2"/>
  <c r="E347" i="2"/>
  <c r="C2243" i="1"/>
  <c r="E434" i="2"/>
  <c r="B275" i="2"/>
  <c r="A1753" i="1"/>
  <c r="A2290" i="1"/>
  <c r="D1537" i="2"/>
  <c r="B436" i="2"/>
  <c r="C1171" i="2"/>
  <c r="E751" i="2"/>
  <c r="C1386" i="2"/>
  <c r="E586" i="2"/>
  <c r="C2296" i="1"/>
  <c r="F551" i="2"/>
  <c r="C1112" i="2"/>
  <c r="E13" i="2"/>
  <c r="F567" i="2"/>
  <c r="C1141" i="2"/>
  <c r="D2485" i="1"/>
  <c r="B461" i="2"/>
  <c r="B594" i="2"/>
  <c r="E105" i="2"/>
  <c r="D2438" i="1"/>
  <c r="F400" i="2"/>
  <c r="B2370" i="1"/>
  <c r="B1721" i="2"/>
  <c r="B1839" i="2"/>
  <c r="D1028" i="2"/>
  <c r="E2277" i="1"/>
  <c r="B502" i="2"/>
  <c r="F97" i="2"/>
  <c r="C329" i="2"/>
  <c r="B1997" i="2"/>
  <c r="F57" i="2"/>
  <c r="F1515" i="2"/>
  <c r="C286" i="2"/>
  <c r="E454" i="2"/>
  <c r="C2304" i="1"/>
  <c r="C798" i="2"/>
  <c r="C262" i="2"/>
  <c r="D1067" i="2"/>
  <c r="C1119" i="2"/>
  <c r="A1946" i="1"/>
  <c r="D2172" i="1"/>
  <c r="F1485" i="1"/>
  <c r="C2399" i="1"/>
  <c r="B893" i="2"/>
  <c r="E491" i="2"/>
  <c r="D2354" i="1"/>
  <c r="B1918" i="1"/>
  <c r="F2473" i="2"/>
  <c r="B1431" i="2"/>
  <c r="C1352" i="2"/>
  <c r="C1022" i="2"/>
  <c r="E881" i="2"/>
  <c r="C741" i="2"/>
  <c r="C693" i="2"/>
  <c r="B794" i="2"/>
  <c r="E60" i="2"/>
  <c r="D75" i="2"/>
  <c r="F790" i="2"/>
  <c r="B87" i="2"/>
  <c r="D910" i="2"/>
  <c r="E599" i="2"/>
  <c r="E863" i="2"/>
  <c r="E473" i="2"/>
  <c r="B2033" i="2"/>
  <c r="F1234" i="2"/>
  <c r="E763" i="2"/>
  <c r="C173" i="2"/>
  <c r="F660" i="2"/>
  <c r="C959" i="2"/>
  <c r="D1124" i="2"/>
  <c r="D610" i="2"/>
  <c r="A2383" i="1"/>
  <c r="F2313" i="1"/>
  <c r="A2071" i="1"/>
  <c r="F1095" i="2"/>
  <c r="D1255" i="2"/>
  <c r="F43" i="2"/>
  <c r="B485" i="2"/>
  <c r="C670" i="2"/>
  <c r="D543" i="2"/>
  <c r="E1830" i="1"/>
  <c r="C116" i="2"/>
  <c r="B1832" i="1"/>
  <c r="F1056" i="2"/>
  <c r="D1990" i="1"/>
  <c r="D172" i="2"/>
  <c r="F2114" i="1"/>
  <c r="E1551" i="1"/>
  <c r="A2301" i="1"/>
  <c r="A1997" i="1"/>
  <c r="F2513" i="1"/>
  <c r="D63" i="2"/>
  <c r="F1587" i="1"/>
  <c r="E1715" i="1"/>
  <c r="C233" i="2"/>
  <c r="E668" i="2"/>
  <c r="B1917" i="1"/>
  <c r="E2431" i="1"/>
  <c r="F1623" i="1"/>
  <c r="F469" i="2"/>
  <c r="A2300" i="1"/>
  <c r="A1834" i="1"/>
  <c r="B1730" i="1"/>
  <c r="B1368" i="1"/>
  <c r="C1078" i="1"/>
  <c r="B2024" i="1"/>
  <c r="A920" i="1"/>
  <c r="E2276" i="1"/>
  <c r="F728" i="2"/>
  <c r="A1426" i="1"/>
  <c r="D793" i="1"/>
  <c r="E2252" i="1"/>
  <c r="D327" i="2"/>
  <c r="D426" i="2"/>
  <c r="D239" i="2"/>
  <c r="B1960" i="1"/>
  <c r="E296" i="2"/>
  <c r="E978" i="2"/>
  <c r="D1730" i="1"/>
  <c r="F2178" i="1"/>
  <c r="B1989" i="1"/>
  <c r="B2456" i="1"/>
  <c r="F82" i="2"/>
  <c r="B2198" i="1"/>
  <c r="C2311" i="1"/>
  <c r="C1825" i="1"/>
  <c r="D1738" i="1"/>
  <c r="B2128" i="2"/>
  <c r="D1574" i="2"/>
  <c r="D635" i="2"/>
  <c r="C570" i="2"/>
  <c r="D73" i="2"/>
  <c r="E170" i="2"/>
  <c r="F233" i="2"/>
  <c r="F1957" i="2"/>
  <c r="E784" i="2"/>
  <c r="D284" i="2"/>
  <c r="D2266" i="1"/>
  <c r="D996" i="2"/>
  <c r="C478" i="2"/>
  <c r="B167" i="2"/>
  <c r="D551" i="2"/>
  <c r="C1583" i="2"/>
  <c r="B415" i="2"/>
  <c r="C2244" i="1"/>
  <c r="F1874" i="1"/>
  <c r="B2108" i="1"/>
  <c r="D1013" i="2"/>
  <c r="C1951" i="1"/>
  <c r="D2348" i="1"/>
  <c r="D647" i="2"/>
  <c r="C2110" i="1"/>
  <c r="E2241" i="1"/>
  <c r="D1916" i="1"/>
  <c r="A1921" i="1"/>
  <c r="E731" i="2"/>
  <c r="A1835" i="1"/>
  <c r="D1562" i="1"/>
  <c r="B1880" i="1"/>
  <c r="C2508" i="1"/>
  <c r="C1609" i="1"/>
  <c r="B479" i="2"/>
  <c r="A1875" i="1"/>
  <c r="C2300" i="1"/>
  <c r="F825" i="2"/>
  <c r="F2312" i="1"/>
  <c r="C1305" i="1"/>
  <c r="F1256" i="1"/>
  <c r="E813" i="1"/>
  <c r="E1992" i="1"/>
  <c r="C1044" i="1"/>
  <c r="D2244" i="1"/>
  <c r="F1713" i="1"/>
  <c r="E53" i="2"/>
  <c r="C1172" i="1"/>
  <c r="F943" i="2"/>
  <c r="C368" i="2"/>
  <c r="B1411" i="1"/>
  <c r="E1821" i="1"/>
  <c r="F226" i="2"/>
  <c r="C415" i="2"/>
  <c r="D644" i="2"/>
  <c r="D2411" i="1"/>
  <c r="B514" i="2"/>
  <c r="C2006" i="1"/>
  <c r="E311" i="2"/>
  <c r="F2035" i="1"/>
  <c r="A2134" i="1"/>
  <c r="C667" i="2"/>
  <c r="E2212" i="1"/>
  <c r="D1438" i="1"/>
  <c r="F1822" i="2"/>
  <c r="F53" i="2"/>
  <c r="E538" i="2"/>
  <c r="C977" i="2"/>
  <c r="B958" i="2"/>
  <c r="B128" i="2"/>
  <c r="D1175" i="2"/>
  <c r="F1465" i="2"/>
  <c r="D737" i="2"/>
  <c r="F1072" i="2"/>
  <c r="B1197" i="2"/>
  <c r="F1132" i="2"/>
  <c r="F2407" i="1"/>
  <c r="C347" i="2"/>
  <c r="F119" i="2"/>
  <c r="F81" i="2"/>
  <c r="E1697" i="1"/>
  <c r="B2181" i="1"/>
  <c r="D1137" i="2"/>
  <c r="C1467" i="2"/>
  <c r="D373" i="2"/>
  <c r="E2436" i="1"/>
  <c r="F87" i="2"/>
  <c r="C2383" i="1"/>
  <c r="F1178" i="2"/>
  <c r="C1245" i="2"/>
  <c r="C164" i="2"/>
  <c r="E476" i="2"/>
  <c r="C638" i="2"/>
  <c r="D2423" i="2"/>
  <c r="D1093" i="2"/>
  <c r="E886" i="2"/>
  <c r="F1106" i="2"/>
  <c r="F352" i="2"/>
  <c r="E1064" i="2"/>
  <c r="B149" i="2"/>
  <c r="D367" i="2"/>
  <c r="D809" i="2"/>
  <c r="F105" i="2"/>
  <c r="F2282" i="1"/>
  <c r="D592" i="2"/>
  <c r="E799" i="2"/>
  <c r="B2109" i="1"/>
  <c r="D23" i="2"/>
  <c r="C557" i="2"/>
  <c r="F2479" i="1"/>
  <c r="B657" i="2"/>
  <c r="B513" i="2"/>
  <c r="C363" i="2"/>
  <c r="C2487" i="1"/>
  <c r="A1920" i="1"/>
  <c r="A2375" i="1"/>
  <c r="A2471" i="1"/>
  <c r="C1159" i="2"/>
  <c r="E918" i="2"/>
  <c r="C448" i="2"/>
  <c r="E1536" i="2"/>
  <c r="E1617" i="2"/>
  <c r="F11" i="2"/>
  <c r="C2021" i="1"/>
  <c r="D116" i="2"/>
  <c r="D32" i="2"/>
  <c r="F2505" i="1"/>
  <c r="E1319" i="2"/>
  <c r="C585" i="2"/>
  <c r="E2026" i="1"/>
  <c r="B201" i="2"/>
  <c r="E1003" i="2"/>
  <c r="F2387" i="1"/>
  <c r="C55" i="2"/>
  <c r="F2435" i="1"/>
  <c r="C1466" i="2"/>
  <c r="C25" i="2"/>
  <c r="D2144" i="2"/>
  <c r="B1292" i="2"/>
  <c r="C343" i="2"/>
  <c r="E604" i="2"/>
  <c r="C823" i="2"/>
  <c r="F235" i="2"/>
  <c r="F837" i="2"/>
  <c r="C352" i="2"/>
  <c r="D183" i="2"/>
  <c r="F2327" i="1"/>
  <c r="C1227" i="2"/>
  <c r="E2202" i="1"/>
  <c r="B489" i="2"/>
  <c r="B1651" i="2"/>
  <c r="A2322" i="1"/>
  <c r="C750" i="2"/>
  <c r="B1958" i="2"/>
  <c r="D168" i="2"/>
  <c r="B1877" i="2"/>
  <c r="B1180" i="2"/>
  <c r="E111" i="2"/>
  <c r="D136" i="2"/>
  <c r="D536" i="2"/>
  <c r="C731" i="2"/>
  <c r="F1320" i="2"/>
  <c r="B568" i="2"/>
  <c r="D19" i="2"/>
  <c r="D277" i="2"/>
  <c r="E800" i="2"/>
  <c r="B446" i="2"/>
  <c r="C1511" i="1"/>
  <c r="B609" i="2"/>
  <c r="F95" i="2"/>
  <c r="E248" i="2"/>
  <c r="B178" i="2"/>
  <c r="F2005" i="1"/>
  <c r="B619" i="2"/>
  <c r="B613" i="2"/>
  <c r="F1923" i="2"/>
  <c r="C1437" i="2"/>
  <c r="D665" i="2"/>
  <c r="F1360" i="2"/>
  <c r="B653" i="2"/>
  <c r="B623" i="2"/>
  <c r="D895" i="2"/>
  <c r="B467" i="2"/>
  <c r="D613" i="2"/>
  <c r="D310" i="2"/>
  <c r="D836" i="2"/>
  <c r="E431" i="2"/>
  <c r="C1342" i="2"/>
  <c r="D1065" i="2"/>
  <c r="C1586" i="2"/>
  <c r="C904" i="2"/>
  <c r="D1662" i="2"/>
  <c r="E844" i="2"/>
  <c r="D628" i="2"/>
  <c r="F708" i="2"/>
  <c r="B2477" i="1"/>
  <c r="E821" i="2"/>
  <c r="F497" i="2"/>
  <c r="E2036" i="1"/>
  <c r="F218" i="2"/>
  <c r="D935" i="2"/>
  <c r="E452" i="2"/>
  <c r="C1125" i="2"/>
  <c r="B260" i="2"/>
  <c r="D474" i="2"/>
  <c r="F2115" i="1"/>
  <c r="B477" i="2"/>
  <c r="B1983" i="1"/>
  <c r="C1965" i="1"/>
  <c r="E2450" i="1"/>
  <c r="D2234" i="1"/>
  <c r="C1505" i="2"/>
  <c r="D777" i="2"/>
  <c r="D508" i="2"/>
  <c r="D473" i="2"/>
  <c r="D220" i="2"/>
  <c r="E1306" i="2"/>
  <c r="B2179" i="1"/>
  <c r="D1538" i="1"/>
  <c r="D98" i="2"/>
  <c r="C1093" i="2"/>
  <c r="C1047" i="2"/>
  <c r="E207" i="2"/>
  <c r="B428" i="2"/>
  <c r="B2313" i="1"/>
  <c r="F2120" i="1"/>
  <c r="C1707" i="1"/>
  <c r="C2324" i="1"/>
  <c r="F2218" i="1"/>
  <c r="E1113" i="2"/>
  <c r="B663" i="2"/>
  <c r="D71" i="2"/>
  <c r="E2449" i="1"/>
  <c r="F2443" i="1"/>
  <c r="D2229" i="1"/>
  <c r="B245" i="2"/>
  <c r="E554" i="2"/>
  <c r="E1601" i="1"/>
  <c r="E2027" i="1"/>
  <c r="C39" i="2"/>
  <c r="F1697" i="1"/>
  <c r="D202" i="2"/>
  <c r="B2081" i="1"/>
  <c r="B40" i="2"/>
  <c r="D2346" i="1"/>
  <c r="A1446" i="1"/>
  <c r="B2060" i="1"/>
  <c r="C2374" i="1"/>
  <c r="C5" i="2"/>
  <c r="F301" i="2"/>
  <c r="D2123" i="1"/>
  <c r="D1801" i="1"/>
  <c r="D824" i="2"/>
  <c r="F27" i="2"/>
  <c r="F232" i="2"/>
  <c r="D2032" i="2"/>
  <c r="B1130" i="2"/>
  <c r="D314" i="2"/>
  <c r="F1069" i="2"/>
  <c r="E1193" i="2"/>
  <c r="C41" i="2"/>
  <c r="C897" i="2"/>
  <c r="E1035" i="2"/>
  <c r="C1362" i="2"/>
  <c r="D309" i="2"/>
  <c r="E205" i="2"/>
  <c r="F49" i="2"/>
  <c r="C428" i="2"/>
  <c r="B721" i="2"/>
  <c r="D1914" i="1"/>
  <c r="E2440" i="1"/>
  <c r="F792" i="2"/>
  <c r="E1699" i="1"/>
  <c r="F2333" i="1"/>
  <c r="E2408" i="1"/>
  <c r="C799" i="2"/>
  <c r="E2448" i="1"/>
  <c r="C15" i="2"/>
  <c r="C2440" i="1"/>
  <c r="C301" i="2"/>
  <c r="E386" i="2"/>
  <c r="B1852" i="1"/>
  <c r="A1879" i="1"/>
  <c r="B316" i="2"/>
  <c r="A2377" i="1"/>
  <c r="F530" i="2"/>
  <c r="E453" i="2"/>
  <c r="A2362" i="1"/>
  <c r="C439" i="2"/>
  <c r="D1287" i="1"/>
  <c r="D91" i="2"/>
  <c r="A2307" i="1"/>
  <c r="D164" i="2"/>
  <c r="E1931" i="1"/>
  <c r="D2451" i="1"/>
  <c r="B2111" i="1"/>
  <c r="D301" i="2"/>
  <c r="B2390" i="1"/>
  <c r="E1986" i="1"/>
  <c r="F864" i="2"/>
  <c r="C119" i="2"/>
  <c r="B335" i="2"/>
  <c r="E1636" i="1"/>
  <c r="A2357" i="1"/>
  <c r="C2095" i="1"/>
  <c r="C2390" i="1"/>
  <c r="C2320" i="1"/>
  <c r="F2003" i="1"/>
  <c r="D819" i="2"/>
  <c r="E2201" i="1"/>
  <c r="C1666" i="1"/>
  <c r="D785" i="2"/>
  <c r="D80" i="2"/>
  <c r="F2194" i="1"/>
  <c r="D1894" i="1"/>
  <c r="F2306" i="1"/>
  <c r="F1841" i="1"/>
  <c r="A1643" i="1"/>
  <c r="C2085" i="1"/>
  <c r="E1031" i="2"/>
  <c r="C1646" i="2"/>
  <c r="C463" i="2"/>
  <c r="C543" i="2"/>
  <c r="B1761" i="2"/>
  <c r="C756" i="2"/>
  <c r="C496" i="2"/>
  <c r="F323" i="2"/>
  <c r="F86" i="2"/>
  <c r="F493" i="2"/>
  <c r="C563" i="2"/>
  <c r="B2236" i="1"/>
  <c r="B348" i="2"/>
  <c r="F1822" i="1"/>
  <c r="F158" i="2"/>
  <c r="F146" i="2"/>
  <c r="B53" i="2"/>
  <c r="B2507" i="1"/>
  <c r="B1138" i="2"/>
  <c r="B236" i="2"/>
  <c r="F679" i="2"/>
  <c r="D412" i="2"/>
  <c r="F1270" i="2"/>
  <c r="F1368" i="2"/>
  <c r="F102" i="2"/>
  <c r="E899" i="2"/>
  <c r="F824" i="2"/>
  <c r="B1517" i="2"/>
  <c r="B2228" i="1"/>
  <c r="D505" i="2"/>
  <c r="C1700" i="2"/>
  <c r="E1630" i="2"/>
  <c r="B1572" i="2"/>
  <c r="D594" i="2"/>
  <c r="B1395" i="2"/>
  <c r="C960" i="2"/>
  <c r="D404" i="2"/>
  <c r="F1833" i="2"/>
  <c r="E811" i="2"/>
  <c r="D984" i="2"/>
  <c r="F447" i="2"/>
  <c r="F285" i="2"/>
  <c r="F779" i="2"/>
  <c r="E71" i="2"/>
  <c r="B54" i="2"/>
  <c r="B1271" i="2"/>
  <c r="C300" i="2"/>
  <c r="E828" i="2"/>
  <c r="D1344" i="2"/>
  <c r="C261" i="2"/>
  <c r="E2459" i="1"/>
  <c r="C69" i="2"/>
  <c r="E1353" i="2"/>
  <c r="C1869" i="2"/>
  <c r="E352" i="2"/>
  <c r="D1602" i="2"/>
  <c r="C442" i="2"/>
  <c r="E1417" i="2"/>
  <c r="C863" i="2"/>
  <c r="C1503" i="2"/>
  <c r="D1405" i="2"/>
  <c r="C2197" i="1"/>
  <c r="E612" i="2"/>
  <c r="F328" i="2"/>
  <c r="B2206" i="1"/>
  <c r="E2307" i="1"/>
  <c r="D2425" i="1"/>
  <c r="D675" i="2"/>
  <c r="D1777" i="2"/>
  <c r="E937" i="2"/>
  <c r="F501" i="2"/>
  <c r="E2076" i="2"/>
  <c r="E772" i="2"/>
  <c r="E1043" i="2"/>
  <c r="F1711" i="2"/>
  <c r="B281" i="2"/>
  <c r="F90" i="2"/>
  <c r="C1465" i="2"/>
  <c r="E190" i="2"/>
  <c r="E2389" i="1"/>
  <c r="D328" i="2"/>
  <c r="D2383" i="1"/>
  <c r="E106" i="2"/>
  <c r="F689" i="2"/>
  <c r="F778" i="2"/>
  <c r="C891" i="2"/>
  <c r="F2501" i="1"/>
  <c r="B1638" i="2"/>
  <c r="F786" i="2"/>
  <c r="E727" i="2"/>
  <c r="C76" i="2"/>
  <c r="B1122" i="2"/>
  <c r="B211" i="2"/>
  <c r="B730" i="2"/>
  <c r="B928" i="2"/>
  <c r="C2351" i="1"/>
  <c r="E4" i="2"/>
  <c r="C227" i="2"/>
  <c r="E786" i="2"/>
  <c r="A2344" i="1"/>
  <c r="F2446" i="1"/>
  <c r="D471" i="2"/>
  <c r="E2417" i="1"/>
  <c r="A2207" i="1"/>
  <c r="B1886" i="1"/>
  <c r="E1963" i="1"/>
  <c r="B1768" i="1"/>
  <c r="B295" i="2"/>
  <c r="B83" i="2"/>
  <c r="F1925" i="1"/>
  <c r="D1578" i="1"/>
  <c r="C2338" i="1"/>
  <c r="D1593" i="2"/>
  <c r="E1447" i="2"/>
  <c r="C748" i="2"/>
  <c r="D884" i="2"/>
  <c r="C376" i="2"/>
  <c r="F605" i="2"/>
  <c r="D963" i="2"/>
  <c r="E91" i="2"/>
  <c r="B403" i="2"/>
  <c r="B2475" i="1"/>
  <c r="B859" i="2"/>
  <c r="B591" i="2"/>
  <c r="E1103" i="2"/>
  <c r="B156" i="2"/>
  <c r="D1181" i="2"/>
  <c r="B1939" i="2"/>
  <c r="C130" i="2"/>
  <c r="E1854" i="2"/>
  <c r="E1047" i="2"/>
  <c r="E565" i="2"/>
  <c r="F2220" i="1"/>
  <c r="E833" i="2"/>
  <c r="F2384" i="1"/>
  <c r="C389" i="2"/>
  <c r="E1006" i="2"/>
  <c r="B2439" i="1"/>
  <c r="D2308" i="1"/>
  <c r="E2362" i="1"/>
  <c r="E1085" i="2"/>
  <c r="B2119" i="1"/>
  <c r="C353" i="2"/>
  <c r="F2366" i="1"/>
  <c r="F5" i="2"/>
  <c r="B1029" i="2"/>
  <c r="C1440" i="1"/>
  <c r="B2146" i="1"/>
  <c r="B2210" i="1"/>
  <c r="B1334" i="2"/>
  <c r="D1382" i="2"/>
  <c r="A2184" i="1"/>
  <c r="C1974" i="1"/>
  <c r="B88" i="2"/>
  <c r="C2227" i="1"/>
  <c r="E342" i="2"/>
  <c r="E2503" i="1"/>
  <c r="C2206" i="1"/>
  <c r="C599" i="2"/>
  <c r="E627" i="2"/>
  <c r="D707" i="2"/>
  <c r="B2303" i="1"/>
  <c r="B1909" i="1"/>
  <c r="B1825" i="2"/>
  <c r="C479" i="2"/>
  <c r="C2270" i="1"/>
  <c r="C2230" i="1"/>
  <c r="D2179" i="1"/>
  <c r="B2197" i="1"/>
  <c r="A1950" i="1"/>
  <c r="B2364" i="1"/>
  <c r="F1210" i="2"/>
  <c r="D2476" i="1"/>
  <c r="E584" i="2"/>
  <c r="B2130" i="1"/>
  <c r="F1879" i="1"/>
  <c r="D2164" i="1"/>
  <c r="D1825" i="1"/>
  <c r="A1724" i="1"/>
  <c r="E1645" i="1"/>
  <c r="F911" i="2"/>
  <c r="D911" i="2"/>
  <c r="C2027" i="1"/>
  <c r="B2483" i="1"/>
  <c r="F165" i="2"/>
  <c r="D413" i="2"/>
  <c r="F1813" i="1"/>
  <c r="B1859" i="1"/>
  <c r="C2408" i="1"/>
  <c r="E952" i="2"/>
  <c r="F1329" i="1"/>
  <c r="C1925" i="1"/>
  <c r="D444" i="2"/>
  <c r="E1383" i="2"/>
  <c r="D1279" i="2"/>
  <c r="D700" i="2"/>
  <c r="D739" i="2"/>
  <c r="E23" i="2"/>
  <c r="F519" i="2"/>
  <c r="E508" i="2"/>
  <c r="B199" i="2"/>
  <c r="F386" i="2"/>
  <c r="A2143" i="1"/>
  <c r="F796" i="2"/>
  <c r="E651" i="2"/>
  <c r="A2060" i="1"/>
  <c r="B431" i="2"/>
  <c r="C489" i="2"/>
  <c r="E692" i="2"/>
  <c r="A1565" i="1"/>
  <c r="E1973" i="1"/>
  <c r="C2102" i="1"/>
  <c r="B2366" i="1"/>
  <c r="A2430" i="1"/>
  <c r="B625" i="2"/>
  <c r="B1928" i="1"/>
  <c r="C2218" i="1"/>
  <c r="B520" i="2"/>
  <c r="F2343" i="1"/>
  <c r="D1555" i="2"/>
  <c r="B1178" i="2"/>
  <c r="E463" i="2"/>
  <c r="F40" i="2"/>
  <c r="E2244" i="1"/>
  <c r="D1883" i="1"/>
  <c r="C145" i="2"/>
  <c r="D1168" i="1"/>
  <c r="C1529" i="2"/>
  <c r="E264" i="2"/>
  <c r="E475" i="2"/>
  <c r="E2482" i="1"/>
  <c r="C1995" i="1"/>
  <c r="D1875" i="1"/>
  <c r="F2185" i="1"/>
  <c r="E2093" i="1"/>
  <c r="C1291" i="2"/>
  <c r="F75" i="2"/>
  <c r="F427" i="2"/>
  <c r="C1819" i="1"/>
  <c r="A1626" i="1"/>
  <c r="D147" i="2"/>
  <c r="C1869" i="1"/>
  <c r="C1557" i="1"/>
  <c r="A1497" i="1"/>
  <c r="F79" i="2"/>
  <c r="E735" i="2"/>
  <c r="F1567" i="1"/>
  <c r="D2187" i="1"/>
  <c r="E2384" i="1"/>
  <c r="B2056" i="1"/>
  <c r="D2069" i="1"/>
  <c r="B816" i="2"/>
  <c r="D2032" i="1"/>
  <c r="C929" i="2"/>
  <c r="E2045" i="1"/>
  <c r="C2" i="2"/>
  <c r="F380" i="2"/>
  <c r="C602" i="2"/>
  <c r="A2437" i="1"/>
  <c r="E713" i="2"/>
  <c r="D397" i="2"/>
  <c r="E1666" i="2"/>
  <c r="C349" i="2"/>
  <c r="E1475" i="2"/>
  <c r="C1411" i="2"/>
  <c r="C1090" i="2"/>
  <c r="E1090" i="2"/>
  <c r="E2150" i="1"/>
  <c r="B2434" i="1"/>
  <c r="D1799" i="1"/>
  <c r="F2274" i="1"/>
  <c r="C1562" i="2"/>
  <c r="C1205" i="2"/>
  <c r="E923" i="2"/>
  <c r="F96" i="2"/>
  <c r="D490" i="2"/>
  <c r="B714" i="2"/>
  <c r="C274" i="2"/>
  <c r="B306" i="2"/>
  <c r="F1109" i="2"/>
  <c r="A2015" i="1"/>
  <c r="F646" i="2"/>
  <c r="B243" i="2"/>
  <c r="C772" i="2"/>
  <c r="D330" i="2"/>
  <c r="F1169" i="2"/>
  <c r="F1352" i="2"/>
  <c r="F1541" i="2"/>
  <c r="D1099" i="2"/>
  <c r="B1331" i="2"/>
  <c r="E77" i="2"/>
  <c r="E108" i="2"/>
  <c r="D2466" i="1"/>
  <c r="E688" i="2"/>
  <c r="E2245" i="1"/>
  <c r="C271" i="2"/>
  <c r="D2492" i="1"/>
  <c r="F329" i="2"/>
  <c r="E457" i="2"/>
  <c r="B200" i="2"/>
  <c r="D862" i="2"/>
  <c r="B373" i="2"/>
  <c r="F692" i="2"/>
  <c r="B734" i="2"/>
  <c r="B333" i="2"/>
  <c r="D303" i="2"/>
  <c r="C1863" i="2"/>
  <c r="E793" i="2"/>
  <c r="D1299" i="2"/>
  <c r="D629" i="2"/>
  <c r="E1033" i="2"/>
  <c r="F117" i="2"/>
  <c r="F26" i="2"/>
  <c r="D2285" i="1"/>
  <c r="A2319" i="1"/>
  <c r="B646" i="2"/>
  <c r="C890" i="2"/>
  <c r="C645" i="2"/>
  <c r="D2117" i="1"/>
  <c r="B2187" i="1"/>
  <c r="C460" i="2"/>
  <c r="F933" i="2"/>
  <c r="F2508" i="1"/>
  <c r="F515" i="2"/>
  <c r="D1331" i="2"/>
  <c r="C54" i="2"/>
  <c r="D271" i="2"/>
  <c r="F2142" i="2"/>
  <c r="F255" i="2"/>
  <c r="B303" i="2"/>
  <c r="D721" i="2"/>
  <c r="F845" i="2"/>
  <c r="B801" i="2"/>
  <c r="B94" i="2"/>
  <c r="E36" i="2"/>
  <c r="D82" i="2"/>
  <c r="C2248" i="1"/>
  <c r="A1569" i="1"/>
  <c r="B1762" i="1"/>
  <c r="C287" i="2"/>
  <c r="C277" i="2"/>
  <c r="D1543" i="2"/>
  <c r="A2485" i="1"/>
  <c r="C224" i="2"/>
  <c r="B870" i="2"/>
  <c r="F920" i="2"/>
  <c r="F2511" i="1"/>
  <c r="D1031" i="2"/>
  <c r="E437" i="2"/>
  <c r="B1457" i="2"/>
  <c r="F154" i="2"/>
  <c r="D1144" i="2"/>
  <c r="D627" i="2"/>
  <c r="D915" i="2"/>
  <c r="F545" i="2"/>
  <c r="B878" i="2"/>
  <c r="A2433" i="1"/>
  <c r="C1881" i="1"/>
  <c r="F1789" i="1"/>
  <c r="E869" i="2"/>
  <c r="C86" i="2"/>
  <c r="B2368" i="1"/>
  <c r="C827" i="2"/>
  <c r="C2380" i="1"/>
  <c r="C1841" i="1"/>
  <c r="C1650" i="2"/>
  <c r="C1571" i="2"/>
  <c r="E1230" i="2"/>
  <c r="C1988" i="2"/>
  <c r="E318" i="2"/>
  <c r="B538" i="2"/>
  <c r="F1024" i="2"/>
  <c r="E914" i="2"/>
  <c r="C937" i="2"/>
  <c r="D865" i="2"/>
  <c r="E281" i="2"/>
  <c r="C2233" i="1"/>
  <c r="F1389" i="2"/>
  <c r="D206" i="2"/>
  <c r="C700" i="2"/>
  <c r="E12" i="2"/>
  <c r="F1283" i="2"/>
  <c r="E744" i="2"/>
  <c r="C1026" i="2"/>
  <c r="B2463" i="1"/>
  <c r="B1361" i="2"/>
  <c r="F535" i="2"/>
  <c r="F578" i="2"/>
  <c r="C592" i="2"/>
  <c r="E999" i="2"/>
  <c r="C1131" i="2"/>
  <c r="E499" i="2"/>
  <c r="C785" i="2"/>
  <c r="F1896" i="1"/>
  <c r="C794" i="2"/>
  <c r="E2490" i="1"/>
  <c r="E1014" i="2"/>
  <c r="D1778" i="1"/>
  <c r="B698" i="2"/>
  <c r="D2503" i="1"/>
  <c r="F1261" i="2"/>
  <c r="F244" i="2"/>
  <c r="B529" i="2"/>
  <c r="E1823" i="1"/>
  <c r="D2017" i="1"/>
  <c r="A1802" i="1"/>
  <c r="D878" i="2"/>
  <c r="E1923" i="1"/>
  <c r="F1445" i="2"/>
  <c r="F62" i="2"/>
  <c r="B658" i="2"/>
  <c r="C436" i="2"/>
  <c r="A2336" i="1"/>
  <c r="F2368" i="1"/>
  <c r="A2132" i="1"/>
  <c r="B2433" i="1"/>
  <c r="B7" i="2"/>
  <c r="D1909" i="1"/>
  <c r="F100" i="2"/>
  <c r="B925" i="2"/>
  <c r="F2467" i="1"/>
  <c r="C1857" i="1"/>
  <c r="D104" i="2"/>
  <c r="F1880" i="1"/>
  <c r="F50" i="2"/>
  <c r="E631" i="2"/>
  <c r="B2478" i="1"/>
  <c r="C1460" i="1"/>
  <c r="D1333" i="1"/>
  <c r="B545" i="2"/>
  <c r="E663" i="2"/>
  <c r="A2008" i="1"/>
  <c r="F1967" i="1"/>
  <c r="C121" i="2"/>
  <c r="B2495" i="1"/>
  <c r="D387" i="2"/>
  <c r="A978" i="1"/>
  <c r="A2011" i="1"/>
  <c r="F2019" i="1"/>
  <c r="E1387" i="1"/>
  <c r="C2008" i="1"/>
  <c r="D766" i="2"/>
  <c r="C561" i="2"/>
  <c r="E2016" i="1"/>
  <c r="E1798" i="1"/>
  <c r="B1921" i="2"/>
  <c r="F944" i="2"/>
  <c r="D398" i="2"/>
  <c r="C633" i="2"/>
  <c r="D719" i="2"/>
  <c r="D919" i="2"/>
  <c r="B1724" i="2"/>
  <c r="C499" i="2"/>
  <c r="F85" i="2"/>
  <c r="E1056" i="2"/>
  <c r="F1401" i="2"/>
  <c r="C524" i="2"/>
  <c r="D48" i="2"/>
  <c r="D969" i="2"/>
  <c r="F2307" i="1"/>
  <c r="F394" i="2"/>
  <c r="D668" i="2"/>
  <c r="B1038" i="2"/>
  <c r="E1752" i="1"/>
  <c r="C920" i="2"/>
  <c r="C943" i="2"/>
  <c r="F2256" i="1"/>
  <c r="F2413" i="1"/>
  <c r="C1998" i="1"/>
  <c r="C74" i="2"/>
  <c r="E2097" i="1"/>
  <c r="D2039" i="1"/>
  <c r="F623" i="2"/>
  <c r="D272" i="2"/>
  <c r="D2014" i="1"/>
  <c r="E577" i="2"/>
  <c r="F604" i="2"/>
  <c r="F2204" i="1"/>
  <c r="F1547" i="1"/>
  <c r="E2350" i="1"/>
  <c r="D713" i="2"/>
  <c r="C556" i="2"/>
  <c r="E699" i="2"/>
  <c r="A2264" i="1"/>
  <c r="B1931" i="1"/>
  <c r="C1030" i="1"/>
  <c r="F453" i="2"/>
  <c r="E1705" i="1"/>
  <c r="B722" i="2"/>
  <c r="D586" i="2"/>
  <c r="A1493" i="1"/>
  <c r="D1176" i="1"/>
  <c r="C1331" i="1"/>
  <c r="D2419" i="1"/>
  <c r="E368" i="2"/>
  <c r="F2069" i="1"/>
  <c r="F12" i="2"/>
  <c r="E904" i="2"/>
  <c r="E1933" i="2"/>
  <c r="B382" i="2"/>
  <c r="E933" i="1"/>
  <c r="F2247" i="1"/>
  <c r="C1488" i="1"/>
  <c r="D870" i="2"/>
  <c r="D1885" i="1"/>
  <c r="F412" i="2"/>
  <c r="B2447" i="1"/>
  <c r="E1962" i="1"/>
  <c r="B676" i="2"/>
  <c r="D841" i="2"/>
  <c r="E1314" i="2"/>
  <c r="B312" i="2"/>
  <c r="E1473" i="2"/>
  <c r="F1347" i="2"/>
  <c r="E1574" i="2"/>
  <c r="F2319" i="1"/>
  <c r="D17" i="2"/>
  <c r="F799" i="2"/>
  <c r="B1147" i="2"/>
  <c r="D1845" i="2"/>
  <c r="D153" i="2"/>
  <c r="D2306" i="1"/>
  <c r="D2384" i="1"/>
  <c r="F1319" i="2"/>
  <c r="B1946" i="1"/>
  <c r="E1622" i="2"/>
  <c r="C925" i="2"/>
  <c r="D484" i="2"/>
  <c r="C1118" i="2"/>
  <c r="B39" i="2"/>
  <c r="B1378" i="2"/>
  <c r="B351" i="2"/>
  <c r="A2411" i="1"/>
  <c r="F614" i="2"/>
  <c r="A2350" i="1"/>
  <c r="D320" i="2"/>
  <c r="C781" i="2"/>
  <c r="B2322" i="1"/>
  <c r="D1204" i="1"/>
  <c r="E1757" i="1"/>
  <c r="D440" i="2"/>
  <c r="C1323" i="2"/>
  <c r="C1185" i="2"/>
  <c r="D308" i="2"/>
  <c r="C935" i="2"/>
  <c r="E1151" i="2"/>
  <c r="F52" i="2"/>
  <c r="F2073" i="1"/>
  <c r="D2129" i="1"/>
  <c r="A1865" i="1"/>
  <c r="C1608" i="1"/>
  <c r="D2226" i="1"/>
  <c r="F1615" i="1"/>
  <c r="D204" i="2"/>
  <c r="D2008" i="1"/>
  <c r="B2113" i="1"/>
  <c r="A2404" i="1"/>
  <c r="E2018" i="1"/>
  <c r="A1925" i="1"/>
  <c r="E198" i="2"/>
  <c r="C623" i="2"/>
  <c r="E2206" i="1"/>
  <c r="F1331" i="2"/>
  <c r="C284" i="2"/>
  <c r="A2419" i="1"/>
  <c r="A2352" i="1"/>
  <c r="B2273" i="1"/>
  <c r="D2329" i="1"/>
  <c r="A1748" i="1"/>
  <c r="D340" i="2"/>
  <c r="C2153" i="1"/>
  <c r="F1727" i="1"/>
  <c r="B1942" i="1"/>
  <c r="F2433" i="1"/>
  <c r="C2125" i="1"/>
  <c r="A2193" i="1"/>
  <c r="D1690" i="2"/>
  <c r="F1266" i="2"/>
  <c r="B445" i="2"/>
  <c r="C316" i="2"/>
  <c r="E52" i="2"/>
  <c r="F164" i="2"/>
  <c r="C358" i="2"/>
  <c r="B274" i="2"/>
  <c r="B642" i="2"/>
  <c r="D2428" i="1"/>
  <c r="A1904" i="1"/>
  <c r="E1989" i="1"/>
  <c r="D4" i="2"/>
  <c r="C1" i="2"/>
  <c r="A2510" i="1"/>
  <c r="D167" i="2"/>
  <c r="F293" i="2"/>
  <c r="D528" i="2"/>
  <c r="E289" i="2"/>
  <c r="E331" i="2"/>
  <c r="B776" i="2"/>
  <c r="A899" i="1"/>
  <c r="F770" i="1"/>
  <c r="E837" i="2"/>
  <c r="C882" i="2"/>
  <c r="F245" i="2"/>
  <c r="A2012" i="1"/>
  <c r="F458" i="2"/>
  <c r="B5" i="2"/>
  <c r="D1261" i="1"/>
  <c r="B2291" i="1"/>
  <c r="F2367" i="1"/>
  <c r="C1425" i="2"/>
  <c r="D2408" i="1"/>
  <c r="F2349" i="1"/>
  <c r="F2049" i="1"/>
  <c r="E309" i="2"/>
  <c r="C2209" i="1"/>
  <c r="B470" i="2"/>
  <c r="B858" i="2"/>
  <c r="B15" i="2"/>
  <c r="F374" i="2"/>
  <c r="E816" i="2"/>
  <c r="F590" i="2"/>
  <c r="C1826" i="1"/>
  <c r="F2034" i="1"/>
  <c r="B1850" i="1"/>
  <c r="C2094" i="1"/>
  <c r="A2131" i="1"/>
  <c r="E644" i="2"/>
  <c r="D2169" i="1"/>
  <c r="D423" i="2"/>
  <c r="F210" i="2"/>
  <c r="E1390" i="1"/>
  <c r="E1511" i="1"/>
  <c r="B1663" i="1"/>
  <c r="A1941" i="1"/>
  <c r="F1792" i="1"/>
  <c r="A1859" i="1"/>
  <c r="D876" i="2"/>
  <c r="C1446" i="2"/>
  <c r="F167" i="2"/>
  <c r="B754" i="2"/>
  <c r="E716" i="2"/>
  <c r="B649" i="2"/>
  <c r="B532" i="2"/>
  <c r="C1769" i="2"/>
  <c r="C2464" i="1"/>
  <c r="E909" i="2"/>
  <c r="E2427" i="1"/>
  <c r="F879" i="2"/>
  <c r="E2407" i="1"/>
  <c r="B1769" i="1"/>
  <c r="B2096" i="1"/>
  <c r="B720" i="2"/>
  <c r="C2242" i="1"/>
  <c r="F208" i="2"/>
  <c r="F2263" i="1"/>
  <c r="F562" i="2"/>
  <c r="B19" i="2"/>
  <c r="E2187" i="1"/>
  <c r="F2405" i="1"/>
  <c r="B1999" i="1"/>
  <c r="F2036" i="1"/>
  <c r="B1654" i="1"/>
  <c r="D1321" i="1"/>
  <c r="B955" i="2"/>
  <c r="C2387" i="1"/>
  <c r="C586" i="2"/>
  <c r="B797" i="2"/>
  <c r="B2286" i="1"/>
  <c r="A1981" i="1"/>
  <c r="B14" i="2"/>
  <c r="E2143" i="1"/>
  <c r="D1675" i="2"/>
  <c r="E773" i="2"/>
  <c r="A2137" i="1"/>
  <c r="C1120" i="2"/>
  <c r="B122" i="2"/>
  <c r="F2436" i="1"/>
  <c r="C529" i="2"/>
  <c r="A2495" i="1"/>
  <c r="F836" i="2"/>
  <c r="E477" i="2"/>
  <c r="F1876" i="1"/>
  <c r="D2448" i="1"/>
  <c r="C1736" i="1"/>
  <c r="E2366" i="1"/>
  <c r="B2243" i="1"/>
  <c r="C1584" i="1"/>
  <c r="E1270" i="1"/>
  <c r="E422" i="2"/>
  <c r="F2285" i="1"/>
  <c r="F296" i="2"/>
  <c r="F1197" i="1"/>
  <c r="C2024" i="1"/>
  <c r="C1966" i="1"/>
  <c r="B1813" i="1"/>
  <c r="F305" i="2"/>
  <c r="B1864" i="2"/>
  <c r="F496" i="2"/>
  <c r="D947" i="2"/>
  <c r="B2058" i="1"/>
  <c r="D1187" i="2"/>
  <c r="C685" i="2"/>
  <c r="C753" i="2"/>
  <c r="F388" i="2"/>
  <c r="E911" i="2"/>
  <c r="A2425" i="1"/>
  <c r="F2452" i="1"/>
  <c r="C1133" i="2"/>
  <c r="E941" i="2"/>
  <c r="B68" i="2"/>
  <c r="D1562" i="2"/>
  <c r="B323" i="2"/>
  <c r="D2230" i="1"/>
  <c r="A2405" i="1"/>
  <c r="A2192" i="1"/>
  <c r="F2328" i="1"/>
  <c r="D2427" i="1"/>
  <c r="E2175" i="1"/>
  <c r="C2346" i="1"/>
  <c r="F919" i="2"/>
  <c r="B134" i="2"/>
  <c r="A2220" i="1"/>
  <c r="E461" i="2"/>
  <c r="D1783" i="1"/>
  <c r="B2038" i="1"/>
  <c r="F2144" i="1"/>
  <c r="B1535" i="1"/>
  <c r="C1253" i="2"/>
  <c r="C361" i="2"/>
  <c r="C883" i="2"/>
  <c r="D2468" i="1"/>
  <c r="E1826" i="1"/>
  <c r="F240" i="2"/>
  <c r="C2412" i="1"/>
  <c r="D1260" i="1"/>
  <c r="D464" i="2"/>
  <c r="B64" i="2"/>
  <c r="F629" i="2"/>
  <c r="F702" i="2"/>
  <c r="C2019" i="1"/>
  <c r="C1902" i="1"/>
  <c r="A2029" i="1"/>
  <c r="A1876" i="1"/>
  <c r="F2418" i="1"/>
  <c r="E2194" i="1"/>
  <c r="A2252" i="1"/>
  <c r="E1760" i="1"/>
  <c r="F866" i="1"/>
  <c r="E2441" i="1"/>
  <c r="B1637" i="1"/>
  <c r="A1366" i="1"/>
  <c r="D1932" i="1"/>
  <c r="B518" i="2"/>
  <c r="B50" i="2"/>
  <c r="F2457" i="1"/>
  <c r="D2309" i="1"/>
  <c r="B100" i="2"/>
  <c r="E1123" i="2"/>
  <c r="B1439" i="2"/>
  <c r="C1509" i="2"/>
  <c r="F418" i="2"/>
  <c r="B2192" i="1"/>
  <c r="E378" i="2"/>
  <c r="D2281" i="1"/>
  <c r="C2315" i="1"/>
  <c r="B2509" i="1"/>
  <c r="B413" i="2"/>
  <c r="C183" i="2"/>
  <c r="C1218" i="2"/>
  <c r="C1177" i="2"/>
  <c r="B1227" i="2"/>
  <c r="B1059" i="2"/>
  <c r="D534" i="2"/>
  <c r="C822" i="2"/>
  <c r="D337" i="2"/>
  <c r="D576" i="2"/>
  <c r="E736" i="2"/>
  <c r="B137" i="2"/>
  <c r="B1631" i="2"/>
  <c r="F16" i="2"/>
  <c r="E223" i="2"/>
  <c r="F602" i="2"/>
  <c r="F1529" i="2"/>
  <c r="C2297" i="1"/>
  <c r="D1629" i="2"/>
  <c r="C1360" i="2"/>
  <c r="F1479" i="2"/>
  <c r="F1209" i="2"/>
  <c r="D2325" i="1"/>
  <c r="B1685" i="2"/>
  <c r="E173" i="2"/>
  <c r="A1983" i="1"/>
  <c r="D2224" i="1"/>
  <c r="E167" i="2"/>
  <c r="F759" i="2"/>
  <c r="E1982" i="1"/>
  <c r="E76" i="2"/>
  <c r="B1626" i="2"/>
  <c r="D40" i="2"/>
  <c r="F912" i="2"/>
  <c r="D1260" i="2"/>
  <c r="D2105" i="1"/>
  <c r="D2489" i="1"/>
  <c r="E2348" i="1"/>
  <c r="F1267" i="2"/>
  <c r="A2418" i="1"/>
  <c r="F747" i="2"/>
  <c r="B2082" i="1"/>
  <c r="E400" i="2"/>
  <c r="A1395" i="1"/>
  <c r="F1044" i="2"/>
  <c r="C941" i="1"/>
  <c r="D2016" i="1"/>
  <c r="A1940" i="1"/>
  <c r="E2222" i="1"/>
  <c r="F1677" i="1"/>
  <c r="A2355" i="1"/>
  <c r="D244" i="2"/>
  <c r="E2437" i="1"/>
  <c r="C2457" i="1"/>
  <c r="F725" i="2"/>
  <c r="B2365" i="1"/>
  <c r="F616" i="2"/>
  <c r="A1773" i="1"/>
  <c r="D150" i="2"/>
  <c r="E1107" i="1"/>
  <c r="C371" i="2"/>
  <c r="D2153" i="1"/>
  <c r="B2282" i="1"/>
  <c r="C639" i="2"/>
  <c r="D1981" i="1"/>
  <c r="E1723" i="1"/>
  <c r="C2370" i="1"/>
  <c r="F729" i="2"/>
  <c r="E804" i="2"/>
  <c r="B152" i="2"/>
  <c r="E1501" i="2"/>
  <c r="E278" i="2"/>
  <c r="F780" i="2"/>
  <c r="F382" i="2"/>
  <c r="E34" i="2"/>
  <c r="C452" i="2"/>
  <c r="C138" i="2"/>
  <c r="B2199" i="1"/>
  <c r="A1515" i="1"/>
  <c r="C1997" i="1"/>
  <c r="E1523" i="1"/>
  <c r="C618" i="2"/>
  <c r="E2472" i="1"/>
  <c r="E734" i="2"/>
  <c r="E686" i="2"/>
  <c r="B2404" i="1"/>
  <c r="F1856" i="1"/>
  <c r="C1423" i="1"/>
  <c r="E887" i="2"/>
  <c r="B531" i="2"/>
  <c r="D461" i="2"/>
  <c r="E832" i="2"/>
  <c r="E2284" i="1"/>
  <c r="B2005" i="1"/>
  <c r="D255" i="2"/>
  <c r="B897" i="1"/>
  <c r="C170" i="2"/>
  <c r="C905" i="2"/>
  <c r="B286" i="2"/>
  <c r="D2245" i="1"/>
  <c r="F2315" i="1"/>
  <c r="A1934" i="1"/>
  <c r="E1990" i="1"/>
  <c r="E2017" i="1"/>
  <c r="D1179" i="2"/>
  <c r="D2365" i="1"/>
  <c r="F1920" i="1"/>
  <c r="D2436" i="1"/>
  <c r="A2223" i="1"/>
  <c r="C674" i="2"/>
  <c r="A2448" i="1"/>
  <c r="B1752" i="1"/>
  <c r="E1996" i="1"/>
  <c r="E531" i="2"/>
  <c r="C2154" i="1"/>
  <c r="D2269" i="1"/>
  <c r="F175" i="2"/>
  <c r="F1284" i="2"/>
  <c r="F2180" i="1"/>
  <c r="A2051" i="1"/>
  <c r="E27" i="2"/>
  <c r="E1966" i="1"/>
  <c r="F973" i="2"/>
  <c r="E2170" i="1"/>
  <c r="C1296" i="1"/>
  <c r="E1502" i="2"/>
  <c r="C2020" i="2"/>
  <c r="E1263" i="2"/>
  <c r="E1070" i="2"/>
  <c r="E702" i="2"/>
  <c r="D1003" i="2"/>
  <c r="E2493" i="1"/>
  <c r="E3" i="2"/>
  <c r="F1046" i="2"/>
  <c r="B397" i="2"/>
  <c r="D1200" i="2"/>
  <c r="D296" i="2"/>
  <c r="B455" i="2"/>
  <c r="D1864" i="1"/>
  <c r="F176" i="2"/>
  <c r="B2427" i="1"/>
  <c r="F36" i="2"/>
  <c r="A2233" i="1"/>
  <c r="D2328" i="1"/>
  <c r="C319" i="2"/>
  <c r="B615" i="2"/>
  <c r="D106" i="2"/>
  <c r="F74" i="2"/>
  <c r="C1640" i="1"/>
  <c r="A1713" i="1"/>
  <c r="E2114" i="1"/>
  <c r="B1509" i="1"/>
  <c r="C1329" i="2"/>
  <c r="F597" i="2"/>
  <c r="D710" i="2"/>
  <c r="F271" i="2"/>
  <c r="C2275" i="1"/>
  <c r="F1751" i="1"/>
  <c r="D1052" i="1"/>
  <c r="B1352" i="1"/>
  <c r="E1219" i="2"/>
  <c r="F345" i="2"/>
  <c r="D1023" i="2"/>
  <c r="D2116" i="1"/>
  <c r="F1980" i="1"/>
  <c r="D219" i="2"/>
  <c r="A2204" i="1"/>
  <c r="A1632" i="1"/>
  <c r="D790" i="2"/>
  <c r="F2109" i="1"/>
  <c r="E2455" i="1"/>
  <c r="B913" i="1"/>
  <c r="A947" i="1"/>
  <c r="E2430" i="1"/>
  <c r="F101" i="2"/>
  <c r="C1118" i="1"/>
  <c r="F2441" i="1"/>
  <c r="F568" i="2"/>
  <c r="C1858" i="1"/>
  <c r="F364" i="2"/>
  <c r="F334" i="2"/>
  <c r="A2298" i="1"/>
  <c r="D2183" i="1"/>
  <c r="B2227" i="1"/>
  <c r="E1958" i="1"/>
  <c r="E764" i="2"/>
  <c r="D2289" i="1"/>
  <c r="F1066" i="1"/>
  <c r="B740" i="2"/>
  <c r="E513" i="2"/>
  <c r="B1095" i="2"/>
  <c r="C765" i="2"/>
  <c r="D133" i="2"/>
  <c r="D1719" i="2"/>
  <c r="F901" i="2"/>
  <c r="D2241" i="1"/>
  <c r="B2353" i="1"/>
  <c r="F385" i="2"/>
  <c r="D774" i="2"/>
  <c r="D1522" i="2"/>
  <c r="F555" i="2"/>
  <c r="B18" i="2"/>
  <c r="B1790" i="1"/>
  <c r="D2424" i="1"/>
  <c r="E2270" i="1"/>
  <c r="E2367" i="1"/>
  <c r="C2220" i="1"/>
  <c r="F2206" i="1"/>
  <c r="E349" i="2"/>
  <c r="C991" i="2"/>
  <c r="C2014" i="1"/>
  <c r="E2182" i="1"/>
  <c r="B1892" i="1"/>
  <c r="A2243" i="1"/>
  <c r="B2384" i="1"/>
  <c r="F1463" i="1"/>
  <c r="C504" i="2"/>
  <c r="B2312" i="1"/>
  <c r="B2440" i="1"/>
  <c r="B1935" i="1"/>
  <c r="D1938" i="1"/>
  <c r="C260" i="2"/>
  <c r="D1974" i="1"/>
  <c r="B952" i="1"/>
  <c r="C32" i="2"/>
  <c r="F1607" i="2"/>
  <c r="D1635" i="2"/>
  <c r="E677" i="2"/>
  <c r="E258" i="2"/>
  <c r="A2155" i="1"/>
  <c r="B525" i="2"/>
  <c r="B478" i="2"/>
  <c r="D2393" i="1"/>
  <c r="B519" i="2"/>
  <c r="C2453" i="1"/>
  <c r="D1957" i="1"/>
  <c r="C354" i="2"/>
  <c r="B2446" i="1"/>
  <c r="E915" i="2"/>
  <c r="B1573" i="1"/>
  <c r="D2110" i="1"/>
  <c r="B2436" i="1"/>
  <c r="C1381" i="1"/>
  <c r="F650" i="2"/>
  <c r="F1541" i="1"/>
  <c r="D375" i="2"/>
  <c r="F1060" i="2"/>
  <c r="D941" i="2"/>
  <c r="E698" i="2"/>
  <c r="D547" i="2"/>
  <c r="B521" i="2"/>
  <c r="E359" i="2"/>
  <c r="E429" i="2"/>
  <c r="F2344" i="1"/>
  <c r="C2076" i="1"/>
  <c r="F2238" i="1"/>
  <c r="C203" i="2"/>
  <c r="F300" i="2"/>
  <c r="F654" i="2"/>
  <c r="F730" i="2"/>
  <c r="D2263" i="1"/>
  <c r="F1487" i="2"/>
  <c r="F612" i="2"/>
  <c r="C1057" i="2"/>
  <c r="F1452" i="2"/>
  <c r="F2474" i="1"/>
  <c r="D918" i="2"/>
  <c r="C790" i="2"/>
  <c r="D2413" i="1"/>
  <c r="C2023" i="1"/>
  <c r="D666" i="2"/>
  <c r="B2320" i="1"/>
  <c r="B221" i="2"/>
  <c r="B1641" i="2"/>
  <c r="B421" i="2"/>
  <c r="B702" i="2"/>
  <c r="A1956" i="1"/>
  <c r="B708" i="2"/>
  <c r="E1080" i="2"/>
  <c r="D2360" i="1"/>
  <c r="F287" i="2"/>
  <c r="C2232" i="1"/>
  <c r="B2415" i="1"/>
  <c r="F159" i="2"/>
  <c r="A2120" i="1"/>
  <c r="C366" i="2"/>
  <c r="E97" i="2"/>
  <c r="E366" i="2"/>
  <c r="F2260" i="1"/>
  <c r="D914" i="2"/>
  <c r="F116" i="2"/>
  <c r="C2495" i="1"/>
  <c r="E153" i="2"/>
  <c r="E893" i="2"/>
  <c r="C2138" i="1"/>
  <c r="B24" i="2"/>
  <c r="E2172" i="1"/>
  <c r="B821" i="2"/>
  <c r="B837" i="2"/>
  <c r="D60" i="2"/>
  <c r="C536" i="2"/>
  <c r="E1691" i="1"/>
  <c r="D74" i="2"/>
  <c r="A2444" i="1"/>
  <c r="F2301" i="1"/>
  <c r="D987" i="2"/>
  <c r="A2268" i="1"/>
  <c r="C1849" i="1"/>
  <c r="A2248" i="1"/>
  <c r="C733" i="2"/>
  <c r="C291" i="2"/>
  <c r="F39" i="2"/>
  <c r="F613" i="2"/>
  <c r="C33" i="2"/>
  <c r="F2248" i="1"/>
  <c r="C131" i="2"/>
  <c r="B1062" i="2"/>
  <c r="A1957" i="1"/>
  <c r="C1740" i="2"/>
  <c r="D902" i="2"/>
  <c r="D1975" i="2"/>
  <c r="A2401" i="1"/>
  <c r="F395" i="2"/>
  <c r="C413" i="2"/>
  <c r="C187" i="2"/>
  <c r="E889" i="2"/>
  <c r="E1278" i="2"/>
  <c r="F69" i="2"/>
  <c r="F1986" i="1"/>
  <c r="D2462" i="1"/>
  <c r="B2085" i="1"/>
  <c r="C20" i="2"/>
  <c r="D921" i="2"/>
  <c r="D2405" i="1"/>
  <c r="E1581" i="1"/>
  <c r="F696" i="2"/>
  <c r="B762" i="2"/>
  <c r="E2324" i="1"/>
  <c r="C292" i="2"/>
  <c r="C2372" i="1"/>
  <c r="D196" i="2"/>
  <c r="C1984" i="1"/>
  <c r="F1811" i="1"/>
  <c r="E669" i="2"/>
  <c r="B620" i="2"/>
  <c r="D1976" i="1"/>
  <c r="D103" i="2"/>
  <c r="F2297" i="1"/>
  <c r="A1774" i="1"/>
  <c r="C1158" i="1"/>
  <c r="E2211" i="1"/>
  <c r="D1319" i="2"/>
  <c r="D799" i="2"/>
  <c r="F717" i="2"/>
  <c r="C305" i="2"/>
  <c r="E1467" i="1"/>
  <c r="C1264" i="1"/>
  <c r="F2006" i="1"/>
  <c r="E1642" i="1"/>
  <c r="C356" i="2"/>
  <c r="B1110" i="2"/>
  <c r="C2510" i="1"/>
  <c r="B916" i="1"/>
  <c r="E1116" i="1"/>
  <c r="A2009" i="1"/>
  <c r="B2139" i="1"/>
  <c r="B1374" i="1"/>
  <c r="C775" i="2"/>
  <c r="C985" i="2"/>
  <c r="D1704" i="1"/>
  <c r="A1974" i="1"/>
  <c r="D1036" i="1"/>
  <c r="C1100" i="2"/>
  <c r="D2463" i="1"/>
  <c r="E1806" i="1"/>
  <c r="D2059" i="1"/>
  <c r="C166" i="2"/>
  <c r="F200" i="2"/>
  <c r="F309" i="2"/>
  <c r="C1686" i="1"/>
  <c r="F1470" i="2"/>
  <c r="B1328" i="2"/>
  <c r="D685" i="2"/>
  <c r="D427" i="2"/>
  <c r="B678" i="2"/>
  <c r="C945" i="2"/>
  <c r="F463" i="2"/>
  <c r="D521" i="2"/>
  <c r="E316" i="2"/>
  <c r="D1238" i="2"/>
  <c r="B272" i="2"/>
  <c r="E143" i="2"/>
  <c r="C1947" i="1"/>
  <c r="C704" i="2"/>
  <c r="D415" i="2"/>
  <c r="B669" i="2"/>
  <c r="E1787" i="1"/>
  <c r="C416" i="2"/>
  <c r="C2112" i="1"/>
  <c r="D39" i="2"/>
  <c r="B1223" i="2"/>
  <c r="D1060" i="2"/>
  <c r="E2458" i="1"/>
  <c r="F1591" i="1"/>
  <c r="E1970" i="1"/>
  <c r="A2478" i="1"/>
  <c r="D2291" i="1"/>
  <c r="D657" i="2"/>
  <c r="C22" i="2"/>
  <c r="B2140" i="1"/>
  <c r="E1911" i="1"/>
  <c r="E120" i="2"/>
  <c r="C136" i="2"/>
  <c r="E2444" i="1"/>
  <c r="C958" i="1"/>
  <c r="D85" i="2"/>
  <c r="B194" i="2"/>
  <c r="A2049" i="1"/>
  <c r="B1123" i="2"/>
  <c r="E176" i="2"/>
  <c r="A2027" i="1"/>
  <c r="C1806" i="1"/>
  <c r="B889" i="1"/>
  <c r="E19" i="2"/>
  <c r="E1024" i="2"/>
  <c r="F2354" i="1"/>
  <c r="C1653" i="1"/>
  <c r="B107" i="2"/>
  <c r="B1829" i="1"/>
  <c r="A1321" i="1"/>
  <c r="C1062" i="1"/>
  <c r="B2212" i="1"/>
  <c r="D2512" i="1"/>
  <c r="B716" i="2"/>
  <c r="F1991" i="1"/>
  <c r="B1070" i="2"/>
  <c r="E1208" i="2"/>
  <c r="E2345" i="1"/>
  <c r="E1175" i="1"/>
  <c r="E1721" i="1"/>
  <c r="B542" i="2"/>
  <c r="B309" i="2"/>
  <c r="D2273" i="1"/>
  <c r="B1733" i="1"/>
  <c r="F1004" i="2"/>
  <c r="D501" i="2"/>
  <c r="C679" i="2"/>
  <c r="E970" i="2"/>
  <c r="A2505" i="1"/>
  <c r="D221" i="2"/>
  <c r="C808" i="2"/>
  <c r="C2461" i="1"/>
  <c r="F2389" i="1"/>
  <c r="F320" i="2"/>
  <c r="E1067" i="2"/>
  <c r="F1927" i="1"/>
  <c r="E1731" i="1"/>
  <c r="B993" i="2"/>
  <c r="E442" i="2"/>
  <c r="F587" i="2"/>
  <c r="C703" i="2"/>
  <c r="D215" i="2"/>
  <c r="A2489" i="1"/>
  <c r="B2280" i="1"/>
  <c r="C2483" i="1"/>
  <c r="A2417" i="1"/>
  <c r="F2364" i="1"/>
  <c r="E293" i="2"/>
  <c r="C1776" i="2"/>
  <c r="F1012" i="2"/>
  <c r="D804" i="2"/>
  <c r="D478" i="2"/>
  <c r="C791" i="2"/>
  <c r="B869" i="2"/>
  <c r="E1191" i="2"/>
  <c r="D794" i="2"/>
  <c r="C2100" i="1"/>
  <c r="C730" i="2"/>
  <c r="C849" i="2"/>
  <c r="D2481" i="1"/>
  <c r="D2327" i="1"/>
  <c r="C2367" i="1"/>
  <c r="D1872" i="1"/>
  <c r="E1194" i="2"/>
  <c r="F810" i="2"/>
  <c r="C1116" i="2"/>
  <c r="E2480" i="1"/>
  <c r="C2224" i="1"/>
  <c r="C899" i="2"/>
  <c r="C1298" i="2"/>
  <c r="E1462" i="2"/>
  <c r="E990" i="2"/>
  <c r="F1667" i="1"/>
  <c r="D321" i="2"/>
  <c r="C1980" i="2"/>
  <c r="D459" i="2"/>
  <c r="C47" i="2"/>
  <c r="F619" i="2"/>
  <c r="F736" i="2"/>
  <c r="B1151" i="2"/>
  <c r="F547" i="2"/>
  <c r="E409" i="2"/>
  <c r="C2099" i="1"/>
  <c r="D2336" i="1"/>
  <c r="F2170" i="1"/>
  <c r="B2506" i="1"/>
  <c r="B522" i="2"/>
  <c r="D2012" i="1"/>
  <c r="D938" i="2"/>
  <c r="F856" i="2"/>
  <c r="F714" i="2"/>
  <c r="C492" i="2"/>
  <c r="E1472" i="2"/>
  <c r="E589" i="2"/>
  <c r="C218" i="2"/>
  <c r="D725" i="2"/>
  <c r="D931" i="2"/>
  <c r="C2079" i="1"/>
  <c r="D2412" i="1"/>
  <c r="C7" i="2"/>
  <c r="D1062" i="2"/>
  <c r="A2095" i="1"/>
  <c r="E2314" i="1"/>
  <c r="D2124" i="1"/>
  <c r="F1687" i="1"/>
  <c r="B2406" i="1"/>
  <c r="E114" i="2"/>
  <c r="D476" i="2"/>
  <c r="D52" i="2"/>
  <c r="F2253" i="1"/>
  <c r="D651" i="2"/>
  <c r="C547" i="2"/>
  <c r="B1093" i="2"/>
  <c r="D2339" i="1"/>
  <c r="B627" i="2"/>
  <c r="B804" i="2"/>
  <c r="B635" i="2"/>
  <c r="E249" i="2"/>
  <c r="E2078" i="1"/>
  <c r="E682" i="2"/>
  <c r="E2300" i="1"/>
  <c r="B2292" i="1"/>
  <c r="A2044" i="1"/>
  <c r="B238" i="2"/>
  <c r="D2195" i="1"/>
  <c r="E478" i="2"/>
  <c r="B2145" i="1"/>
  <c r="B1561" i="2"/>
  <c r="B329" i="2"/>
  <c r="C1989" i="1"/>
  <c r="E600" i="2"/>
  <c r="B1959" i="1"/>
  <c r="F962" i="1"/>
  <c r="C59" i="2"/>
  <c r="B2193" i="1"/>
  <c r="F674" i="2"/>
  <c r="A2240" i="1"/>
  <c r="A1813" i="1"/>
  <c r="A1988" i="1"/>
  <c r="F2233" i="1"/>
  <c r="D1069" i="1"/>
  <c r="F354" i="2"/>
  <c r="B695" i="2"/>
  <c r="B370" i="2"/>
  <c r="B283" i="2"/>
  <c r="B2202" i="1"/>
  <c r="A1530" i="1"/>
  <c r="C2137" i="1"/>
  <c r="F2122" i="1"/>
  <c r="F2265" i="1"/>
  <c r="D218" i="2"/>
  <c r="E6" i="2"/>
  <c r="C626" i="2"/>
  <c r="C473" i="2"/>
  <c r="D79" i="2"/>
  <c r="D1847" i="1"/>
  <c r="B2305" i="1"/>
  <c r="C2496" i="1"/>
  <c r="F593" i="2"/>
  <c r="D1674" i="1"/>
  <c r="C108" i="2"/>
  <c r="F513" i="2"/>
  <c r="E2208" i="1"/>
  <c r="F1197" i="2"/>
  <c r="A1847" i="1"/>
  <c r="B1465" i="1"/>
  <c r="C2493" i="1"/>
  <c r="A2194" i="1"/>
  <c r="A2356" i="1"/>
  <c r="D1878" i="2"/>
  <c r="D1309" i="2"/>
  <c r="D34" i="2"/>
  <c r="D189" i="2"/>
  <c r="C948" i="2"/>
  <c r="F893" i="2"/>
  <c r="B728" i="2"/>
  <c r="D1797" i="2"/>
  <c r="E2425" i="1"/>
  <c r="D2507" i="1"/>
  <c r="E484" i="2"/>
  <c r="E683" i="2"/>
  <c r="F114" i="2"/>
  <c r="B1839" i="1"/>
  <c r="B2190" i="1"/>
  <c r="E547" i="2"/>
  <c r="E369" i="2"/>
  <c r="A2342" i="1"/>
  <c r="C2473" i="1"/>
  <c r="E695" i="2"/>
  <c r="C2395" i="1"/>
  <c r="D2368" i="1"/>
  <c r="C1067" i="2"/>
  <c r="E2173" i="1"/>
  <c r="B1980" i="1"/>
  <c r="E2262" i="1"/>
  <c r="D1687" i="1"/>
  <c r="D1129" i="1"/>
  <c r="B484" i="2"/>
  <c r="C1163" i="2"/>
  <c r="C2470" i="1"/>
  <c r="E2392" i="1"/>
  <c r="D2053" i="1"/>
  <c r="E1885" i="1"/>
  <c r="E822" i="2"/>
  <c r="E2346" i="1"/>
  <c r="C307" i="2"/>
  <c r="D2433" i="1"/>
  <c r="B165" i="2"/>
  <c r="E2120" i="1"/>
  <c r="D1998" i="1"/>
  <c r="E2242" i="1"/>
  <c r="D198" i="2"/>
  <c r="C2052" i="1"/>
  <c r="C1424" i="2"/>
  <c r="F1681" i="1"/>
  <c r="B1809" i="1"/>
  <c r="F1660" i="1"/>
  <c r="B861" i="2"/>
  <c r="F1935" i="1"/>
  <c r="F2470" i="1"/>
  <c r="F1210" i="1"/>
  <c r="D684" i="2"/>
  <c r="F659" i="2"/>
  <c r="A1787" i="1"/>
  <c r="F2046" i="1"/>
  <c r="B509" i="2"/>
  <c r="A2216" i="1"/>
  <c r="C2448" i="1"/>
  <c r="C2326" i="1"/>
  <c r="C2184" i="1"/>
  <c r="F48" i="2"/>
  <c r="D457" i="2"/>
  <c r="F1577" i="2"/>
  <c r="B2059" i="2"/>
  <c r="B1087" i="2"/>
  <c r="F1097" i="2"/>
  <c r="E119" i="2"/>
  <c r="D2420" i="1"/>
  <c r="F222" i="2"/>
  <c r="E766" i="2"/>
  <c r="F575" i="2"/>
  <c r="E2332" i="1"/>
  <c r="F2512" i="1"/>
  <c r="E385" i="2"/>
  <c r="D658" i="2"/>
  <c r="D590" i="2"/>
  <c r="D2293" i="1"/>
  <c r="D2216" i="1"/>
  <c r="E188" i="2"/>
  <c r="D362" i="2"/>
  <c r="A2092" i="1"/>
  <c r="C1879" i="1"/>
  <c r="C2434" i="1"/>
  <c r="C1039" i="2"/>
  <c r="F452" i="2"/>
  <c r="F2174" i="1"/>
  <c r="A1601" i="1"/>
  <c r="C2319" i="1"/>
  <c r="D1993" i="1"/>
  <c r="C2009" i="1"/>
  <c r="B1452" i="1"/>
  <c r="F2460" i="1"/>
  <c r="C118" i="2"/>
  <c r="C427" i="2"/>
  <c r="F1791" i="1"/>
  <c r="A2374" i="1"/>
  <c r="F2088" i="1"/>
  <c r="C914" i="2"/>
  <c r="F1085" i="1"/>
  <c r="C430" i="2"/>
  <c r="D801" i="2"/>
  <c r="C45" i="2"/>
  <c r="B2086" i="1"/>
  <c r="A1832" i="1"/>
  <c r="D2167" i="1"/>
  <c r="D410" i="2"/>
  <c r="F1747" i="1"/>
  <c r="F782" i="2"/>
  <c r="B74" i="2"/>
  <c r="D1889" i="1"/>
  <c r="B2040" i="1"/>
  <c r="D2482" i="1"/>
  <c r="C1555" i="1"/>
  <c r="B789" i="2"/>
  <c r="C2282" i="1"/>
  <c r="B1968" i="1"/>
  <c r="B193" i="2"/>
  <c r="E1578" i="1"/>
  <c r="D323" i="2"/>
  <c r="D887" i="2"/>
  <c r="E1152" i="2"/>
  <c r="C1195" i="2"/>
  <c r="D247" i="2"/>
  <c r="D1142" i="2"/>
  <c r="F1292" i="2"/>
  <c r="F1281" i="2"/>
  <c r="F769" i="2"/>
  <c r="B104" i="2"/>
  <c r="B991" i="2"/>
  <c r="D1129" i="2"/>
  <c r="A2030" i="1"/>
  <c r="E130" i="2"/>
  <c r="D2394" i="1"/>
  <c r="E308" i="2"/>
  <c r="D986" i="2"/>
  <c r="F2396" i="1"/>
  <c r="E1758" i="2"/>
  <c r="B230" i="2"/>
  <c r="A2003" i="1"/>
  <c r="E855" i="2"/>
  <c r="E194" i="2"/>
  <c r="D1283" i="2"/>
  <c r="C1796" i="2"/>
  <c r="C6" i="2"/>
  <c r="C1102" i="2"/>
  <c r="C236" i="2"/>
  <c r="B526" i="2"/>
  <c r="D708" i="2"/>
  <c r="B1565" i="2"/>
  <c r="E540" i="2"/>
  <c r="B454" i="2"/>
  <c r="E1282" i="2"/>
  <c r="D957" i="2"/>
  <c r="B262" i="2"/>
  <c r="F336" i="2"/>
  <c r="E776" i="2"/>
  <c r="F2148" i="1"/>
  <c r="D304" i="2"/>
  <c r="B2209" i="1"/>
  <c r="F1240" i="2"/>
  <c r="B2366" i="2"/>
  <c r="B464" i="2"/>
  <c r="B677" i="2"/>
  <c r="B96" i="2"/>
  <c r="C332" i="2"/>
  <c r="C590" i="2"/>
  <c r="D1982" i="1"/>
  <c r="C1834" i="1"/>
  <c r="D1980" i="1"/>
  <c r="B2480" i="1"/>
  <c r="F2211" i="1"/>
  <c r="B1851" i="1"/>
  <c r="D1890" i="1"/>
  <c r="B804" i="1"/>
  <c r="F2146" i="1"/>
  <c r="D1290" i="1"/>
  <c r="C2497" i="1"/>
  <c r="C2292" i="1"/>
  <c r="B1103" i="2"/>
  <c r="D1504" i="2"/>
  <c r="C807" i="2"/>
  <c r="B606" i="2"/>
  <c r="F719" i="2"/>
  <c r="D2259" i="1"/>
  <c r="E1860" i="1"/>
  <c r="B2287" i="1"/>
  <c r="A2203" i="1"/>
  <c r="B1142" i="1"/>
  <c r="D2181" i="1"/>
  <c r="A1183" i="1"/>
  <c r="F77" i="2"/>
  <c r="A2317" i="1"/>
  <c r="D1156" i="2"/>
  <c r="C419" i="2"/>
  <c r="B1899" i="1"/>
  <c r="E831" i="2"/>
  <c r="D661" i="2"/>
  <c r="F598" i="2"/>
  <c r="E827" i="2"/>
  <c r="C2349" i="1"/>
  <c r="B2271" i="1"/>
  <c r="E748" i="2"/>
  <c r="D487" i="2"/>
  <c r="E1889" i="1"/>
  <c r="E351" i="2"/>
  <c r="E948" i="2"/>
  <c r="B954" i="2"/>
  <c r="C1800" i="1"/>
  <c r="B1853" i="1"/>
  <c r="C1072" i="2"/>
  <c r="C399" i="2"/>
  <c r="C256" i="2"/>
  <c r="F1344" i="2"/>
  <c r="B1128" i="2"/>
  <c r="D155" i="2"/>
  <c r="C2302" i="1"/>
  <c r="B783" i="2"/>
  <c r="F1233" i="1"/>
  <c r="C1355" i="2"/>
  <c r="F2226" i="1"/>
  <c r="A2381" i="1"/>
  <c r="D2364" i="1"/>
  <c r="F1906" i="1"/>
  <c r="B2155" i="1"/>
  <c r="D2072" i="1"/>
  <c r="C443" i="2"/>
  <c r="F1329" i="2"/>
  <c r="C2333" i="1"/>
  <c r="E761" i="2"/>
  <c r="B2310" i="1"/>
  <c r="F2062" i="1"/>
  <c r="E522" i="2"/>
  <c r="E80" i="2"/>
  <c r="B2419" i="1"/>
  <c r="B573" i="2"/>
  <c r="D1642" i="1"/>
  <c r="B605" i="2"/>
  <c r="C246" i="2"/>
  <c r="B781" i="2"/>
  <c r="B1718" i="1"/>
  <c r="D1063" i="2"/>
  <c r="A2275" i="1"/>
  <c r="F1579" i="1"/>
  <c r="D2366" i="1"/>
  <c r="B1565" i="1"/>
  <c r="C2498" i="1"/>
  <c r="D1005" i="2"/>
  <c r="C2417" i="1"/>
  <c r="D2262" i="1"/>
  <c r="B1517" i="1"/>
  <c r="F2245" i="1"/>
  <c r="B742" i="2"/>
  <c r="D1887" i="1"/>
  <c r="E1784" i="1"/>
  <c r="B1391" i="2"/>
  <c r="B990" i="2"/>
  <c r="E2095" i="2"/>
  <c r="D188" i="2"/>
  <c r="E1015" i="2"/>
  <c r="E1022" i="2"/>
  <c r="C589" i="2"/>
  <c r="B1207" i="2"/>
  <c r="E575" i="2"/>
  <c r="D230" i="2"/>
  <c r="D2385" i="1"/>
  <c r="E164" i="2"/>
  <c r="D293" i="2"/>
  <c r="D868" i="2"/>
  <c r="A2118" i="1"/>
  <c r="E700" i="2"/>
  <c r="F2020" i="1"/>
  <c r="B1947" i="1"/>
  <c r="D107" i="2"/>
  <c r="A2472" i="1"/>
  <c r="D922" i="2"/>
  <c r="F83" i="2"/>
  <c r="D2361" i="1"/>
  <c r="B1650" i="1"/>
  <c r="E2435" i="1"/>
  <c r="F2057" i="1"/>
  <c r="C28" i="2"/>
  <c r="C1867" i="1"/>
  <c r="B552" i="2"/>
  <c r="B450" i="2"/>
  <c r="F274" i="2"/>
  <c r="F1643" i="1"/>
  <c r="F1994" i="1"/>
  <c r="B1324" i="1"/>
  <c r="F248" i="2"/>
  <c r="B1092" i="1"/>
  <c r="B1082" i="2"/>
  <c r="A2000" i="1"/>
  <c r="B395" i="2"/>
  <c r="A1733" i="1"/>
  <c r="D2437" i="1"/>
  <c r="D2073" i="1"/>
  <c r="A2278" i="1"/>
  <c r="D1250" i="1"/>
  <c r="C2451" i="1"/>
  <c r="E54" i="2"/>
  <c r="A1127" i="1"/>
  <c r="F740" i="1"/>
  <c r="C755" i="2"/>
  <c r="C80" i="2"/>
  <c r="B1975" i="1"/>
  <c r="F767" i="2"/>
  <c r="C2323" i="1"/>
  <c r="E388" i="2"/>
  <c r="C2491" i="1"/>
  <c r="B1792" i="1"/>
  <c r="F542" i="2"/>
  <c r="E2279" i="1"/>
  <c r="F906" i="2"/>
  <c r="F2147" i="1"/>
  <c r="F1873" i="1"/>
  <c r="F1947" i="1"/>
  <c r="E1959" i="1"/>
  <c r="C1876" i="1"/>
  <c r="F1009" i="2"/>
  <c r="F1244" i="2"/>
  <c r="C440" i="2"/>
  <c r="B1011" i="2"/>
  <c r="D70" i="2"/>
  <c r="E1939" i="2"/>
  <c r="E33" i="2"/>
  <c r="E233" i="2"/>
  <c r="C1278" i="2"/>
  <c r="C457" i="2"/>
  <c r="B2124" i="1"/>
  <c r="D2414" i="1"/>
  <c r="C2177" i="1"/>
  <c r="E2416" i="1"/>
  <c r="D2388" i="1"/>
  <c r="C318" i="2"/>
  <c r="F2352" i="1"/>
  <c r="E64" i="2"/>
  <c r="D1934" i="1"/>
  <c r="D1876" i="1"/>
  <c r="D486" i="2"/>
  <c r="A2078" i="1"/>
  <c r="D302" i="2"/>
  <c r="C1778" i="1"/>
  <c r="C275" i="2"/>
  <c r="F1409" i="2"/>
  <c r="F1898" i="1"/>
  <c r="B1191" i="1"/>
  <c r="D185" i="2"/>
  <c r="B2018" i="1"/>
  <c r="A1541" i="1"/>
  <c r="D100" i="2"/>
  <c r="B565" i="2"/>
  <c r="C2074" i="1"/>
  <c r="C1031" i="2"/>
  <c r="D1429" i="1"/>
  <c r="C58" i="2"/>
  <c r="B2435" i="1"/>
  <c r="C1198" i="2"/>
  <c r="D2239" i="1"/>
  <c r="D448" i="2"/>
  <c r="C168" i="2"/>
  <c r="B1987" i="1"/>
  <c r="D2313" i="1"/>
  <c r="C1726" i="1"/>
  <c r="E1935" i="1"/>
  <c r="D1823" i="1"/>
  <c r="A2451" i="1"/>
  <c r="B641" i="2"/>
  <c r="E1930" i="1"/>
  <c r="C1838" i="1"/>
  <c r="F2426" i="1"/>
  <c r="C966" i="2"/>
  <c r="F1455" i="2"/>
  <c r="F889" i="2"/>
  <c r="B1408" i="1"/>
  <c r="A1991" i="1"/>
  <c r="F1140" i="2"/>
  <c r="D537" i="2"/>
  <c r="C1609" i="2"/>
  <c r="F625" i="2"/>
  <c r="B290" i="2"/>
  <c r="F373" i="2"/>
  <c r="B157" i="2"/>
  <c r="D212" i="2"/>
  <c r="B43" i="2"/>
  <c r="C729" i="2"/>
  <c r="C422" i="2"/>
  <c r="A2074" i="1"/>
  <c r="D2078" i="1"/>
  <c r="F2202" i="1"/>
  <c r="B1468" i="2"/>
  <c r="F1045" i="2"/>
  <c r="E2233" i="1"/>
  <c r="B659" i="2"/>
  <c r="C2472" i="1"/>
  <c r="B694" i="2"/>
  <c r="B2296" i="1"/>
  <c r="E1342" i="2"/>
  <c r="B1525" i="2"/>
  <c r="D55" i="2"/>
  <c r="F2422" i="1"/>
  <c r="B1770" i="1"/>
  <c r="E2030" i="1"/>
  <c r="B447" i="2"/>
  <c r="C195" i="2"/>
  <c r="D618" i="2"/>
  <c r="A2513" i="1"/>
  <c r="B764" i="2"/>
  <c r="A1857" i="1"/>
  <c r="E142" i="2"/>
  <c r="C687" i="2"/>
  <c r="F544" i="2"/>
  <c r="C188" i="2"/>
  <c r="C720" i="2"/>
  <c r="B270" i="2"/>
  <c r="B1866" i="1"/>
  <c r="C445" i="2"/>
  <c r="F197" i="2"/>
  <c r="E383" i="2"/>
  <c r="D2255" i="1"/>
  <c r="B1847" i="1"/>
  <c r="D877" i="1"/>
  <c r="C350" i="2"/>
  <c r="A1528" i="1"/>
  <c r="F2355" i="1"/>
  <c r="F73" i="2"/>
  <c r="B1263" i="1"/>
  <c r="D1598" i="1"/>
  <c r="F269" i="2"/>
  <c r="B1511" i="1"/>
  <c r="B2352" i="1"/>
  <c r="C1036" i="1"/>
  <c r="D1340" i="1"/>
  <c r="D652" i="2"/>
  <c r="E1029" i="2"/>
  <c r="F788" i="2"/>
  <c r="B371" i="2"/>
  <c r="C1971" i="1"/>
  <c r="D2511" i="1"/>
  <c r="D29" i="2"/>
  <c r="C2159" i="1"/>
  <c r="A1749" i="1"/>
  <c r="C252" i="2"/>
  <c r="D755" i="2"/>
  <c r="E450" i="2"/>
  <c r="A2242" i="1"/>
  <c r="D275" i="2"/>
  <c r="C1945" i="1"/>
  <c r="F124" i="2"/>
  <c r="F1042" i="2"/>
  <c r="C662" i="1"/>
  <c r="D1694" i="2"/>
  <c r="B890" i="1"/>
  <c r="D2027" i="1"/>
  <c r="F611" i="2"/>
  <c r="F1378" i="1"/>
  <c r="C244" i="2"/>
  <c r="D570" i="2"/>
  <c r="D748" i="2"/>
  <c r="D50" i="2"/>
  <c r="F302" i="2"/>
  <c r="D578" i="2"/>
  <c r="F1891" i="1"/>
  <c r="C124" i="2"/>
  <c r="B1681" i="1"/>
  <c r="F161" i="2"/>
  <c r="B556" i="2"/>
  <c r="D2202" i="1"/>
  <c r="D1664" i="2"/>
  <c r="E2323" i="1"/>
  <c r="D1170" i="2"/>
  <c r="F142" i="2"/>
  <c r="F2483" i="1"/>
  <c r="C461" i="2"/>
  <c r="F2249" i="1"/>
  <c r="B2042" i="1"/>
  <c r="E113" i="2"/>
  <c r="E891" i="2"/>
  <c r="C1362" i="1"/>
  <c r="E253" i="2"/>
  <c r="C1060" i="2"/>
  <c r="F2398" i="1"/>
  <c r="B2381" i="1"/>
  <c r="F346" i="2"/>
  <c r="B759" i="2"/>
  <c r="B276" i="2"/>
  <c r="F641" i="2"/>
  <c r="F2010" i="1"/>
  <c r="C1037" i="2"/>
  <c r="D541" i="2"/>
  <c r="D1712" i="1"/>
  <c r="D924" i="2"/>
  <c r="E490" i="2"/>
  <c r="F633" i="2"/>
  <c r="B2103" i="1"/>
  <c r="D1117" i="2"/>
  <c r="D210" i="2"/>
  <c r="B160" i="2"/>
  <c r="E544" i="2"/>
  <c r="E244" i="2"/>
  <c r="A1468" i="1"/>
  <c r="C1553" i="2"/>
  <c r="F2284" i="2"/>
  <c r="F1070" i="2"/>
  <c r="E548" i="2"/>
  <c r="D1852" i="1"/>
  <c r="F1604" i="1"/>
  <c r="C414" i="2"/>
  <c r="F1566" i="2"/>
  <c r="F1274" i="2"/>
  <c r="C999" i="2"/>
  <c r="B326" i="2"/>
  <c r="D299" i="2"/>
  <c r="F2000" i="1"/>
  <c r="F2507" i="1"/>
  <c r="A1590" i="1"/>
  <c r="D1888" i="1"/>
  <c r="B180" i="2"/>
  <c r="D2121" i="1"/>
  <c r="A1932" i="1"/>
  <c r="E117" i="2"/>
  <c r="F475" i="2"/>
  <c r="E225" i="2"/>
  <c r="C2267" i="1"/>
  <c r="A664" i="1"/>
  <c r="E2110" i="1"/>
  <c r="C917" i="2"/>
  <c r="C620" i="2"/>
  <c r="A1820" i="1"/>
  <c r="D724" i="2"/>
  <c r="C470" i="1"/>
  <c r="E623" i="2"/>
  <c r="C1376" i="2"/>
  <c r="F814" i="2"/>
  <c r="B530" i="2"/>
  <c r="B263" i="2"/>
  <c r="E1101" i="2"/>
  <c r="B2416" i="1"/>
  <c r="C2134" i="1"/>
  <c r="F2207" i="1"/>
  <c r="F767" i="1"/>
  <c r="E1087" i="2"/>
  <c r="B1577" i="1"/>
  <c r="B1844" i="1"/>
  <c r="E394" i="2"/>
  <c r="D2434" i="1"/>
  <c r="A2039" i="1"/>
  <c r="C122" i="2"/>
  <c r="B1586" i="1"/>
  <c r="F485" i="2"/>
  <c r="C1068" i="2"/>
  <c r="D1947" i="1"/>
  <c r="C2217" i="1"/>
  <c r="D1071" i="2"/>
  <c r="C1027" i="1"/>
  <c r="B471" i="2"/>
  <c r="C1817" i="2"/>
  <c r="B1319" i="2"/>
  <c r="F589" i="2"/>
  <c r="F2270" i="1"/>
  <c r="E200" i="2"/>
  <c r="B164" i="2"/>
  <c r="F2317" i="1"/>
  <c r="A2141" i="1"/>
  <c r="B252" i="2"/>
  <c r="A1658" i="1"/>
  <c r="C2231" i="1"/>
  <c r="B574" i="2"/>
  <c r="F31" i="2"/>
  <c r="F835" i="2"/>
  <c r="B2186" i="1"/>
  <c r="F30" i="2"/>
  <c r="D595" i="2"/>
  <c r="C135" i="2"/>
  <c r="B2493" i="1"/>
  <c r="E2445" i="1"/>
  <c r="D1236" i="1"/>
  <c r="D2267" i="1"/>
  <c r="A2286" i="1"/>
  <c r="A1265" i="1"/>
  <c r="B2106" i="1"/>
  <c r="E2228" i="1"/>
  <c r="F1555" i="2"/>
  <c r="D2002" i="1"/>
  <c r="B226" i="2"/>
  <c r="D344" i="2"/>
  <c r="F945" i="2"/>
  <c r="F731" i="2"/>
  <c r="A2447" i="1"/>
  <c r="E2401" i="1"/>
  <c r="D1015" i="2"/>
  <c r="F126" i="2"/>
  <c r="C931" i="2"/>
  <c r="B1242" i="2"/>
  <c r="D1943" i="1"/>
  <c r="D2252" i="1"/>
  <c r="C1976" i="1"/>
  <c r="B2377" i="1"/>
  <c r="F1719" i="1"/>
  <c r="B517" i="2"/>
  <c r="E265" i="2"/>
  <c r="D454" i="2"/>
  <c r="D1587" i="2"/>
  <c r="A2353" i="1"/>
  <c r="F772" i="2"/>
  <c r="C2459" i="1"/>
  <c r="A2475" i="1"/>
  <c r="E726" i="2"/>
  <c r="E2099" i="1"/>
  <c r="F627" i="2"/>
  <c r="C521" i="2"/>
  <c r="F572" i="2"/>
  <c r="D84" i="2"/>
  <c r="C344" i="2"/>
  <c r="E425" i="2"/>
  <c r="C2004" i="2"/>
  <c r="F2498" i="1"/>
  <c r="D1913" i="1"/>
  <c r="B707" i="2"/>
  <c r="F121" i="2"/>
  <c r="F209" i="2"/>
  <c r="F2089" i="1"/>
  <c r="B1366" i="2"/>
  <c r="C1392" i="2"/>
  <c r="F2503" i="1"/>
  <c r="E2064" i="1"/>
  <c r="F125" i="2"/>
  <c r="D1977" i="1"/>
  <c r="D1906" i="1"/>
  <c r="B744" i="2"/>
  <c r="B2084" i="1"/>
  <c r="E2052" i="1"/>
  <c r="B2189" i="1"/>
  <c r="F2012" i="1"/>
  <c r="B1887" i="1"/>
  <c r="F2060" i="2"/>
  <c r="B595" i="2"/>
  <c r="F178" i="2"/>
  <c r="C2313" i="1"/>
  <c r="C360" i="2"/>
  <c r="E625" i="2"/>
  <c r="F664" i="2"/>
  <c r="C1844" i="1"/>
  <c r="B1039" i="1"/>
  <c r="B830" i="2"/>
  <c r="B559" i="2"/>
  <c r="E212" i="2"/>
  <c r="D1082" i="2"/>
  <c r="A1837" i="1"/>
  <c r="C2039" i="1"/>
  <c r="F2176" i="1"/>
  <c r="D736" i="1"/>
  <c r="F2304" i="1"/>
  <c r="B2288" i="1"/>
  <c r="C2278" i="1"/>
  <c r="C1958" i="1"/>
  <c r="C686" i="2"/>
  <c r="D1878" i="1"/>
  <c r="E746" i="2"/>
  <c r="B2182" i="1"/>
  <c r="E983" i="2"/>
  <c r="B864" i="2"/>
  <c r="D563" i="2"/>
  <c r="B474" i="2"/>
  <c r="D2106" i="1"/>
  <c r="D2439" i="1"/>
  <c r="E1943" i="1"/>
  <c r="B1023" i="1"/>
  <c r="B1589" i="1"/>
  <c r="D1857" i="1"/>
  <c r="B2216" i="1"/>
  <c r="C2433" i="1"/>
  <c r="D2137" i="1"/>
  <c r="B2222" i="1"/>
  <c r="B585" i="2"/>
  <c r="B103" i="2"/>
  <c r="B1109" i="1"/>
  <c r="E2355" i="1"/>
  <c r="D877" i="2"/>
  <c r="D1966" i="1"/>
  <c r="C81" i="2"/>
  <c r="B2073" i="2"/>
  <c r="C57" i="2"/>
  <c r="C535" i="2"/>
  <c r="E845" i="2"/>
  <c r="E322" i="2"/>
  <c r="F693" i="2"/>
  <c r="C310" i="2"/>
  <c r="E1910" i="1"/>
  <c r="B1988" i="1"/>
  <c r="E329" i="2"/>
  <c r="B282" i="2"/>
  <c r="E1848" i="1"/>
  <c r="A2177" i="1"/>
  <c r="E711" i="2"/>
  <c r="C2293" i="1"/>
  <c r="B1948" i="1"/>
  <c r="F2030" i="1"/>
  <c r="C2321" i="1"/>
  <c r="A2119" i="1"/>
  <c r="F1568" i="1"/>
  <c r="B2004" i="1"/>
  <c r="C190" i="2"/>
  <c r="C2048" i="1"/>
  <c r="D696" i="2"/>
  <c r="E178" i="2"/>
  <c r="F1207" i="2"/>
  <c r="E155" i="2"/>
  <c r="E1391" i="2"/>
  <c r="D335" i="2"/>
  <c r="F477" i="2"/>
  <c r="F1658" i="2"/>
  <c r="B976" i="2"/>
  <c r="A1674" i="1"/>
  <c r="A2397" i="1"/>
  <c r="F766" i="2"/>
  <c r="F331" i="2"/>
  <c r="E112" i="2"/>
  <c r="C2178" i="1"/>
  <c r="B2144" i="1"/>
  <c r="A1545" i="1"/>
  <c r="D1126" i="2"/>
  <c r="D883" i="2"/>
  <c r="D2166" i="1"/>
  <c r="A2146" i="1"/>
  <c r="C1108" i="2"/>
  <c r="F1338" i="2"/>
  <c r="B314" i="2"/>
  <c r="E78" i="2"/>
  <c r="F892" i="2"/>
  <c r="B2133" i="1"/>
  <c r="A1589" i="1"/>
  <c r="E1961" i="1"/>
  <c r="B2012" i="1"/>
  <c r="F2100" i="1"/>
  <c r="C2409" i="1"/>
  <c r="C777" i="2"/>
  <c r="B2089" i="1"/>
  <c r="A1870" i="1"/>
  <c r="E2379" i="1"/>
  <c r="B1446" i="1"/>
  <c r="B892" i="1"/>
  <c r="E2013" i="1"/>
  <c r="A2514" i="1"/>
  <c r="A1830" i="1"/>
  <c r="A1629" i="1"/>
  <c r="E2375" i="1"/>
  <c r="F2096" i="1"/>
  <c r="D557" i="2"/>
  <c r="F1983" i="2"/>
  <c r="D1049" i="2"/>
  <c r="F1436" i="2"/>
  <c r="E987" i="2"/>
  <c r="C581" i="2"/>
  <c r="A1958" i="1"/>
  <c r="D2403" i="1"/>
  <c r="A1789" i="1"/>
  <c r="A2465" i="1"/>
  <c r="C735" i="2"/>
  <c r="A1171" i="1"/>
  <c r="F952" i="2"/>
  <c r="F2162" i="1"/>
  <c r="C2256" i="1"/>
  <c r="D653" i="2"/>
  <c r="A2412" i="1"/>
  <c r="F2041" i="1"/>
  <c r="E2127" i="1"/>
  <c r="D637" i="2"/>
  <c r="E1712" i="1"/>
  <c r="F421" i="2"/>
  <c r="E1121" i="2"/>
  <c r="F1934" i="1"/>
  <c r="F170" i="2"/>
  <c r="C951" i="2"/>
  <c r="E51" i="2"/>
  <c r="F326" i="2"/>
  <c r="E315" i="2"/>
  <c r="C338" i="2"/>
  <c r="B2254" i="1"/>
  <c r="A1355" i="1"/>
  <c r="E2424" i="1"/>
  <c r="C2182" i="1"/>
  <c r="F344" i="2"/>
  <c r="C2325" i="1"/>
  <c r="A1739" i="1"/>
  <c r="A2400" i="1"/>
  <c r="D287" i="2"/>
  <c r="D1862" i="1"/>
  <c r="B1893" i="1"/>
  <c r="A1908" i="1"/>
  <c r="B2208" i="1"/>
  <c r="D2500" i="1"/>
  <c r="D835" i="2"/>
  <c r="C2165" i="1"/>
  <c r="E2033" i="1"/>
  <c r="C1809" i="1"/>
  <c r="F2448" i="1"/>
  <c r="D1100" i="1"/>
  <c r="B803" i="2"/>
  <c r="B1545" i="1"/>
  <c r="C1350" i="2"/>
  <c r="D1736" i="2"/>
  <c r="B98" i="2"/>
  <c r="D1923" i="2"/>
  <c r="A2455" i="1"/>
  <c r="F2018" i="2"/>
  <c r="F1433" i="2"/>
  <c r="E445" i="2"/>
  <c r="C514" i="2"/>
  <c r="B1007" i="2"/>
  <c r="E693" i="2"/>
  <c r="F984" i="2"/>
  <c r="B1979" i="1"/>
  <c r="B1462" i="2"/>
  <c r="F1129" i="2"/>
  <c r="E148" i="2"/>
  <c r="F140" i="2"/>
  <c r="F1510" i="2"/>
  <c r="D42" i="2"/>
  <c r="F37" i="2"/>
  <c r="D2392" i="1"/>
  <c r="C2413" i="1"/>
  <c r="C90" i="2"/>
  <c r="E2357" i="1"/>
  <c r="C709" i="2"/>
  <c r="E2256" i="1"/>
  <c r="D569" i="2"/>
  <c r="D428" i="2"/>
  <c r="E220" i="2"/>
  <c r="F1997" i="1"/>
  <c r="B347" i="2"/>
  <c r="D2158" i="1"/>
  <c r="F2484" i="1"/>
  <c r="A2343" i="1"/>
  <c r="F2028" i="1"/>
  <c r="E390" i="2"/>
  <c r="A2277" i="1"/>
  <c r="C1491" i="1"/>
  <c r="D2389" i="1"/>
  <c r="D1510" i="1"/>
  <c r="D1244" i="1"/>
  <c r="F1239" i="2"/>
  <c r="C1920" i="1"/>
  <c r="D138" i="2"/>
  <c r="A2295" i="1"/>
  <c r="B1619" i="1"/>
  <c r="C721" i="2"/>
  <c r="E1313" i="1"/>
  <c r="A2230" i="1"/>
  <c r="D2135" i="2"/>
  <c r="C509" i="2"/>
  <c r="C701" i="2"/>
  <c r="C2259" i="1"/>
  <c r="D583" i="2"/>
  <c r="B144" i="2"/>
  <c r="C1687" i="1"/>
  <c r="F2107" i="1"/>
  <c r="D1" i="2"/>
  <c r="A2175" i="1"/>
  <c r="E201" i="2"/>
  <c r="D105" i="2"/>
  <c r="F1290" i="2"/>
  <c r="D393" i="2"/>
  <c r="C621" i="2"/>
  <c r="F2042" i="1"/>
  <c r="D62" i="2"/>
  <c r="D1937" i="1"/>
  <c r="D2098" i="1"/>
  <c r="A1091" i="1"/>
  <c r="B1227" i="1"/>
  <c r="C503" i="2"/>
  <c r="E1492" i="1"/>
  <c r="C631" i="2"/>
  <c r="B1091" i="2"/>
  <c r="B257" i="2"/>
  <c r="E161" i="2"/>
  <c r="C2469" i="1"/>
  <c r="D195" i="2"/>
  <c r="C1742" i="1"/>
  <c r="E2246" i="1"/>
  <c r="C1698" i="1"/>
  <c r="D2146" i="1"/>
  <c r="C2195" i="1"/>
  <c r="C2142" i="1"/>
  <c r="C1738" i="1"/>
  <c r="A2389" i="1"/>
  <c r="F514" i="2"/>
  <c r="C2158" i="1"/>
  <c r="A2070" i="1"/>
  <c r="B849" i="2"/>
  <c r="B802" i="2"/>
  <c r="C1922" i="1"/>
  <c r="C1949" i="1"/>
  <c r="C1322" i="2"/>
  <c r="A2227" i="1"/>
  <c r="C2028" i="1"/>
  <c r="F1505" i="1"/>
  <c r="D1155" i="1"/>
  <c r="C998" i="2"/>
  <c r="D1612" i="1"/>
  <c r="D1705" i="2"/>
  <c r="D357" i="2"/>
  <c r="C159" i="2"/>
  <c r="F844" i="2"/>
  <c r="B2464" i="1"/>
  <c r="C762" i="2"/>
  <c r="D1019" i="2"/>
  <c r="C546" i="2"/>
  <c r="D194" i="2"/>
  <c r="E851" i="2"/>
  <c r="B2379" i="1"/>
  <c r="C867" i="2"/>
  <c r="B2344" i="1"/>
  <c r="B667" i="2"/>
  <c r="F843" i="2"/>
  <c r="C2371" i="1"/>
  <c r="B1548" i="1"/>
  <c r="F212" i="2"/>
  <c r="E1666" i="1"/>
  <c r="B1167" i="2"/>
  <c r="E2197" i="1"/>
  <c r="C591" i="2"/>
  <c r="C1398" i="1"/>
  <c r="D191" i="2"/>
  <c r="D1423" i="1"/>
  <c r="D765" i="2"/>
  <c r="E206" i="2"/>
  <c r="B293" i="2"/>
  <c r="D544" i="2"/>
  <c r="E626" i="2"/>
  <c r="B1826" i="1"/>
  <c r="C1786" i="1"/>
  <c r="D786" i="2"/>
  <c r="D2071" i="1"/>
  <c r="B2276" i="1"/>
  <c r="F2241" i="1"/>
  <c r="A2023" i="1"/>
  <c r="C897" i="1"/>
  <c r="C26" i="2"/>
  <c r="A1965" i="1"/>
  <c r="D932" i="2"/>
  <c r="E2039" i="1"/>
  <c r="E1355" i="1"/>
  <c r="C2018" i="1"/>
  <c r="F358" i="2"/>
  <c r="B1938" i="1"/>
  <c r="F1984" i="1"/>
  <c r="F1847" i="1"/>
  <c r="F1285" i="2"/>
  <c r="D86" i="2"/>
  <c r="B265" i="2"/>
  <c r="E415" i="2"/>
  <c r="C2203" i="1"/>
  <c r="E856" i="2"/>
  <c r="A1680" i="1"/>
  <c r="F2394" i="1"/>
  <c r="F2316" i="1"/>
  <c r="A2094" i="1"/>
  <c r="B773" i="2"/>
  <c r="C171" i="2"/>
  <c r="B2102" i="1"/>
  <c r="E135" i="2"/>
  <c r="F2221" i="1"/>
  <c r="D2499" i="1"/>
  <c r="B2481" i="1"/>
  <c r="F649" i="2"/>
  <c r="B1617" i="1"/>
  <c r="A1028" i="1"/>
  <c r="B2465" i="1"/>
  <c r="D2082" i="1"/>
  <c r="A2388" i="1"/>
  <c r="C1831" i="1"/>
  <c r="C362" i="2"/>
  <c r="F1651" i="2"/>
  <c r="F677" i="2"/>
  <c r="B902" i="2"/>
  <c r="D94" i="2"/>
  <c r="D2494" i="1"/>
  <c r="E1560" i="1"/>
  <c r="B1862" i="1"/>
  <c r="C302" i="2"/>
  <c r="F988" i="2"/>
  <c r="D2114" i="1"/>
  <c r="A2069" i="1"/>
  <c r="B318" i="2"/>
  <c r="F137" i="2"/>
  <c r="F1054" i="2"/>
  <c r="F571" i="2"/>
  <c r="E2025" i="1"/>
  <c r="D1159" i="2"/>
  <c r="B866" i="2"/>
  <c r="F904" i="2"/>
  <c r="B1282" i="2"/>
  <c r="F2491" i="1"/>
  <c r="B2385" i="1"/>
  <c r="B786" i="2"/>
  <c r="B1171" i="1"/>
  <c r="A1227" i="1"/>
  <c r="C2305" i="1"/>
  <c r="D342" i="2"/>
  <c r="E1802" i="2"/>
  <c r="D952" i="2"/>
  <c r="F1318" i="2"/>
  <c r="E997" i="2"/>
  <c r="A2279" i="1"/>
  <c r="E377" i="2"/>
  <c r="C2150" i="1"/>
  <c r="E1861" i="1"/>
  <c r="E2453" i="1"/>
  <c r="C2280" i="1"/>
  <c r="F1447" i="2"/>
  <c r="F2083" i="1"/>
  <c r="C2505" i="1"/>
  <c r="C837" i="2"/>
  <c r="E934" i="2"/>
  <c r="C433" i="2"/>
  <c r="D602" i="2"/>
  <c r="C2477" i="1"/>
  <c r="A2144" i="1"/>
  <c r="E2414" i="1"/>
  <c r="A1283" i="1"/>
  <c r="B1452" i="2"/>
  <c r="F569" i="2"/>
  <c r="E340" i="2"/>
  <c r="C455" i="2"/>
  <c r="E1659" i="1"/>
  <c r="D761" i="2"/>
  <c r="D1185" i="1"/>
  <c r="C369" i="2"/>
  <c r="F1999" i="1"/>
  <c r="D2212" i="1"/>
  <c r="D318" i="2"/>
  <c r="B1143" i="2"/>
  <c r="F2459" i="1"/>
  <c r="F718" i="2"/>
  <c r="B628" i="2"/>
  <c r="D1024" i="1"/>
  <c r="C572" i="2"/>
  <c r="B1927" i="1"/>
  <c r="B2241" i="1"/>
  <c r="F1460" i="1"/>
  <c r="F1862" i="1"/>
  <c r="D1281" i="2"/>
  <c r="E374" i="2"/>
  <c r="F2401" i="1"/>
  <c r="E559" i="2"/>
  <c r="B1071" i="1"/>
  <c r="A2276" i="1"/>
  <c r="D1161" i="2"/>
  <c r="B661" i="2"/>
  <c r="E2061" i="1"/>
  <c r="D2375" i="1"/>
  <c r="A2211" i="1"/>
  <c r="B2073" i="1"/>
  <c r="E1091" i="1"/>
  <c r="E1803" i="1"/>
  <c r="D1034" i="2"/>
  <c r="D2396" i="1"/>
  <c r="A2354" i="1"/>
  <c r="C601" i="2"/>
  <c r="E9" i="2"/>
  <c r="B1858" i="1"/>
  <c r="D156" i="2"/>
  <c r="C2512" i="1"/>
  <c r="E2352" i="1"/>
  <c r="D815" i="2"/>
  <c r="F521" i="2"/>
  <c r="F1061" i="2"/>
  <c r="C237" i="2"/>
  <c r="C1535" i="1"/>
  <c r="D1198" i="2"/>
  <c r="F2130" i="1"/>
  <c r="A2149" i="1"/>
  <c r="F2021" i="1"/>
  <c r="B1827" i="1"/>
  <c r="E551" i="2"/>
  <c r="C2228" i="1"/>
  <c r="C2401" i="1"/>
  <c r="B631" i="2"/>
  <c r="D68" i="2"/>
  <c r="F2356" i="1"/>
  <c r="E912" i="2"/>
  <c r="C1768" i="1"/>
  <c r="D1610" i="1"/>
  <c r="C2265" i="1"/>
  <c r="C2161" i="1"/>
  <c r="F224" i="2"/>
  <c r="B2188" i="1"/>
  <c r="D1848" i="1"/>
  <c r="F992" i="2"/>
  <c r="B1407" i="1"/>
  <c r="C346" i="2"/>
  <c r="F1716" i="1"/>
  <c r="F1638" i="2"/>
  <c r="F917" i="2"/>
  <c r="C2295" i="1"/>
  <c r="E2230" i="1"/>
  <c r="B643" i="2"/>
  <c r="C2341" i="1"/>
  <c r="E299" i="2"/>
  <c r="D525" i="2"/>
  <c r="F276" i="2"/>
  <c r="D2070" i="1"/>
  <c r="D184" i="2"/>
  <c r="C2123" i="1"/>
  <c r="D1072" i="1"/>
  <c r="F1475" i="1"/>
  <c r="A2031" i="1"/>
  <c r="C394" i="2"/>
  <c r="B1529" i="1"/>
  <c r="A2038" i="1"/>
  <c r="F2232" i="1"/>
  <c r="B2294" i="1"/>
  <c r="C172" i="2"/>
  <c r="B942" i="2"/>
  <c r="B2354" i="1"/>
  <c r="B31" i="2"/>
  <c r="B1799" i="1"/>
  <c r="C387" i="2"/>
  <c r="C1507" i="1"/>
  <c r="F313" i="2"/>
  <c r="C544" i="2"/>
  <c r="E916" i="2"/>
  <c r="D173" i="2"/>
  <c r="C2363" i="1"/>
  <c r="D1302" i="1"/>
  <c r="D2174" i="1"/>
  <c r="C367" i="2"/>
  <c r="D2359" i="1"/>
  <c r="F1240" i="1"/>
  <c r="E1733" i="1"/>
  <c r="C665" i="2"/>
  <c r="E1899" i="1"/>
  <c r="A2100" i="1"/>
  <c r="B1669" i="1"/>
  <c r="D2284" i="1"/>
  <c r="F180" i="2"/>
  <c r="F2432" i="1"/>
  <c r="C2479" i="1"/>
  <c r="E2481" i="1"/>
  <c r="D92" i="2"/>
  <c r="F1747" i="2"/>
  <c r="A2487" i="1"/>
  <c r="C2199" i="1"/>
  <c r="B1503" i="2"/>
  <c r="F1435" i="2"/>
  <c r="B2411" i="1"/>
  <c r="C401" i="2"/>
  <c r="F2252" i="1"/>
  <c r="B115" i="2"/>
  <c r="F1690" i="1"/>
  <c r="C155" i="2"/>
  <c r="A2351" i="1"/>
  <c r="C2501" i="1"/>
  <c r="A2504" i="1"/>
  <c r="F2175" i="1"/>
  <c r="B2136" i="1"/>
  <c r="B186" i="2"/>
  <c r="B1833" i="1"/>
  <c r="F2137" i="1"/>
  <c r="C1139" i="2"/>
  <c r="C681" i="2"/>
  <c r="D2145" i="1"/>
  <c r="E1243" i="1"/>
  <c r="D345" i="2"/>
  <c r="F1041" i="1"/>
  <c r="F2095" i="1"/>
  <c r="E213" i="2"/>
  <c r="B603" i="2"/>
  <c r="D2294" i="1"/>
  <c r="E1791" i="1"/>
  <c r="A2395" i="1"/>
  <c r="D1554" i="1"/>
  <c r="D2491" i="1"/>
  <c r="E48" i="2"/>
  <c r="F1953" i="1"/>
  <c r="B209" i="2"/>
  <c r="C91" i="2"/>
  <c r="F2205" i="1"/>
  <c r="F2225" i="1"/>
  <c r="C1953" i="1"/>
  <c r="E2032" i="1"/>
  <c r="B387" i="2"/>
  <c r="C2476" i="1"/>
  <c r="E2257" i="1"/>
  <c r="D2415" i="1"/>
  <c r="E15" i="2"/>
  <c r="E2106" i="1"/>
  <c r="E392" i="2"/>
  <c r="D674" i="2"/>
  <c r="A1397" i="1"/>
  <c r="B369" i="2"/>
  <c r="E815" i="2"/>
  <c r="F1817" i="1"/>
  <c r="B2132" i="1"/>
  <c r="B1134" i="1"/>
  <c r="A2007" i="1"/>
  <c r="E1274" i="1"/>
  <c r="E1311" i="1"/>
  <c r="C2111" i="1"/>
  <c r="A2283" i="1"/>
  <c r="F1144" i="1"/>
  <c r="F1572" i="1"/>
  <c r="F1375" i="2"/>
  <c r="D2514" i="1"/>
  <c r="D502" i="2"/>
  <c r="E1052" i="2"/>
  <c r="A2180" i="1"/>
  <c r="D2302" i="1"/>
  <c r="B2122" i="1"/>
  <c r="E2265" i="1"/>
  <c r="A1523" i="1"/>
  <c r="C574" i="2"/>
  <c r="F2286" i="1"/>
  <c r="F916" i="2"/>
  <c r="E1818" i="1"/>
  <c r="E2452" i="1"/>
  <c r="C1173" i="1"/>
  <c r="B2094" i="1"/>
  <c r="F2132" i="1"/>
  <c r="D374" i="2"/>
  <c r="E2221" i="1"/>
  <c r="A2205" i="1"/>
  <c r="F1672" i="2"/>
  <c r="D1250" i="2"/>
  <c r="E1448" i="1"/>
  <c r="F802" i="2"/>
  <c r="C1539" i="1"/>
  <c r="C1474" i="1"/>
  <c r="C842" i="2"/>
  <c r="E1954" i="1"/>
  <c r="B1831" i="1"/>
  <c r="E1753" i="1"/>
  <c r="D677" i="2"/>
  <c r="D2000" i="1"/>
  <c r="F1589" i="2"/>
  <c r="C2460" i="1"/>
  <c r="D1750" i="1"/>
  <c r="F2487" i="1"/>
  <c r="B932" i="2"/>
  <c r="F1680" i="1"/>
  <c r="F1669" i="1"/>
  <c r="F1871" i="1"/>
  <c r="E1175" i="2"/>
  <c r="A1215" i="1"/>
  <c r="D2344" i="1"/>
  <c r="C963" i="2"/>
  <c r="F2159" i="1"/>
  <c r="D2120" i="1"/>
  <c r="B1624" i="1"/>
  <c r="E2263" i="1"/>
  <c r="C420" i="2"/>
  <c r="A2224" i="1"/>
  <c r="F2415" i="1"/>
  <c r="C1910" i="1"/>
  <c r="D2320" i="1"/>
  <c r="C1863" i="1"/>
  <c r="E867" i="1"/>
  <c r="D1217" i="1"/>
  <c r="E508" i="1"/>
  <c r="F876" i="2"/>
  <c r="E2070" i="1"/>
  <c r="D961" i="2"/>
  <c r="A2103" i="1"/>
  <c r="E2142" i="1"/>
  <c r="B2269" i="1"/>
  <c r="E2149" i="1"/>
  <c r="C1702" i="1"/>
  <c r="E1667" i="1"/>
  <c r="F278" i="2"/>
  <c r="E564" i="2"/>
  <c r="F931" i="2"/>
  <c r="D1922" i="1"/>
  <c r="C863" i="1"/>
  <c r="A2101" i="1"/>
  <c r="A2271" i="1"/>
  <c r="D1831" i="1"/>
  <c r="D1710" i="1"/>
  <c r="C717" i="2"/>
  <c r="B2238" i="1"/>
  <c r="E532" i="2"/>
  <c r="E1333" i="1"/>
  <c r="D2340" i="1"/>
  <c r="E132" i="2"/>
  <c r="B2252" i="1"/>
  <c r="E460" i="2"/>
  <c r="D2161" i="1"/>
  <c r="B1701" i="2"/>
  <c r="E497" i="2"/>
  <c r="F1217" i="2"/>
  <c r="C1759" i="1"/>
  <c r="D2279" i="1"/>
  <c r="E250" i="2"/>
  <c r="F681" i="2"/>
  <c r="D95" i="2"/>
  <c r="F1902" i="1"/>
  <c r="E1253" i="1"/>
  <c r="A1737" i="1"/>
  <c r="C1161" i="2"/>
  <c r="E1324" i="2"/>
  <c r="F2490" i="1"/>
  <c r="C2202" i="1"/>
  <c r="A2018" i="1"/>
  <c r="A2135" i="1"/>
  <c r="D942" i="2"/>
  <c r="E1002" i="2"/>
  <c r="B1308" i="1"/>
  <c r="B621" i="2"/>
  <c r="D338" i="2"/>
  <c r="B1957" i="1"/>
  <c r="E1536" i="1"/>
  <c r="C1353" i="2"/>
  <c r="F511" i="2"/>
  <c r="D718" i="2"/>
  <c r="F806" i="2"/>
  <c r="D1978" i="1"/>
  <c r="C335" i="2"/>
  <c r="C2336" i="1"/>
  <c r="B2336" i="1"/>
  <c r="C37" i="2"/>
  <c r="C213" i="2"/>
  <c r="A2477" i="1"/>
  <c r="A2483" i="1"/>
  <c r="C2283" i="1"/>
  <c r="C2484" i="1"/>
  <c r="C309" i="2"/>
  <c r="D2231" i="1"/>
  <c r="D31" i="2"/>
  <c r="D1452" i="1"/>
  <c r="B1817" i="1"/>
  <c r="A1503" i="1"/>
  <c r="A1924" i="1"/>
  <c r="A2006" i="1"/>
  <c r="C2032" i="1"/>
  <c r="F1865" i="1"/>
  <c r="F1854" i="1"/>
  <c r="B1615" i="1"/>
  <c r="C2122" i="1"/>
  <c r="E2024" i="1"/>
  <c r="E2301" i="1"/>
  <c r="C34" i="2"/>
  <c r="E1988" i="1"/>
  <c r="C2101" i="1"/>
  <c r="B259" i="2"/>
  <c r="B1715" i="1"/>
  <c r="F2469" i="1"/>
  <c r="C342" i="2"/>
  <c r="F1836" i="1"/>
  <c r="B1518" i="1"/>
  <c r="B168" i="2"/>
  <c r="C1306" i="2"/>
  <c r="C676" i="2"/>
  <c r="C1952" i="1"/>
  <c r="E24" i="2"/>
  <c r="C2239" i="1"/>
  <c r="C223" i="2"/>
  <c r="B1046" i="2"/>
  <c r="C315" i="2"/>
  <c r="C2045" i="1"/>
  <c r="E67" i="2"/>
  <c r="E107" i="2"/>
  <c r="E150" i="2"/>
  <c r="D2280" i="1"/>
  <c r="B1902" i="1"/>
  <c r="F384" i="2"/>
  <c r="E26" i="2"/>
  <c r="D1804" i="1"/>
  <c r="B289" i="2"/>
  <c r="C1729" i="1"/>
  <c r="C980" i="2"/>
  <c r="D2362" i="1"/>
  <c r="B410" i="2"/>
  <c r="E84" i="2"/>
  <c r="D463" i="2"/>
  <c r="E1747" i="1"/>
  <c r="C1629" i="1"/>
  <c r="E1274" i="2"/>
  <c r="F494" i="2"/>
  <c r="D2236" i="1"/>
  <c r="C2163" i="1"/>
  <c r="F2044" i="1"/>
  <c r="C541" i="2"/>
  <c r="E2015" i="1"/>
  <c r="C2514" i="1"/>
  <c r="F871" i="2"/>
  <c r="C1590" i="1"/>
  <c r="E61" i="2"/>
  <c r="F1026" i="2"/>
  <c r="D2207" i="1"/>
  <c r="C304" i="2"/>
  <c r="C743" i="1"/>
  <c r="F645" i="2"/>
  <c r="E2286" i="1"/>
  <c r="E2460" i="1"/>
  <c r="D108" i="2"/>
  <c r="C1928" i="1"/>
  <c r="F479" i="2"/>
  <c r="C2485" i="1"/>
  <c r="D1411" i="1"/>
  <c r="F2234" i="1"/>
  <c r="C983" i="2"/>
  <c r="F733" i="2"/>
  <c r="F314" i="2"/>
  <c r="B2500" i="1"/>
  <c r="B147" i="2"/>
  <c r="B2258" i="1"/>
  <c r="C426" i="2"/>
  <c r="F968" i="2"/>
  <c r="C566" i="2"/>
  <c r="E615" i="2"/>
  <c r="C321" i="2"/>
  <c r="C2268" i="1"/>
  <c r="C2116" i="1"/>
  <c r="F318" i="2"/>
  <c r="A1693" i="1"/>
  <c r="D855" i="2"/>
  <c r="F2017" i="1"/>
  <c r="D269" i="2"/>
  <c r="C465" i="2"/>
  <c r="C2486" i="1"/>
  <c r="D2387" i="1"/>
  <c r="F1620" i="1"/>
  <c r="F1936" i="1"/>
  <c r="B1995" i="1"/>
  <c r="B2259" i="1"/>
  <c r="A225" i="1"/>
  <c r="A2476" i="1"/>
  <c r="F2500" i="1"/>
  <c r="F2079" i="1"/>
  <c r="D2020" i="1"/>
  <c r="A2337" i="1"/>
  <c r="D1201" i="1"/>
  <c r="B80" i="2"/>
  <c r="E94" i="2"/>
  <c r="E58" i="2"/>
  <c r="F2011" i="1"/>
  <c r="E1743" i="1"/>
  <c r="D531" i="2"/>
  <c r="F2447" i="1"/>
  <c r="D264" i="2"/>
  <c r="B1493" i="1"/>
  <c r="E2368" i="1"/>
  <c r="C2065" i="1"/>
  <c r="F2392" i="1"/>
  <c r="D2341" i="1"/>
  <c r="A2056" i="1"/>
  <c r="D266" i="2"/>
  <c r="D24" i="2"/>
  <c r="F268" i="2"/>
  <c r="B291" i="2"/>
  <c r="B2383" i="1"/>
  <c r="A2237" i="1"/>
  <c r="E2272" i="1"/>
  <c r="C1576" i="1"/>
  <c r="B1292" i="1"/>
  <c r="C99" i="2"/>
  <c r="B1344" i="1"/>
  <c r="C2086" i="1"/>
  <c r="F120" i="2"/>
  <c r="B1016" i="2"/>
  <c r="F2330" i="1"/>
  <c r="C2299" i="1"/>
  <c r="D2076" i="1"/>
  <c r="D1059" i="2"/>
  <c r="D2490" i="1"/>
  <c r="C2356" i="1"/>
  <c r="D2143" i="1"/>
  <c r="F2168" i="1"/>
  <c r="E2188" i="1"/>
  <c r="B300" i="2"/>
  <c r="E1995" i="1"/>
  <c r="A1970" i="1"/>
  <c r="A1838" i="1"/>
  <c r="A1168" i="1"/>
  <c r="F560" i="2"/>
  <c r="C635" i="2"/>
  <c r="F1382" i="1"/>
  <c r="A2168" i="1"/>
  <c r="B1528" i="1"/>
  <c r="E2468" i="1"/>
  <c r="E1330" i="1"/>
  <c r="B359" i="2"/>
  <c r="C576" i="2"/>
  <c r="D1899" i="1"/>
  <c r="D1564" i="1"/>
  <c r="E1546" i="1"/>
  <c r="D187" i="2"/>
  <c r="B1556" i="1"/>
  <c r="C1917" i="1"/>
  <c r="C1681" i="1"/>
  <c r="C13" i="2"/>
  <c r="E2275" i="1"/>
  <c r="C1602" i="1"/>
  <c r="D726" i="2"/>
  <c r="C1756" i="1"/>
  <c r="D58" i="2"/>
  <c r="F1379" i="1"/>
  <c r="C1635" i="1"/>
  <c r="B2429" i="1"/>
  <c r="E2178" i="1"/>
  <c r="B1729" i="1"/>
  <c r="C2133" i="1"/>
  <c r="B1419" i="2"/>
  <c r="D506" i="2"/>
  <c r="C243" i="2"/>
  <c r="C169" i="2"/>
  <c r="B2319" i="1"/>
  <c r="D1148" i="1"/>
  <c r="B2398" i="1"/>
  <c r="E2428" i="1"/>
  <c r="A1557" i="1"/>
  <c r="C1728" i="1"/>
  <c r="C2478" i="1"/>
  <c r="E1284" i="1"/>
  <c r="D1492" i="1"/>
  <c r="B2372" i="1"/>
  <c r="A1361" i="1"/>
  <c r="B986" i="2"/>
  <c r="B863" i="2"/>
  <c r="E1215" i="2"/>
  <c r="A2303" i="1"/>
  <c r="B564" i="2"/>
  <c r="E2022" i="1"/>
  <c r="A1807" i="1"/>
  <c r="D449" i="2"/>
  <c r="C705" i="2"/>
  <c r="B1812" i="1"/>
  <c r="F1394" i="1"/>
  <c r="E1141" i="1"/>
  <c r="C1272" i="1"/>
  <c r="E802" i="1"/>
  <c r="C1068" i="1"/>
  <c r="E2038" i="1"/>
  <c r="C675" i="1"/>
  <c r="E255" i="2"/>
  <c r="C279" i="2"/>
  <c r="B911" i="2"/>
  <c r="B964" i="2"/>
  <c r="F1637" i="1"/>
  <c r="F1887" i="1"/>
  <c r="B1326" i="2"/>
  <c r="C525" i="2"/>
  <c r="C336" i="2"/>
  <c r="D295" i="2"/>
  <c r="C843" i="2"/>
  <c r="E728" i="2"/>
  <c r="B82" i="2"/>
  <c r="C1378" i="1"/>
  <c r="C11" i="2"/>
  <c r="D1630" i="1"/>
  <c r="E874" i="2"/>
  <c r="D1851" i="1"/>
  <c r="C1415" i="1"/>
  <c r="F690" i="2"/>
  <c r="C953" i="2"/>
  <c r="D2257" i="1"/>
  <c r="B1682" i="1"/>
  <c r="D1473" i="1"/>
  <c r="A2506" i="1"/>
  <c r="C240" i="2"/>
  <c r="F680" i="2"/>
  <c r="E137" i="2"/>
  <c r="A2474" i="1"/>
  <c r="E2154" i="1"/>
  <c r="D297" i="2"/>
  <c r="F1695" i="1"/>
  <c r="E697" i="2"/>
  <c r="C1071" i="2"/>
  <c r="C432" i="2"/>
  <c r="B1215" i="2"/>
  <c r="C359" i="2"/>
  <c r="E2133" i="1"/>
  <c r="D2055" i="1"/>
  <c r="C2314" i="1"/>
  <c r="B146" i="2"/>
  <c r="F2196" i="1"/>
  <c r="E2029" i="1"/>
  <c r="E2465" i="1"/>
  <c r="B458" i="2"/>
  <c r="C123" i="2"/>
  <c r="F517" i="2"/>
  <c r="F481" i="2"/>
  <c r="D355" i="2"/>
  <c r="F94" i="2"/>
  <c r="C2287" i="1"/>
  <c r="B2391" i="1"/>
  <c r="E66" i="2"/>
  <c r="E39" i="2"/>
  <c r="D1774" i="1"/>
  <c r="B75" i="2"/>
  <c r="B30" i="2"/>
  <c r="F744" i="2"/>
  <c r="D1434" i="1"/>
  <c r="C2047" i="1"/>
  <c r="F1253" i="1"/>
  <c r="C2423" i="1"/>
  <c r="B1896" i="1"/>
  <c r="B1025" i="1"/>
  <c r="B1673" i="1"/>
  <c r="A2512" i="1"/>
  <c r="B2467" i="1"/>
  <c r="F581" i="2"/>
  <c r="E1244" i="2"/>
  <c r="F1336" i="1"/>
  <c r="F1970" i="1"/>
  <c r="F965" i="2"/>
  <c r="F128" i="2"/>
  <c r="E2371" i="1"/>
  <c r="F2090" i="1"/>
  <c r="F2289" i="1"/>
  <c r="E925" i="2"/>
  <c r="A2164" i="1"/>
  <c r="F127" i="2"/>
  <c r="B970" i="2"/>
  <c r="D144" i="2"/>
  <c r="E1050" i="2"/>
  <c r="E2008" i="1"/>
  <c r="B394" i="2"/>
  <c r="A2255" i="1"/>
  <c r="E822" i="1"/>
  <c r="B2449" i="1"/>
  <c r="D982" i="1"/>
  <c r="C1699" i="1"/>
  <c r="F842" i="2"/>
  <c r="C268" i="2"/>
  <c r="F1946" i="1"/>
  <c r="E1893" i="1"/>
  <c r="F484" i="2"/>
  <c r="B2468" i="1"/>
  <c r="B255" i="2"/>
  <c r="D1758" i="1"/>
  <c r="F1979" i="1"/>
  <c r="C1162" i="2"/>
  <c r="B1371" i="2"/>
  <c r="D631" i="2"/>
  <c r="B491" i="2"/>
  <c r="F261" i="2"/>
  <c r="C1977" i="1"/>
  <c r="B1578" i="1"/>
  <c r="E1021" i="2"/>
  <c r="A2190" i="1"/>
  <c r="B225" i="2"/>
  <c r="D2417" i="1"/>
  <c r="D2314" i="1"/>
  <c r="C786" i="2"/>
  <c r="D885" i="2"/>
  <c r="D1113" i="1"/>
  <c r="D2379" i="1"/>
  <c r="A2302" i="1"/>
  <c r="B867" i="2"/>
  <c r="E270" i="2"/>
  <c r="C2081" i="1"/>
  <c r="C2431" i="1"/>
  <c r="F1028" i="1"/>
  <c r="F1389" i="1"/>
  <c r="D1863" i="1"/>
  <c r="C881" i="2"/>
  <c r="C239" i="2"/>
  <c r="E2484" i="1"/>
  <c r="C873" i="2"/>
  <c r="C2290" i="1"/>
  <c r="E2399" i="1"/>
  <c r="B569" i="2"/>
  <c r="E2331" i="1"/>
  <c r="D479" i="2"/>
  <c r="B1267" i="1"/>
  <c r="D326" i="2"/>
  <c r="F335" i="2"/>
  <c r="C2404" i="1"/>
  <c r="F2266" i="1"/>
  <c r="D1387" i="1"/>
  <c r="A2364" i="1"/>
  <c r="F2303" i="1"/>
  <c r="B2249" i="1"/>
  <c r="E694" i="2"/>
  <c r="A1164" i="1"/>
  <c r="A2253" i="1"/>
  <c r="E1920" i="1"/>
  <c r="B81" i="2"/>
  <c r="E2376" i="1"/>
  <c r="B1766" i="1"/>
  <c r="D1999" i="1"/>
  <c r="D1971" i="1"/>
  <c r="A1905" i="1"/>
  <c r="F1846" i="1"/>
  <c r="F1143" i="1"/>
  <c r="A2326" i="1"/>
  <c r="E1792" i="1"/>
  <c r="B1896" i="2"/>
  <c r="D22" i="2"/>
  <c r="E2020" i="1"/>
  <c r="F1839" i="1"/>
  <c r="C1780" i="1"/>
  <c r="E738" i="2"/>
  <c r="C1154" i="2"/>
  <c r="F1265" i="2"/>
  <c r="F507" i="2"/>
  <c r="F1162" i="1"/>
  <c r="F1255" i="2"/>
  <c r="E2411" i="1"/>
  <c r="A2185" i="1"/>
  <c r="E2174" i="1"/>
  <c r="E1718" i="2"/>
  <c r="B1046" i="1"/>
  <c r="F221" i="2"/>
  <c r="C2255" i="1"/>
  <c r="D600" i="2"/>
  <c r="B1053" i="1"/>
  <c r="A2376" i="1"/>
  <c r="B1816" i="1"/>
  <c r="B913" i="2"/>
  <c r="B637" i="2"/>
  <c r="C1847" i="1"/>
  <c r="C1074" i="2"/>
  <c r="A2450" i="1"/>
  <c r="D2402" i="1"/>
  <c r="C752" i="2"/>
  <c r="C405" i="2"/>
  <c r="F2126" i="1"/>
  <c r="B1279" i="2"/>
  <c r="E834" i="2"/>
  <c r="F1829" i="1"/>
  <c r="F1016" i="2"/>
  <c r="B2256" i="1"/>
  <c r="D278" i="2"/>
  <c r="E2372" i="1"/>
  <c r="A2113" i="1"/>
  <c r="C1954" i="1"/>
  <c r="D2282" i="1"/>
  <c r="E795" i="2"/>
  <c r="B2306" i="1"/>
  <c r="E2342" i="1"/>
  <c r="C2213" i="1"/>
  <c r="F2105" i="1"/>
  <c r="D1798" i="1"/>
  <c r="A1399" i="1"/>
  <c r="D1694" i="1"/>
  <c r="C622" i="2"/>
  <c r="E836" i="2"/>
  <c r="C2143" i="1"/>
  <c r="B1982" i="1"/>
  <c r="B2033" i="1"/>
  <c r="B2237" i="1"/>
  <c r="A2323" i="1"/>
  <c r="A2297" i="1"/>
  <c r="E502" i="2"/>
  <c r="D1666" i="1"/>
  <c r="E229" i="2"/>
  <c r="B2371" i="1"/>
  <c r="B2360" i="1"/>
  <c r="F22" i="2"/>
  <c r="B2514" i="1"/>
  <c r="B1712" i="2"/>
  <c r="F2416" i="1"/>
  <c r="E292" i="2"/>
  <c r="D2305" i="1"/>
  <c r="F152" i="2"/>
  <c r="D2429" i="1"/>
  <c r="F238" i="2"/>
  <c r="B944" i="2"/>
  <c r="D248" i="2"/>
  <c r="E750" i="2"/>
  <c r="B2482" i="1"/>
  <c r="F25" i="2"/>
  <c r="C1426" i="1"/>
  <c r="A2281" i="1"/>
  <c r="E525" i="2"/>
  <c r="B1274" i="1"/>
  <c r="D2355" i="1"/>
  <c r="B1772" i="1"/>
  <c r="D1813" i="1"/>
  <c r="C178" i="2"/>
  <c r="E1724" i="1"/>
  <c r="D1001" i="2"/>
  <c r="B539" i="2"/>
  <c r="C2207" i="1"/>
  <c r="B1075" i="1"/>
  <c r="C778" i="2"/>
  <c r="D2380" i="1"/>
  <c r="C386" i="2"/>
  <c r="C815" i="1"/>
  <c r="D143" i="2"/>
  <c r="C491" i="2"/>
  <c r="B131" i="2"/>
  <c r="C2148" i="1"/>
  <c r="B404" i="2"/>
  <c r="E1839" i="1"/>
  <c r="D515" i="2"/>
  <c r="E1845" i="1"/>
  <c r="E1598" i="2"/>
  <c r="B1089" i="2"/>
  <c r="A2142" i="1"/>
  <c r="F2292" i="1"/>
  <c r="F2129" i="1"/>
  <c r="E2136" i="1"/>
  <c r="B1162" i="1"/>
  <c r="E2254" i="1"/>
  <c r="F4" i="2"/>
  <c r="E721" i="2"/>
  <c r="D124" i="2"/>
  <c r="B753" i="2"/>
  <c r="B534" i="2"/>
  <c r="D993" i="2"/>
  <c r="E1882" i="1"/>
  <c r="B1646" i="1"/>
  <c r="C2337" i="1"/>
  <c r="F2014" i="1"/>
  <c r="C1907" i="1"/>
  <c r="C1816" i="1"/>
  <c r="D745" i="2"/>
  <c r="B571" i="2"/>
  <c r="D1183" i="2"/>
  <c r="B1647" i="1"/>
  <c r="B389" i="2"/>
  <c r="F1049" i="1"/>
  <c r="A2310" i="1"/>
  <c r="E298" i="2"/>
  <c r="C2272" i="1"/>
  <c r="D341" i="2"/>
  <c r="A2176" i="1"/>
  <c r="F1850" i="1"/>
  <c r="D1907" i="1"/>
  <c r="F584" i="2"/>
  <c r="C706" i="2"/>
  <c r="C1381" i="2"/>
  <c r="D1826" i="2"/>
  <c r="C825" i="2"/>
  <c r="E2185" i="1"/>
  <c r="B231" i="2"/>
  <c r="E2129" i="1"/>
  <c r="B2049" i="1"/>
  <c r="E417" i="2"/>
  <c r="C840" i="2"/>
  <c r="F712" i="2"/>
  <c r="F112" i="2"/>
  <c r="E214" i="2"/>
  <c r="B1190" i="1"/>
  <c r="D873" i="2"/>
  <c r="D123" i="2"/>
  <c r="D2332" i="1"/>
  <c r="F360" i="2"/>
  <c r="B1972" i="1"/>
  <c r="C725" i="2"/>
  <c r="F1810" i="1"/>
  <c r="A1308" i="1"/>
  <c r="B27" i="2"/>
  <c r="A1990" i="1"/>
  <c r="C539" i="2"/>
  <c r="A2369" i="1"/>
  <c r="F1175" i="1"/>
  <c r="E257" i="2"/>
  <c r="B1962" i="1"/>
  <c r="E1711" i="1"/>
  <c r="D773" i="2"/>
  <c r="C392" i="2"/>
  <c r="D1348" i="1"/>
  <c r="F2242" i="1"/>
  <c r="D2097" i="1"/>
  <c r="A1764" i="1"/>
  <c r="E245" i="2"/>
  <c r="F1691" i="1"/>
  <c r="E179" i="2"/>
  <c r="D170" i="2"/>
  <c r="E183" i="2"/>
  <c r="C972" i="2"/>
  <c r="D1555" i="1"/>
  <c r="A2122" i="1"/>
  <c r="B2104" i="1"/>
  <c r="C67" i="2"/>
  <c r="D2178" i="1"/>
  <c r="E2006" i="1"/>
  <c r="C1829" i="1"/>
  <c r="B8" i="2"/>
  <c r="F2025" i="1"/>
  <c r="F1943" i="1"/>
  <c r="D2007" i="1"/>
  <c r="A1931" i="1"/>
  <c r="A2358" i="1"/>
  <c r="E468" i="2"/>
  <c r="C314" i="2"/>
  <c r="B1631" i="1"/>
  <c r="C214" i="2"/>
  <c r="D1723" i="1"/>
  <c r="D2286" i="1"/>
  <c r="E45" i="2"/>
  <c r="F2477" i="1"/>
  <c r="C579" i="1"/>
  <c r="F1559" i="1"/>
  <c r="E1667" i="2"/>
  <c r="E204" i="2"/>
  <c r="F372" i="2"/>
  <c r="E2502" i="1"/>
  <c r="A2296" i="1"/>
  <c r="F35" i="2"/>
  <c r="D1660" i="1"/>
  <c r="A2393" i="1"/>
  <c r="B2117" i="1"/>
  <c r="A1649" i="1"/>
  <c r="A2263" i="1"/>
  <c r="E2132" i="1"/>
  <c r="C2465" i="1"/>
  <c r="D664" i="2"/>
  <c r="C1436" i="1"/>
  <c r="C2312" i="1"/>
  <c r="F811" i="2"/>
  <c r="E40" i="2"/>
  <c r="A2348" i="1"/>
  <c r="A908" i="1"/>
  <c r="D2292" i="1"/>
  <c r="E109" i="2"/>
  <c r="D2225" i="1"/>
  <c r="F622" i="2"/>
  <c r="D764" i="2"/>
  <c r="F980" i="2"/>
  <c r="C2466" i="1"/>
  <c r="E2005" i="1"/>
  <c r="B589" i="2"/>
  <c r="A2244" i="1"/>
  <c r="A1083" i="1"/>
  <c r="C264" i="2"/>
  <c r="C2173" i="1"/>
  <c r="F2198" i="1"/>
  <c r="D1173" i="2"/>
  <c r="C2049" i="1"/>
  <c r="A1719" i="1"/>
  <c r="A1616" i="1"/>
  <c r="B426" i="2"/>
  <c r="F1301" i="1"/>
  <c r="B774" i="2"/>
  <c r="C911" i="2"/>
  <c r="C2281" i="1"/>
  <c r="E1941" i="1"/>
  <c r="D1479" i="1"/>
  <c r="E1435" i="1"/>
  <c r="E466" i="2"/>
  <c r="D356" i="2"/>
  <c r="E875" i="2"/>
  <c r="E1788" i="1"/>
  <c r="B1279" i="1"/>
  <c r="D2288" i="1"/>
  <c r="B736" i="2"/>
  <c r="D1616" i="1"/>
  <c r="D742" i="2"/>
  <c r="F2024" i="1"/>
  <c r="F1574" i="2"/>
  <c r="E441" i="2"/>
  <c r="E345" i="2"/>
  <c r="B644" i="2"/>
  <c r="A2084" i="1"/>
  <c r="B434" i="2"/>
  <c r="C1923" i="1"/>
  <c r="F668" i="2"/>
  <c r="D1917" i="1"/>
  <c r="B437" i="2"/>
  <c r="B1309" i="2"/>
  <c r="A1909" i="1"/>
  <c r="D132" i="2"/>
  <c r="A2345" i="1"/>
  <c r="F776" i="2"/>
  <c r="C2191" i="1"/>
  <c r="A2133" i="1"/>
  <c r="B737" i="2"/>
  <c r="A2080" i="1"/>
  <c r="B2375" i="1"/>
  <c r="D2075" i="1"/>
  <c r="C2344" i="1"/>
  <c r="B320" i="2"/>
  <c r="E707" i="2"/>
  <c r="E562" i="2"/>
  <c r="E1773" i="1"/>
  <c r="B1723" i="2"/>
  <c r="F632" i="2"/>
  <c r="B549" i="2"/>
  <c r="F749" i="2"/>
  <c r="A1801" i="1"/>
  <c r="C1767" i="1"/>
  <c r="B2492" i="1"/>
  <c r="A1479" i="1"/>
  <c r="E620" i="2"/>
  <c r="A1177" i="1"/>
  <c r="B1498" i="1"/>
  <c r="C2405" i="1"/>
  <c r="E583" i="2"/>
  <c r="B2006" i="1"/>
  <c r="C2056" i="1"/>
  <c r="F185" i="2"/>
  <c r="E944" i="2"/>
  <c r="F1165" i="2"/>
  <c r="C532" i="2"/>
  <c r="B2393" i="1"/>
  <c r="C1521" i="1"/>
  <c r="C388" i="2"/>
  <c r="A1408" i="1"/>
  <c r="D817" i="2"/>
  <c r="E482" i="2"/>
  <c r="B2047" i="1"/>
  <c r="B174" i="2"/>
  <c r="C2418" i="1"/>
  <c r="B1034" i="2"/>
  <c r="E2410" i="1"/>
  <c r="A1549" i="1"/>
  <c r="B51" i="2"/>
  <c r="B1653" i="1"/>
  <c r="D493" i="2"/>
  <c r="E519" i="2"/>
  <c r="D730" i="2"/>
  <c r="C1228" i="1"/>
  <c r="F1030" i="1"/>
  <c r="A2136" i="1"/>
  <c r="E2327" i="1"/>
  <c r="E1670" i="2"/>
  <c r="F2101" i="1"/>
  <c r="C945" i="1"/>
  <c r="A1887" i="1"/>
  <c r="F32" i="2"/>
  <c r="A1814" i="1"/>
  <c r="D1228" i="2"/>
  <c r="E2091" i="1"/>
  <c r="D372" i="2"/>
  <c r="A2083" i="1"/>
  <c r="C1763" i="1"/>
  <c r="C1888" i="1"/>
  <c r="E7" i="2"/>
  <c r="F2430" i="1"/>
  <c r="F1893" i="1"/>
  <c r="A2197" i="1"/>
  <c r="D2300" i="1"/>
  <c r="E1119" i="2"/>
  <c r="B2359" i="1"/>
  <c r="F1088" i="2"/>
  <c r="D532" i="2"/>
  <c r="F524" i="2"/>
  <c r="C2355" i="1"/>
  <c r="D1810" i="1"/>
  <c r="C1775" i="1"/>
  <c r="E706" i="2"/>
  <c r="D377" i="2"/>
  <c r="D846" i="2"/>
  <c r="C2180" i="1"/>
  <c r="A1614" i="1"/>
  <c r="B2178" i="1"/>
  <c r="D754" i="2"/>
  <c r="B399" i="2"/>
  <c r="C1861" i="1"/>
  <c r="C1540" i="1"/>
  <c r="D279" i="2"/>
  <c r="B322" i="2"/>
  <c r="C2092" i="1"/>
  <c r="B2421" i="1"/>
  <c r="D970" i="1"/>
  <c r="B2" i="2"/>
  <c r="D1047" i="1"/>
  <c r="A1082" i="1"/>
  <c r="F486" i="2"/>
  <c r="B198" i="2"/>
  <c r="F390" i="2"/>
  <c r="D101" i="2"/>
  <c r="F1417" i="2"/>
  <c r="D985" i="1"/>
  <c r="E2267" i="1"/>
  <c r="A2111" i="1"/>
  <c r="B222" i="2"/>
  <c r="C1696" i="1"/>
  <c r="F2154" i="1"/>
  <c r="C280" i="2"/>
  <c r="B2129" i="1"/>
  <c r="C559" i="2"/>
  <c r="B2494" i="1"/>
  <c r="D2258" i="1"/>
  <c r="B882" i="2"/>
  <c r="F168" i="2"/>
  <c r="C1810" i="1"/>
  <c r="C196" i="2"/>
  <c r="F2258" i="1"/>
  <c r="B2346" i="1"/>
  <c r="D743" i="2"/>
  <c r="D1821" i="1"/>
  <c r="B2110" i="1"/>
  <c r="B672" i="2"/>
  <c r="D770" i="2"/>
  <c r="E2111" i="1"/>
  <c r="D442" i="2"/>
  <c r="F1501" i="1"/>
  <c r="F256" i="2"/>
  <c r="C232" i="2"/>
  <c r="C2364" i="1"/>
  <c r="B995" i="2"/>
  <c r="B210" i="2"/>
  <c r="A2434" i="1"/>
  <c r="C216" i="2"/>
  <c r="F1900" i="1"/>
  <c r="A2387" i="1"/>
  <c r="B1135" i="1"/>
  <c r="D498" i="2"/>
  <c r="F239" i="2"/>
  <c r="B501" i="2"/>
  <c r="B2451" i="1"/>
  <c r="F2268" i="1"/>
  <c r="F104" i="2"/>
  <c r="C1860" i="1"/>
  <c r="F376" i="2"/>
  <c r="D201" i="2"/>
  <c r="D1538" i="2"/>
  <c r="D796" i="2"/>
  <c r="B2185" i="1"/>
  <c r="C2113" i="1"/>
  <c r="D322" i="2"/>
  <c r="A2314" i="1"/>
  <c r="F381" i="2"/>
  <c r="C1170" i="1"/>
  <c r="C1087" i="2"/>
  <c r="E262" i="2"/>
  <c r="B2351" i="1"/>
  <c r="C567" i="2"/>
  <c r="E2189" i="1"/>
  <c r="E747" i="1"/>
  <c r="E2491" i="1"/>
  <c r="D1269" i="2"/>
  <c r="F805" i="2"/>
  <c r="B1276" i="2"/>
  <c r="D2324" i="1"/>
  <c r="D1953" i="1"/>
  <c r="E479" i="2"/>
  <c r="C2236" i="1"/>
  <c r="B503" i="2"/>
  <c r="C475" i="2"/>
  <c r="E2479" i="1"/>
  <c r="D579" i="2"/>
  <c r="F365" i="2"/>
  <c r="C675" i="2"/>
  <c r="D1055" i="2"/>
  <c r="B2392" i="1"/>
  <c r="B1035" i="1"/>
  <c r="C2392" i="1"/>
  <c r="B898" i="2"/>
  <c r="E320" i="2"/>
  <c r="D331" i="2"/>
  <c r="C2078" i="1"/>
  <c r="E1426" i="1"/>
  <c r="D1959" i="1"/>
  <c r="D2126" i="1"/>
  <c r="B2274" i="1"/>
  <c r="B1438" i="1"/>
  <c r="D1540" i="1"/>
  <c r="E467" i="2"/>
  <c r="F875" i="2"/>
  <c r="E2341" i="1"/>
  <c r="E982" i="2"/>
  <c r="F2390" i="1"/>
  <c r="B273" i="2"/>
  <c r="E1968" i="1"/>
  <c r="A2191" i="1"/>
  <c r="C412" i="2"/>
  <c r="F537" i="2"/>
  <c r="E202" i="2"/>
  <c r="F411" i="2"/>
  <c r="D3" i="2"/>
  <c r="A1969" i="1"/>
  <c r="C2447" i="1"/>
  <c r="D1640" i="1"/>
  <c r="E929" i="2"/>
  <c r="B1028" i="1"/>
  <c r="A1597" i="1"/>
  <c r="F2026" i="1"/>
  <c r="C2084" i="1"/>
  <c r="D1524" i="1"/>
  <c r="E1903" i="1"/>
  <c r="E49" i="2"/>
  <c r="A2022" i="1"/>
  <c r="D548" i="2"/>
  <c r="B885" i="2"/>
  <c r="F264" i="2"/>
  <c r="B278" i="2"/>
  <c r="D1874" i="1"/>
  <c r="B1228" i="1"/>
  <c r="A2462" i="1"/>
  <c r="F2488" i="1"/>
  <c r="B2148" i="1"/>
  <c r="F1759" i="1"/>
  <c r="D2253" i="1"/>
  <c r="E1781" i="1"/>
  <c r="D2041" i="1"/>
  <c r="B2242" i="1"/>
  <c r="B885" i="1"/>
  <c r="E165" i="2"/>
  <c r="D2453" i="1"/>
  <c r="F1754" i="1"/>
  <c r="E814" i="2"/>
  <c r="E83" i="2"/>
  <c r="D2497" i="1"/>
  <c r="F2391" i="1"/>
  <c r="C1979" i="1"/>
  <c r="C1827" i="1"/>
  <c r="F1307" i="1"/>
  <c r="D655" i="2"/>
  <c r="D1929" i="1"/>
  <c r="C528" i="2"/>
  <c r="A2067" i="1"/>
  <c r="B271" i="2"/>
  <c r="E1864" i="1"/>
  <c r="E273" i="2"/>
  <c r="C1213" i="2"/>
  <c r="D256" i="2"/>
  <c r="D1692" i="2"/>
  <c r="F2461" i="1"/>
  <c r="B2095" i="1"/>
  <c r="C1642" i="1"/>
  <c r="F308" i="2"/>
  <c r="B813" i="2"/>
  <c r="B2311" i="1"/>
  <c r="B2246" i="1"/>
  <c r="F2227" i="1"/>
  <c r="F292" i="2"/>
  <c r="F959" i="1"/>
  <c r="B1685" i="1"/>
  <c r="A1088" i="1"/>
  <c r="E1888" i="1"/>
  <c r="D1027" i="2"/>
  <c r="D1644" i="1"/>
  <c r="C2088" i="2"/>
  <c r="B1674" i="1"/>
  <c r="D1166" i="1"/>
  <c r="E723" i="2"/>
  <c r="B909" i="2"/>
  <c r="D447" i="2"/>
  <c r="B1312" i="1"/>
  <c r="F533" i="2"/>
  <c r="E708" i="2"/>
  <c r="F171" i="2"/>
  <c r="C125" i="2"/>
  <c r="F123" i="2"/>
  <c r="E2443" i="1"/>
  <c r="C2108" i="1"/>
  <c r="F1440" i="1"/>
  <c r="C597" i="2"/>
  <c r="A1984" i="1"/>
  <c r="A1845" i="1"/>
  <c r="B432" i="2"/>
  <c r="C1899" i="1"/>
  <c r="C1713" i="1"/>
  <c r="B2330" i="1"/>
  <c r="E412" i="2"/>
  <c r="E1720" i="1"/>
  <c r="D1659" i="1"/>
  <c r="B981" i="2"/>
  <c r="C1377" i="1"/>
  <c r="C1211" i="2"/>
  <c r="C2456" i="1"/>
  <c r="B1298" i="1"/>
  <c r="D593" i="2"/>
  <c r="F2091" i="1"/>
  <c r="B1231" i="1"/>
  <c r="E88" i="2"/>
  <c r="E1025" i="2"/>
  <c r="B766" i="2"/>
  <c r="C924" i="2"/>
  <c r="F2475" i="1"/>
  <c r="E256" i="2"/>
  <c r="E1596" i="1"/>
  <c r="F2409" i="1"/>
  <c r="A1825" i="1"/>
  <c r="B2283" i="1"/>
  <c r="D1979" i="1"/>
  <c r="F1323" i="1"/>
  <c r="C259" i="2"/>
  <c r="B681" i="2"/>
  <c r="C2067" i="1"/>
  <c r="E1583" i="1"/>
  <c r="F1527" i="1"/>
  <c r="F431" i="2"/>
  <c r="E2496" i="1"/>
  <c r="C1492" i="1"/>
  <c r="F930" i="2"/>
  <c r="C2396" i="1"/>
  <c r="F15" i="2"/>
  <c r="D733" i="2"/>
  <c r="A1387" i="1"/>
  <c r="A1951" i="1"/>
  <c r="E1850" i="1"/>
  <c r="E2474" i="1"/>
  <c r="B2376" i="1"/>
  <c r="F1381" i="1"/>
  <c r="C615" i="1"/>
  <c r="F738" i="2"/>
  <c r="D2509" i="1"/>
  <c r="D208" i="2"/>
  <c r="C1040" i="2"/>
  <c r="A1797" i="1"/>
  <c r="F1" i="2"/>
  <c r="F1830" i="1"/>
  <c r="F2099" i="1"/>
  <c r="B2226" i="1"/>
  <c r="B2394" i="1"/>
  <c r="A2147" i="1"/>
  <c r="C1570" i="1"/>
  <c r="C1657" i="1"/>
  <c r="E2457" i="1"/>
  <c r="F341" i="2"/>
  <c r="F1148" i="1"/>
  <c r="D1996" i="1"/>
  <c r="A2032" i="1"/>
  <c r="A2334" i="1"/>
  <c r="D38" i="2"/>
  <c r="D1216" i="1"/>
  <c r="D2345" i="1"/>
  <c r="F2298" i="1"/>
  <c r="D99" i="2"/>
  <c r="C1878" i="1"/>
  <c r="E1887" i="1"/>
  <c r="E187" i="2"/>
  <c r="A1995" i="1"/>
  <c r="D580" i="2"/>
  <c r="F295" i="2"/>
  <c r="F1122" i="1"/>
  <c r="A2305" i="1"/>
  <c r="D2256" i="1"/>
  <c r="B1388" i="2"/>
  <c r="C2096" i="1"/>
  <c r="A2452" i="1"/>
  <c r="F347" i="2"/>
  <c r="B687" i="2"/>
  <c r="E2040" i="1"/>
  <c r="C143" i="2"/>
  <c r="F2117" i="1"/>
  <c r="B832" i="2"/>
  <c r="E2124" i="1"/>
  <c r="C500" i="2"/>
  <c r="D1420" i="1"/>
  <c r="C334" i="2"/>
  <c r="F2334" i="1"/>
  <c r="E2250" i="1"/>
  <c r="A2340" i="1"/>
  <c r="C2463" i="1"/>
  <c r="D1781" i="2"/>
  <c r="E2140" i="1"/>
  <c r="D1252" i="2"/>
  <c r="F8" i="2"/>
  <c r="F9" i="2"/>
  <c r="F2167" i="1"/>
  <c r="B159" i="2"/>
  <c r="E2109" i="1"/>
  <c r="B2328" i="1"/>
  <c r="F2031" i="1"/>
  <c r="C2332" i="1"/>
  <c r="D711" i="2"/>
  <c r="B1335" i="2"/>
  <c r="B2422" i="1"/>
  <c r="C1044" i="2"/>
  <c r="F367" i="2"/>
  <c r="F289" i="2"/>
  <c r="B38" i="2"/>
  <c r="E68" i="2"/>
  <c r="F1048" i="2"/>
  <c r="B2098" i="1"/>
  <c r="F2408" i="1"/>
  <c r="E2086" i="1"/>
  <c r="B2453" i="1"/>
  <c r="D2260" i="1"/>
  <c r="E1816" i="1"/>
  <c r="B1923" i="1"/>
  <c r="B61" i="2"/>
  <c r="C1254" i="1"/>
  <c r="F603" i="2"/>
  <c r="C780" i="2"/>
  <c r="B1132" i="1"/>
  <c r="D1319" i="1"/>
  <c r="F1663" i="1"/>
  <c r="F1563" i="1"/>
  <c r="D2210" i="1"/>
  <c r="C649" i="2"/>
  <c r="B462" i="2"/>
  <c r="F675" i="2"/>
  <c r="B1627" i="1"/>
  <c r="B697" i="2"/>
  <c r="C506" i="2"/>
  <c r="D250" i="2"/>
  <c r="F2279" i="1"/>
  <c r="D1512" i="1"/>
  <c r="F653" i="2"/>
  <c r="B187" i="2"/>
  <c r="D1317" i="2"/>
  <c r="C2139" i="1"/>
  <c r="D1436" i="1"/>
  <c r="D1224" i="2"/>
  <c r="E590" i="2"/>
  <c r="F1185" i="1"/>
  <c r="F1531" i="1"/>
  <c r="D769" i="2"/>
  <c r="D1408" i="1"/>
  <c r="B497" i="2"/>
  <c r="D847" i="2"/>
  <c r="D2287" i="1"/>
  <c r="B292" i="2"/>
  <c r="E1572" i="1"/>
  <c r="C1710" i="1"/>
  <c r="E405" i="2"/>
  <c r="F2197" i="1"/>
  <c r="D2138" i="1"/>
  <c r="F2406" i="1"/>
  <c r="C1634" i="1"/>
  <c r="E1168" i="2"/>
  <c r="D2469" i="1"/>
  <c r="F638" i="2"/>
  <c r="A2091" i="1"/>
  <c r="E1991" i="1"/>
  <c r="F2251" i="1"/>
  <c r="D2155" i="1"/>
  <c r="D229" i="2"/>
  <c r="A2241" i="1"/>
  <c r="C2271" i="1"/>
  <c r="F401" i="2"/>
  <c r="D2010" i="1"/>
  <c r="C1801" i="1"/>
  <c r="A2236" i="1"/>
  <c r="D2464" i="1"/>
  <c r="B1560" i="1"/>
  <c r="E1099" i="2"/>
  <c r="C652" i="2"/>
  <c r="B2264" i="1"/>
  <c r="C297" i="2"/>
  <c r="A2316" i="1"/>
  <c r="D1607" i="1"/>
  <c r="C282" i="2"/>
  <c r="B2458" i="1"/>
  <c r="D649" i="2"/>
  <c r="D2147" i="1"/>
  <c r="B711" i="2"/>
  <c r="E545" i="2"/>
  <c r="C95" i="2"/>
  <c r="A2098" i="1"/>
  <c r="B2454" i="1"/>
  <c r="B305" i="2"/>
  <c r="C1658" i="1"/>
  <c r="B108" i="2"/>
  <c r="A2088" i="1"/>
  <c r="C2373" i="1"/>
  <c r="C1283" i="2"/>
  <c r="F1990" i="1"/>
  <c r="E2388" i="1"/>
  <c r="F2337" i="1"/>
  <c r="F290" i="2"/>
  <c r="C53" i="2"/>
  <c r="B2347" i="1"/>
  <c r="F130" i="2"/>
  <c r="B2070" i="1"/>
  <c r="C1651" i="1"/>
  <c r="F884" i="2"/>
  <c r="B1932" i="1"/>
  <c r="E1703" i="1"/>
  <c r="E2419" i="1"/>
  <c r="E2289" i="1"/>
  <c r="A2380" i="1"/>
  <c r="A2332" i="1"/>
  <c r="A2199" i="1"/>
  <c r="A2077" i="1"/>
  <c r="E2266" i="2"/>
  <c r="E511" i="2"/>
  <c r="C2442" i="1"/>
  <c r="C191" i="2"/>
  <c r="B234" i="2"/>
  <c r="B1509" i="2"/>
  <c r="C2005" i="1"/>
  <c r="F61" i="2"/>
  <c r="B2511" i="1"/>
  <c r="A1625" i="1"/>
  <c r="D2276" i="1"/>
  <c r="C776" i="2"/>
  <c r="C38" i="2"/>
  <c r="C1822" i="1"/>
  <c r="E2422" i="1"/>
  <c r="E1075" i="2"/>
  <c r="C2475" i="1"/>
  <c r="D458" i="2"/>
  <c r="C625" i="2"/>
  <c r="D2044" i="1"/>
  <c r="E169" i="2"/>
  <c r="F1961" i="1"/>
  <c r="A2500" i="1"/>
  <c r="D554" i="2"/>
  <c r="E1385" i="1"/>
  <c r="B179" i="2"/>
  <c r="F420" i="2"/>
  <c r="D1534" i="2"/>
  <c r="F1367" i="2"/>
  <c r="F156" i="2"/>
  <c r="C44" i="2"/>
  <c r="F262" i="2"/>
  <c r="C2441" i="1"/>
  <c r="D2079" i="1"/>
  <c r="C255" i="2"/>
  <c r="B580" i="2"/>
  <c r="A2186" i="1"/>
  <c r="F2361" i="1"/>
  <c r="E596" i="2"/>
  <c r="A2124" i="1"/>
  <c r="B287" i="2"/>
  <c r="F1457" i="1"/>
  <c r="F748" i="2"/>
  <c r="D237" i="2"/>
  <c r="E2002" i="1"/>
  <c r="E2312" i="1"/>
  <c r="F13" i="2"/>
  <c r="D2426" i="1"/>
  <c r="E676" i="2"/>
  <c r="C1927" i="1"/>
  <c r="A2172" i="1"/>
  <c r="E1867" i="1"/>
  <c r="F2278" i="1"/>
  <c r="B1782" i="1"/>
  <c r="E1040" i="2"/>
  <c r="C1593" i="1"/>
  <c r="D2074" i="1"/>
  <c r="B1856" i="1"/>
  <c r="E1531" i="1"/>
  <c r="D549" i="2"/>
  <c r="E2306" i="1"/>
  <c r="B357" i="2"/>
  <c r="D1925" i="1"/>
  <c r="F157" i="2"/>
  <c r="D2102" i="1"/>
  <c r="F377" i="2"/>
  <c r="C156" i="2"/>
  <c r="D1921" i="1"/>
  <c r="F528" i="2"/>
  <c r="C836" i="1"/>
  <c r="B2054" i="1"/>
  <c r="B2363" i="1"/>
  <c r="D2303" i="1"/>
  <c r="F1349" i="1"/>
  <c r="D1832" i="1"/>
  <c r="F1793" i="1"/>
  <c r="A2209" i="1"/>
  <c r="C1623" i="1"/>
  <c r="F474" i="2"/>
  <c r="E2269" i="1"/>
  <c r="E2347" i="1"/>
  <c r="B1753" i="1"/>
  <c r="B1819" i="1"/>
  <c r="D227" i="2"/>
  <c r="C1856" i="1"/>
  <c r="E1783" i="1"/>
  <c r="D1951" i="1"/>
  <c r="A1033" i="1"/>
  <c r="E1068" i="2"/>
  <c r="A2217" i="1"/>
  <c r="B1359" i="1"/>
  <c r="B2262" i="1"/>
  <c r="D2018" i="1"/>
  <c r="C1477" i="1"/>
  <c r="A1665" i="1"/>
  <c r="A2234" i="1"/>
  <c r="E920" i="2"/>
  <c r="F583" i="2"/>
  <c r="A2130" i="1"/>
  <c r="B2418" i="1"/>
  <c r="E1639" i="1"/>
  <c r="E121" i="2"/>
  <c r="C2241" i="1"/>
  <c r="C944" i="2"/>
  <c r="B2485" i="1"/>
  <c r="C2127" i="1"/>
  <c r="F1583" i="1"/>
  <c r="C1397" i="2"/>
  <c r="B2184" i="1"/>
  <c r="B1584" i="1"/>
  <c r="E1178" i="2"/>
  <c r="C1249" i="1"/>
  <c r="F657" i="2"/>
  <c r="E1097" i="2"/>
  <c r="B158" i="2"/>
  <c r="A1456" i="1"/>
  <c r="C2427" i="1"/>
  <c r="C636" i="2"/>
  <c r="C2061" i="1"/>
  <c r="F192" i="2"/>
  <c r="F1599" i="1"/>
  <c r="A1881" i="1"/>
  <c r="A1872" i="1"/>
  <c r="E397" i="2"/>
  <c r="A2195" i="1"/>
  <c r="F1818" i="1"/>
  <c r="E166" i="2"/>
  <c r="F1794" i="1"/>
  <c r="B1372" i="1"/>
  <c r="B106" i="2"/>
  <c r="E1603" i="1"/>
  <c r="F652" i="2"/>
  <c r="A2486" i="1"/>
  <c r="B1954" i="1"/>
  <c r="E774" i="2"/>
  <c r="B353" i="2"/>
  <c r="B2090" i="1"/>
  <c r="D53" i="2"/>
  <c r="F734" i="2"/>
  <c r="C2247" i="1"/>
  <c r="B69" i="2"/>
  <c r="E509" i="2"/>
  <c r="F2231" i="1"/>
  <c r="D13" i="2"/>
  <c r="E1662" i="2"/>
  <c r="C847" i="2"/>
  <c r="D83" i="2"/>
  <c r="C1331" i="2"/>
  <c r="E1687" i="1"/>
  <c r="A1652" i="1"/>
  <c r="E406" i="2"/>
  <c r="C424" i="2"/>
  <c r="D1655" i="1"/>
  <c r="C1181" i="2"/>
  <c r="F2476" i="1"/>
  <c r="E2469" i="1"/>
  <c r="C100" i="2"/>
  <c r="B1961" i="1"/>
  <c r="D2185" i="1"/>
  <c r="A2306" i="1"/>
  <c r="B2325" i="1"/>
  <c r="C2492" i="1"/>
  <c r="B2091" i="1"/>
  <c r="B700" i="2"/>
  <c r="E407" i="2"/>
  <c r="B102" i="2"/>
  <c r="E1993" i="1"/>
  <c r="C2254" i="1"/>
  <c r="F554" i="2"/>
  <c r="D268" i="2"/>
  <c r="C533" i="2"/>
  <c r="F1958" i="1"/>
  <c r="A2341" i="1"/>
  <c r="E2396" i="1"/>
  <c r="F1508" i="2"/>
  <c r="D1961" i="1"/>
  <c r="A2099" i="1"/>
  <c r="A1945" i="1"/>
  <c r="E1810" i="1"/>
  <c r="D2479" i="1"/>
  <c r="F72" i="2"/>
  <c r="D179" i="2"/>
  <c r="C531" i="2"/>
  <c r="A2312" i="1"/>
  <c r="C2253" i="1"/>
  <c r="B2172" i="1"/>
  <c r="A2188" i="1"/>
  <c r="C474" i="2"/>
  <c r="F552" i="2"/>
  <c r="E1382" i="1"/>
  <c r="F2380" i="1"/>
  <c r="D734" i="2"/>
  <c r="F932" i="2"/>
  <c r="E1794" i="1"/>
  <c r="C610" i="2"/>
  <c r="B2443" i="1"/>
  <c r="F2412" i="1"/>
  <c r="F2295" i="1"/>
  <c r="E1657" i="1"/>
  <c r="D2298" i="1"/>
  <c r="F17" i="2"/>
  <c r="F928" i="2"/>
  <c r="A2231" i="1"/>
  <c r="F816" i="2"/>
  <c r="C934" i="2"/>
  <c r="F340" i="2"/>
  <c r="E2100" i="1"/>
  <c r="B1842" i="1"/>
  <c r="E2507" i="1"/>
  <c r="C526" i="2"/>
  <c r="E2258" i="1"/>
  <c r="D1805" i="1"/>
  <c r="D467" i="2"/>
  <c r="C1690" i="1"/>
  <c r="C510" i="2"/>
  <c r="B328" i="2"/>
  <c r="D1156" i="1"/>
  <c r="E2098" i="1"/>
  <c r="E1457" i="2"/>
  <c r="C2308" i="1"/>
  <c r="F1985" i="1"/>
  <c r="A1716" i="1"/>
  <c r="A2482" i="1"/>
  <c r="C1111" i="2"/>
  <c r="B1281" i="2"/>
  <c r="B73" i="2"/>
  <c r="F1032" i="2"/>
  <c r="F2055" i="1"/>
  <c r="E185" i="2"/>
  <c r="C2098" i="1"/>
  <c r="D1967" i="1"/>
  <c r="B438" i="2"/>
  <c r="D1515" i="1"/>
  <c r="F270" i="2"/>
  <c r="B6" i="2"/>
  <c r="F2064" i="1"/>
  <c r="F321" i="2"/>
  <c r="D1575" i="2"/>
  <c r="F1324" i="1"/>
  <c r="F1359" i="2"/>
  <c r="A2467" i="1"/>
  <c r="A2002" i="1"/>
  <c r="E1985" i="1"/>
  <c r="F1872" i="1"/>
  <c r="B313" i="2"/>
  <c r="B206" i="2"/>
  <c r="E1533" i="1"/>
  <c r="E2144" i="1"/>
  <c r="E2423" i="1"/>
  <c r="B1543" i="1"/>
  <c r="E1468" i="1"/>
  <c r="C637" i="2"/>
  <c r="D2125" i="1"/>
  <c r="A2096" i="1"/>
  <c r="F1551" i="1"/>
  <c r="B1872" i="1"/>
  <c r="B1373" i="2"/>
  <c r="B2034" i="2"/>
  <c r="F441" i="2"/>
  <c r="E2177" i="1"/>
  <c r="D1212" i="2"/>
  <c r="B2348" i="1"/>
  <c r="B1645" i="1"/>
  <c r="B2290" i="1"/>
  <c r="B2338" i="1"/>
  <c r="D781" i="2"/>
  <c r="E582" i="2"/>
  <c r="F2395" i="1"/>
  <c r="C147" i="2"/>
  <c r="E2034" i="1"/>
  <c r="A2218" i="1"/>
  <c r="A1896" i="1"/>
  <c r="D1882" i="1"/>
  <c r="F78" i="2"/>
  <c r="A2427" i="1"/>
  <c r="A2090" i="1"/>
  <c r="C98" i="2"/>
  <c r="E2203" i="1"/>
  <c r="B1555" i="1"/>
  <c r="E279" i="2"/>
  <c r="B2476" i="1"/>
  <c r="E1039" i="1"/>
  <c r="C1128" i="1"/>
  <c r="D980" i="2"/>
  <c r="C1315" i="2"/>
  <c r="C666" i="2"/>
  <c r="E2506" i="1"/>
  <c r="C17" i="2"/>
  <c r="A2431" i="1"/>
  <c r="B70" i="2"/>
  <c r="A2394" i="1"/>
  <c r="C2432" i="1"/>
  <c r="C1798" i="1"/>
  <c r="A1563" i="1"/>
  <c r="E778" i="2"/>
  <c r="B639" i="2"/>
  <c r="D1764" i="1"/>
  <c r="D1911" i="1"/>
  <c r="B254" i="2"/>
  <c r="D778" i="1"/>
  <c r="C1059" i="2"/>
  <c r="E2500" i="1"/>
  <c r="E2251" i="1"/>
  <c r="D1033" i="1"/>
  <c r="E650" i="2"/>
  <c r="F2076" i="1"/>
  <c r="D705" i="2"/>
  <c r="D1820" i="1"/>
  <c r="C355" i="2"/>
  <c r="F565" i="2"/>
  <c r="B417" i="2"/>
  <c r="D81" i="2"/>
  <c r="C2015" i="1"/>
  <c r="B380" i="2"/>
  <c r="C1304" i="1"/>
  <c r="D2357" i="1"/>
  <c r="D1662" i="1"/>
  <c r="F1831" i="1"/>
  <c r="E1376" i="2"/>
  <c r="E1263" i="1"/>
  <c r="C2424" i="1"/>
  <c r="B219" i="2"/>
  <c r="F1828" i="1"/>
  <c r="E1945" i="1"/>
  <c r="E1398" i="1"/>
  <c r="E501" i="2"/>
  <c r="C2260" i="1"/>
  <c r="A728" i="1"/>
  <c r="F784" i="2"/>
  <c r="C990" i="2"/>
  <c r="C1935" i="1"/>
  <c r="E2072" i="1"/>
  <c r="F338" i="2"/>
  <c r="D538" i="2"/>
  <c r="D2459" i="1"/>
  <c r="A2360" i="1"/>
  <c r="A1903" i="1"/>
  <c r="F1945" i="1"/>
  <c r="F1448" i="1"/>
  <c r="E151" i="2"/>
  <c r="C522" i="2"/>
  <c r="C1887" i="1"/>
  <c r="D228" i="2"/>
  <c r="F585" i="2"/>
  <c r="B406" i="2"/>
  <c r="F2370" i="1"/>
  <c r="A2273" i="1"/>
  <c r="D1796" i="1"/>
  <c r="C2215" i="1"/>
  <c r="B498" i="2"/>
  <c r="B1912" i="1"/>
  <c r="A2058" i="1"/>
  <c r="D1543" i="1"/>
  <c r="B1797" i="1"/>
  <c r="E1953" i="1"/>
  <c r="C2489" i="1"/>
  <c r="C2035" i="1"/>
  <c r="E834" i="1"/>
  <c r="C2298" i="1"/>
  <c r="E1934" i="1"/>
  <c r="D1793" i="1"/>
  <c r="B622" i="2"/>
  <c r="F1964" i="1"/>
  <c r="F2172" i="1"/>
  <c r="A1855" i="1"/>
  <c r="C1312" i="1"/>
  <c r="E38" i="2"/>
  <c r="B1136" i="1"/>
  <c r="C1931" i="1"/>
  <c r="F249" i="2"/>
  <c r="C2342" i="1"/>
  <c r="B342" i="2"/>
  <c r="D2188" i="1"/>
  <c r="C2057" i="1"/>
  <c r="F396" i="2"/>
  <c r="E1971" i="1"/>
  <c r="D2083" i="1"/>
  <c r="B1823" i="1"/>
  <c r="D2101" i="1"/>
  <c r="B145" i="2"/>
  <c r="E1045" i="1"/>
  <c r="A1336" i="1"/>
  <c r="F1523" i="1"/>
  <c r="E86" i="2"/>
  <c r="B1159" i="1"/>
  <c r="F763" i="2"/>
  <c r="D1692" i="1"/>
  <c r="E2463" i="1"/>
  <c r="C2385" i="1"/>
  <c r="D1873" i="1"/>
  <c r="B2068" i="1"/>
  <c r="E2509" i="1"/>
  <c r="E1215" i="1"/>
  <c r="D2211" i="1"/>
  <c r="A1615" i="1"/>
  <c r="D1300" i="1"/>
  <c r="D1177" i="1"/>
  <c r="E1130" i="1"/>
  <c r="E946" i="1"/>
  <c r="F875" i="1"/>
  <c r="D1643" i="1"/>
  <c r="D2063" i="1"/>
  <c r="C1942" i="1"/>
  <c r="F1221" i="1"/>
  <c r="A2346" i="1"/>
  <c r="E2293" i="1"/>
  <c r="C1904" i="1"/>
  <c r="A2270" i="1"/>
  <c r="B443" i="1"/>
  <c r="E961" i="1"/>
  <c r="C455" i="1"/>
  <c r="D2261" i="1"/>
  <c r="C247" i="1"/>
  <c r="A1202" i="1"/>
  <c r="C21" i="1"/>
  <c r="D2134" i="1"/>
  <c r="E704" i="1"/>
  <c r="C217" i="1"/>
  <c r="C1360" i="1"/>
  <c r="B1984" i="1"/>
  <c r="D247" i="1"/>
  <c r="C118" i="1"/>
  <c r="B902" i="1"/>
  <c r="B1958" i="1"/>
  <c r="C27" i="1"/>
  <c r="A396" i="1"/>
  <c r="F35" i="1"/>
  <c r="F1115" i="1"/>
  <c r="F126" i="1"/>
  <c r="C89" i="1"/>
  <c r="A470" i="1"/>
  <c r="B1120" i="1"/>
  <c r="B511" i="1"/>
  <c r="F2318" i="1"/>
  <c r="E2044" i="1"/>
  <c r="F1037" i="2"/>
  <c r="F1654" i="1"/>
  <c r="A1893" i="1"/>
  <c r="F2081" i="1"/>
  <c r="E740" i="2"/>
  <c r="C1802" i="1"/>
  <c r="F186" i="2"/>
  <c r="B1824" i="1"/>
  <c r="C2036" i="1"/>
  <c r="E1167" i="1"/>
  <c r="C2034" i="1"/>
  <c r="C1632" i="1"/>
  <c r="F2118" i="1"/>
  <c r="F1054" i="1"/>
  <c r="F2489" i="1"/>
  <c r="D1923" i="1"/>
  <c r="C1498" i="1"/>
  <c r="F1369" i="1"/>
  <c r="E1663" i="1"/>
  <c r="B1275" i="1"/>
  <c r="C1422" i="1"/>
  <c r="A975" i="1"/>
  <c r="A2202" i="1"/>
  <c r="D1733" i="1"/>
  <c r="D1460" i="1"/>
  <c r="A1229" i="1"/>
  <c r="B1186" i="1"/>
  <c r="C2007" i="1"/>
  <c r="A745" i="1"/>
  <c r="F2499" i="1"/>
  <c r="B1911" i="1"/>
  <c r="B1722" i="1"/>
  <c r="B1524" i="1"/>
  <c r="B1276" i="1"/>
  <c r="D1530" i="1"/>
  <c r="D2148" i="1"/>
  <c r="A2041" i="1"/>
  <c r="E401" i="1"/>
  <c r="F1273" i="1"/>
  <c r="A120" i="1"/>
  <c r="F1995" i="1"/>
  <c r="B195" i="1"/>
  <c r="E225" i="1"/>
  <c r="C309" i="1"/>
  <c r="C1550" i="1"/>
  <c r="E227" i="1"/>
  <c r="B329" i="1"/>
  <c r="D334" i="1"/>
  <c r="B1069" i="1"/>
  <c r="A502" i="1"/>
  <c r="D397" i="1"/>
  <c r="C170" i="1"/>
  <c r="E1738" i="1"/>
  <c r="D667" i="1"/>
  <c r="B665" i="1"/>
  <c r="C650" i="1"/>
  <c r="C1758" i="1"/>
  <c r="A299" i="1"/>
  <c r="F250" i="1"/>
  <c r="A2054" i="1"/>
  <c r="B1605" i="1"/>
  <c r="B672" i="1"/>
  <c r="E1432" i="2"/>
  <c r="C2467" i="1"/>
  <c r="D496" i="2"/>
  <c r="F1474" i="1"/>
  <c r="E752" i="2"/>
  <c r="D1721" i="1"/>
  <c r="B554" i="2"/>
  <c r="F1857" i="1"/>
  <c r="C1020" i="2"/>
  <c r="A1517" i="1"/>
  <c r="E2268" i="1"/>
  <c r="F1157" i="1"/>
  <c r="F1652" i="1"/>
  <c r="B1903" i="1"/>
  <c r="B2036" i="1"/>
  <c r="D1105" i="1"/>
  <c r="F1777" i="1"/>
  <c r="B1742" i="1"/>
  <c r="D1763" i="1"/>
  <c r="A1388" i="1"/>
  <c r="C2091" i="1"/>
  <c r="E1259" i="1"/>
  <c r="C1536" i="1"/>
  <c r="B1355" i="1"/>
  <c r="C2071" i="1"/>
  <c r="F1593" i="1"/>
  <c r="D1819" i="1"/>
  <c r="E272" i="2"/>
  <c r="E1732" i="1"/>
  <c r="F1281" i="1"/>
  <c r="B2171" i="1"/>
  <c r="B2412" i="1"/>
  <c r="C1654" i="1"/>
  <c r="A1543" i="1"/>
  <c r="C1113" i="1"/>
  <c r="A1157" i="1"/>
  <c r="E2031" i="1"/>
  <c r="A1854" i="1"/>
  <c r="F1661" i="1"/>
  <c r="C2042" i="1"/>
  <c r="E1319" i="1"/>
  <c r="A1460" i="1"/>
  <c r="B1774" i="1"/>
  <c r="A1269" i="1"/>
  <c r="D1748" i="1"/>
  <c r="C1788" i="1"/>
  <c r="E436" i="2"/>
  <c r="C1908" i="1"/>
  <c r="D566" i="2"/>
  <c r="B1316" i="1"/>
  <c r="C339" i="2"/>
  <c r="E2157" i="1"/>
  <c r="C1727" i="1"/>
  <c r="B2388" i="1"/>
  <c r="E714" i="2"/>
  <c r="C192" i="2"/>
  <c r="B11" i="2"/>
  <c r="E1799" i="1"/>
  <c r="B277" i="2"/>
  <c r="D746" i="2"/>
  <c r="D2407" i="1"/>
  <c r="C1092" i="2"/>
  <c r="E2089" i="1"/>
  <c r="F1807" i="1"/>
  <c r="E1856" i="1"/>
  <c r="D59" i="2"/>
  <c r="B1941" i="1"/>
  <c r="D205" i="2"/>
  <c r="D1300" i="2"/>
  <c r="D234" i="2"/>
  <c r="F2480" i="1"/>
  <c r="D2066" i="1"/>
  <c r="E294" i="2"/>
  <c r="C160" i="2"/>
  <c r="F1911" i="1"/>
  <c r="A2250" i="1"/>
  <c r="C153" i="2"/>
  <c r="A2494" i="1"/>
  <c r="E2004" i="1"/>
  <c r="F707" i="2"/>
  <c r="C1837" i="1"/>
  <c r="B1205" i="1"/>
  <c r="E1927" i="1"/>
  <c r="E2280" i="1"/>
  <c r="E28" i="2"/>
  <c r="E1015" i="1"/>
  <c r="C2149" i="1"/>
  <c r="B2029" i="1"/>
  <c r="B171" i="2"/>
  <c r="F2066" i="1"/>
  <c r="F2434" i="1"/>
  <c r="E655" i="2"/>
  <c r="E2216" i="1"/>
  <c r="F1123" i="1"/>
  <c r="A1529" i="1"/>
  <c r="F1094" i="1"/>
  <c r="F969" i="2"/>
  <c r="D1566" i="1"/>
  <c r="E840" i="2"/>
  <c r="D1684" i="2"/>
  <c r="E518" i="2"/>
  <c r="B2131" i="1"/>
  <c r="E2231" i="1"/>
  <c r="C1584" i="2"/>
  <c r="D305" i="2"/>
  <c r="A1163" i="1"/>
  <c r="D1983" i="1"/>
  <c r="C2136" i="1"/>
  <c r="C1934" i="1"/>
  <c r="D1174" i="1"/>
  <c r="E1444" i="1"/>
  <c r="F858" i="2"/>
  <c r="A1730" i="1"/>
  <c r="A1824" i="1"/>
  <c r="D35" i="2"/>
  <c r="D358" i="2"/>
  <c r="A2093" i="1"/>
  <c r="C2235" i="1"/>
  <c r="F2" i="2"/>
  <c r="B1748" i="1"/>
  <c r="C2421" i="1"/>
  <c r="B1451" i="1"/>
  <c r="C2174" i="1"/>
  <c r="E2160" i="1"/>
  <c r="F1053" i="1"/>
  <c r="D1560" i="1"/>
  <c r="E1209" i="1"/>
  <c r="E2451" i="1"/>
  <c r="D460" i="2"/>
  <c r="B356" i="2"/>
  <c r="C391" i="2"/>
  <c r="D757" i="2"/>
  <c r="A1490" i="1"/>
  <c r="B79" i="2"/>
  <c r="E1832" i="1"/>
  <c r="F422" i="2"/>
  <c r="F1760" i="1"/>
  <c r="C2044" i="1"/>
  <c r="C1077" i="1"/>
  <c r="E1696" i="1"/>
  <c r="E1535" i="1"/>
  <c r="C2012" i="1"/>
  <c r="F1260" i="2"/>
  <c r="F594" i="2"/>
  <c r="D1950" i="1"/>
  <c r="F1715" i="1"/>
  <c r="A1275" i="1"/>
  <c r="F1815" i="1"/>
  <c r="A2468" i="1"/>
  <c r="B1261" i="1"/>
  <c r="A1808" i="1"/>
  <c r="F1647" i="1"/>
  <c r="C1406" i="1"/>
  <c r="C1612" i="1"/>
  <c r="E1493" i="1"/>
  <c r="C2426" i="1"/>
  <c r="C1776" i="1"/>
  <c r="C1098" i="1"/>
  <c r="D2223" i="1"/>
  <c r="E2166" i="1"/>
  <c r="F783" i="2"/>
  <c r="D727" i="2"/>
  <c r="E1624" i="1"/>
  <c r="A1913" i="1"/>
  <c r="E1838" i="1"/>
  <c r="B1541" i="1"/>
  <c r="B1591" i="1"/>
  <c r="F1126" i="1"/>
  <c r="A1243" i="1"/>
  <c r="C1388" i="2"/>
  <c r="F1318" i="1"/>
  <c r="D1180" i="1"/>
  <c r="A2064" i="1"/>
  <c r="B2233" i="1"/>
  <c r="F1367" i="1"/>
  <c r="B740" i="1"/>
  <c r="C900" i="1"/>
  <c r="F2186" i="1"/>
  <c r="E1537" i="1"/>
  <c r="B1389" i="1"/>
  <c r="C778" i="1"/>
  <c r="E2094" i="1"/>
  <c r="E2159" i="1"/>
  <c r="F1110" i="1"/>
  <c r="B1019" i="1"/>
  <c r="D1091" i="1"/>
  <c r="C1848" i="1"/>
  <c r="F1353" i="1"/>
  <c r="F912" i="1"/>
  <c r="F1339" i="1"/>
  <c r="B714" i="1"/>
  <c r="C2205" i="1"/>
  <c r="B608" i="2"/>
  <c r="E1877" i="1"/>
  <c r="B1863" i="1"/>
  <c r="C1482" i="1"/>
  <c r="D2015" i="1"/>
  <c r="E2337" i="1"/>
  <c r="D1683" i="1"/>
  <c r="F867" i="2"/>
  <c r="A2386" i="1"/>
  <c r="E1438" i="1"/>
  <c r="E1471" i="1"/>
  <c r="E2141" i="1"/>
  <c r="D1035" i="2"/>
  <c r="E2167" i="1"/>
  <c r="A1041" i="1"/>
  <c r="F1354" i="1"/>
  <c r="E524" i="2"/>
  <c r="E2438" i="1"/>
  <c r="E1293" i="1"/>
  <c r="B2301" i="1"/>
  <c r="D1576" i="1"/>
  <c r="C1388" i="1"/>
  <c r="A1669" i="1"/>
  <c r="E2" i="2"/>
  <c r="D1681" i="1"/>
  <c r="C2258" i="1"/>
  <c r="A1656" i="1"/>
  <c r="F1314" i="1"/>
  <c r="D2343" i="1"/>
  <c r="A1648" i="1"/>
  <c r="F1890" i="1"/>
  <c r="E1258" i="1"/>
  <c r="E2010" i="1"/>
  <c r="A1608" i="1"/>
  <c r="E1520" i="1"/>
  <c r="E1181" i="1"/>
  <c r="B1849" i="1"/>
  <c r="E2139" i="1"/>
  <c r="F1730" i="1"/>
  <c r="B1121" i="1"/>
  <c r="E1234" i="1"/>
  <c r="E2107" i="1"/>
  <c r="B1313" i="1"/>
  <c r="F1174" i="1"/>
  <c r="B2066" i="1"/>
  <c r="D1886" i="1"/>
  <c r="D1729" i="1"/>
  <c r="A686" i="1"/>
  <c r="F804" i="1"/>
  <c r="C1116" i="1"/>
  <c r="F1578" i="1"/>
  <c r="A1381" i="1"/>
  <c r="A774" i="1"/>
  <c r="C749" i="1"/>
  <c r="C1518" i="1"/>
  <c r="C1186" i="1"/>
  <c r="D673" i="1"/>
  <c r="F1877" i="1"/>
  <c r="E1487" i="1"/>
  <c r="E1155" i="1"/>
  <c r="C717" i="1"/>
  <c r="C2196" i="1"/>
  <c r="B611" i="1"/>
  <c r="F2326" i="1"/>
  <c r="C1484" i="1"/>
  <c r="D2431" i="1"/>
  <c r="C1889" i="1"/>
  <c r="A937" i="1"/>
  <c r="B1894" i="1"/>
  <c r="E365" i="2"/>
  <c r="F1477" i="1"/>
  <c r="E638" i="2"/>
  <c r="B1871" i="1"/>
  <c r="E1631" i="1"/>
  <c r="E2343" i="1"/>
  <c r="E1456" i="1"/>
  <c r="F2481" i="1"/>
  <c r="F2093" i="1"/>
  <c r="B1327" i="1"/>
  <c r="E1862" i="1"/>
  <c r="F1973" i="1"/>
  <c r="D2397" i="1"/>
  <c r="B1936" i="1"/>
  <c r="F1724" i="1"/>
  <c r="F1402" i="1"/>
  <c r="C2075" i="1"/>
  <c r="B1759" i="1"/>
  <c r="C1226" i="1"/>
  <c r="E1290" i="1"/>
  <c r="B1534" i="1"/>
  <c r="B1423" i="1"/>
  <c r="A1880" i="1"/>
  <c r="B2272" i="1"/>
  <c r="B2508" i="1"/>
  <c r="F2142" i="1"/>
  <c r="B1314" i="1"/>
  <c r="A1581" i="1"/>
  <c r="E1513" i="1"/>
  <c r="E1366" i="1"/>
  <c r="B1233" i="1"/>
  <c r="B1533" i="1"/>
  <c r="D614" i="2"/>
  <c r="E1163" i="1"/>
  <c r="D1096" i="1"/>
  <c r="C1130" i="1"/>
  <c r="E230" i="2"/>
  <c r="D1288" i="1"/>
  <c r="D1070" i="1"/>
  <c r="A1886" i="1"/>
  <c r="C2382" i="1"/>
  <c r="F1415" i="1"/>
  <c r="F1955" i="1"/>
  <c r="A1899" i="1"/>
  <c r="A1810" i="1"/>
  <c r="C927" i="2"/>
  <c r="D1115" i="2"/>
  <c r="F2067" i="1"/>
  <c r="F2288" i="1"/>
  <c r="C797" i="2"/>
  <c r="F2045" i="1"/>
  <c r="C43" i="2"/>
  <c r="E2012" i="1"/>
  <c r="C2419" i="1"/>
  <c r="D1975" i="1"/>
  <c r="F1597" i="1"/>
  <c r="A2125" i="1"/>
  <c r="B2255" i="1"/>
  <c r="C2222" i="1"/>
  <c r="E1949" i="1"/>
  <c r="E2060" i="1"/>
  <c r="F1241" i="1"/>
  <c r="A1147" i="1"/>
  <c r="F764" i="2"/>
  <c r="F831" i="2"/>
  <c r="D2442" i="1"/>
  <c r="F1797" i="1"/>
  <c r="C8" i="2"/>
  <c r="E46" i="2"/>
  <c r="C1393" i="2"/>
  <c r="F2273" i="1"/>
  <c r="B332" i="2"/>
  <c r="E1983" i="1"/>
  <c r="B2487" i="1"/>
  <c r="B2386" i="1"/>
  <c r="C770" i="1"/>
  <c r="E1928" i="1"/>
  <c r="C662" i="2"/>
  <c r="E585" i="2"/>
  <c r="F648" i="2"/>
  <c r="F220" i="2"/>
  <c r="B1925" i="1"/>
  <c r="A2171" i="1"/>
  <c r="D2209" i="1"/>
  <c r="F1757" i="1"/>
  <c r="B440" i="2"/>
  <c r="F2169" i="1"/>
  <c r="D1499" i="1"/>
  <c r="E160" i="2"/>
  <c r="A2338" i="1"/>
  <c r="C337" i="2"/>
  <c r="A2493" i="1"/>
  <c r="D2186" i="1"/>
  <c r="D1363" i="1"/>
  <c r="D253" i="2"/>
  <c r="F1048" i="1"/>
  <c r="F2060" i="1"/>
  <c r="B241" i="2"/>
  <c r="B2350" i="1"/>
  <c r="F1605" i="1"/>
  <c r="E805" i="2"/>
  <c r="D1365" i="1"/>
  <c r="F2375" i="1"/>
  <c r="D1400" i="1"/>
  <c r="A2313" i="1"/>
  <c r="B457" i="2"/>
  <c r="E1231" i="2"/>
  <c r="D1905" i="1"/>
  <c r="F977" i="2"/>
  <c r="C68" i="2"/>
  <c r="C2022" i="1"/>
  <c r="D539" i="2"/>
  <c r="C425" i="2"/>
  <c r="E2433" i="1"/>
  <c r="E1242" i="2"/>
  <c r="D200" i="2"/>
  <c r="F1592" i="1"/>
  <c r="D2047" i="1"/>
  <c r="F1758" i="1"/>
  <c r="E1643" i="1"/>
  <c r="E1805" i="1"/>
  <c r="F2149" i="1"/>
  <c r="E2218" i="1"/>
  <c r="E2321" i="1"/>
  <c r="C1361" i="1"/>
  <c r="F2314" i="1"/>
  <c r="A2116" i="1"/>
  <c r="D2189" i="1"/>
  <c r="A879" i="1"/>
  <c r="E2373" i="1"/>
  <c r="D1081" i="1"/>
  <c r="F2371" i="1"/>
  <c r="F1461" i="1"/>
  <c r="F1056" i="1"/>
  <c r="A1966" i="1"/>
  <c r="D1186" i="1"/>
  <c r="A739" i="1"/>
  <c r="E2158" i="1"/>
  <c r="B1810" i="1"/>
  <c r="E1936" i="1"/>
  <c r="E17" i="2"/>
  <c r="D2001" i="1"/>
  <c r="E601" i="2"/>
  <c r="C1924" i="1"/>
  <c r="E1194" i="1"/>
  <c r="C1048" i="1"/>
  <c r="D1308" i="1"/>
  <c r="B1640" i="1"/>
  <c r="F1086" i="1"/>
  <c r="E1567" i="1"/>
  <c r="F1274" i="1"/>
  <c r="D1137" i="1"/>
  <c r="A2320" i="1"/>
  <c r="C976" i="2"/>
  <c r="D1550" i="1"/>
  <c r="C2334" i="1"/>
  <c r="E2374" i="1"/>
  <c r="D1409" i="1"/>
  <c r="C1514" i="1"/>
  <c r="E1574" i="1"/>
  <c r="A1410" i="1"/>
  <c r="E1374" i="1"/>
  <c r="D1303" i="1"/>
  <c r="C1214" i="1"/>
  <c r="D923" i="1"/>
  <c r="C1013" i="1"/>
  <c r="D1353" i="1"/>
  <c r="D1573" i="1"/>
  <c r="D865" i="1"/>
  <c r="E842" i="1"/>
  <c r="A1109" i="1"/>
  <c r="D1487" i="1"/>
  <c r="A1122" i="1"/>
  <c r="D452" i="2"/>
  <c r="D996" i="1"/>
  <c r="E1594" i="1"/>
  <c r="B1496" i="1"/>
  <c r="D1476" i="1"/>
  <c r="F1351" i="1"/>
  <c r="C551" i="1"/>
  <c r="A1418" i="1"/>
  <c r="D1517" i="1"/>
  <c r="D538" i="1"/>
  <c r="B764" i="1"/>
  <c r="B1166" i="1"/>
  <c r="A1900" i="1"/>
  <c r="F184" i="2"/>
  <c r="E1802" i="1"/>
  <c r="D1507" i="1"/>
  <c r="E87" i="2"/>
  <c r="C513" i="2"/>
  <c r="D1310" i="2"/>
  <c r="B1259" i="1"/>
  <c r="C2147" i="1"/>
  <c r="A1133" i="1"/>
  <c r="A1772" i="1"/>
  <c r="A1077" i="1"/>
  <c r="C542" i="2"/>
  <c r="C1662" i="1"/>
  <c r="D1792" i="1"/>
  <c r="F1033" i="1"/>
  <c r="A2066" i="1"/>
  <c r="E1751" i="1"/>
  <c r="B1525" i="1"/>
  <c r="B1670" i="1"/>
  <c r="B1065" i="1"/>
  <c r="E1730" i="1"/>
  <c r="E1369" i="1"/>
  <c r="A1189" i="1"/>
  <c r="A1040" i="1"/>
  <c r="E1207" i="1"/>
  <c r="B1679" i="1"/>
  <c r="F1222" i="1"/>
  <c r="D1589" i="1"/>
  <c r="C1913" i="1"/>
  <c r="B2361" i="1"/>
  <c r="B1686" i="1"/>
  <c r="D1126" i="1"/>
  <c r="D1525" i="1"/>
  <c r="D1665" i="1"/>
  <c r="A1256" i="1"/>
  <c r="F1046" i="1"/>
  <c r="A2391" i="1"/>
  <c r="C1022" i="1"/>
  <c r="E1115" i="1"/>
  <c r="B510" i="1"/>
  <c r="F1653" i="1"/>
  <c r="C1624" i="1"/>
  <c r="E511" i="1"/>
  <c r="F1105" i="1"/>
  <c r="C1375" i="1"/>
  <c r="C1473" i="1"/>
  <c r="D1775" i="1"/>
  <c r="E932" i="1"/>
  <c r="A754" i="1"/>
  <c r="E1672" i="1"/>
  <c r="E320" i="1"/>
  <c r="C1251" i="1"/>
  <c r="F1479" i="1"/>
  <c r="B2142" i="1"/>
  <c r="A833" i="1"/>
  <c r="C1785" i="1"/>
  <c r="B641" i="1"/>
  <c r="F1423" i="1"/>
  <c r="B1910" i="1"/>
  <c r="B739" i="1"/>
  <c r="D1425" i="1"/>
  <c r="F905" i="1"/>
  <c r="A472" i="1"/>
  <c r="A1844" i="1"/>
  <c r="F303" i="2"/>
  <c r="F1595" i="1"/>
  <c r="F1374" i="1"/>
  <c r="F91" i="2"/>
  <c r="C384" i="2"/>
  <c r="C2187" i="1"/>
  <c r="A1944" i="1"/>
  <c r="D477" i="2"/>
  <c r="F2382" i="1"/>
  <c r="C1791" i="1"/>
  <c r="A1213" i="1"/>
  <c r="A2115" i="1"/>
  <c r="E1831" i="1"/>
  <c r="F1494" i="1"/>
  <c r="C1085" i="1"/>
  <c r="D1241" i="1"/>
  <c r="E1673" i="1"/>
  <c r="D1734" i="1"/>
  <c r="F1480" i="1"/>
  <c r="F1488" i="1"/>
  <c r="B1133" i="1"/>
  <c r="D1653" i="1"/>
  <c r="B1179" i="1"/>
  <c r="E1090" i="1"/>
  <c r="D1054" i="1"/>
  <c r="C1891" i="1"/>
  <c r="A2021" i="1"/>
  <c r="E1929" i="1"/>
  <c r="A1700" i="1"/>
  <c r="F2151" i="1"/>
  <c r="E1908" i="1"/>
  <c r="B1150" i="1"/>
  <c r="C1483" i="1"/>
  <c r="E1686" i="1"/>
  <c r="E1151" i="1"/>
  <c r="E1279" i="1"/>
  <c r="C1643" i="1"/>
  <c r="E2304" i="1"/>
  <c r="D963" i="1"/>
  <c r="D1565" i="1"/>
  <c r="E812" i="1"/>
  <c r="D1714" i="1"/>
  <c r="C2066" i="1"/>
  <c r="E1017" i="1"/>
  <c r="E778" i="1"/>
  <c r="A1756" i="1"/>
  <c r="E1269" i="1"/>
  <c r="B2093" i="1"/>
  <c r="E321" i="2"/>
  <c r="C2444" i="1"/>
  <c r="C1441" i="1"/>
  <c r="B132" i="2"/>
  <c r="B770" i="2"/>
  <c r="D701" i="2"/>
  <c r="D2251" i="1"/>
  <c r="E1046" i="2"/>
  <c r="C2240" i="1"/>
  <c r="A1437" i="1"/>
  <c r="E2205" i="1"/>
  <c r="B1321" i="1"/>
  <c r="D430" i="2"/>
  <c r="B1566" i="1"/>
  <c r="C219" i="2"/>
  <c r="E2318" i="1"/>
  <c r="B1990" i="1"/>
  <c r="F1321" i="1"/>
  <c r="F2264" i="1"/>
  <c r="E2336" i="1"/>
  <c r="F188" i="2"/>
  <c r="F2106" i="1"/>
  <c r="F651" i="2"/>
  <c r="E2488" i="1"/>
  <c r="C2354" i="1"/>
  <c r="A2076" i="1"/>
  <c r="B1777" i="1"/>
  <c r="F851" i="2"/>
  <c r="E1886" i="1"/>
  <c r="F2023" i="1"/>
  <c r="C27" i="2"/>
  <c r="D2192" i="1"/>
  <c r="B2019" i="1"/>
  <c r="F2335" i="1"/>
  <c r="E2461" i="1"/>
  <c r="E896" i="2"/>
  <c r="D1964" i="1"/>
  <c r="C2480" i="1"/>
  <c r="B2194" i="1"/>
  <c r="A1953" i="1"/>
  <c r="F1431" i="1"/>
  <c r="A2359" i="1"/>
  <c r="D175" i="2"/>
  <c r="E2075" i="1"/>
  <c r="C2121" i="1"/>
  <c r="A1061" i="1"/>
  <c r="E1967" i="1"/>
  <c r="F2377" i="1"/>
  <c r="E73" i="2"/>
  <c r="E2076" i="1"/>
  <c r="F297" i="2"/>
  <c r="E2103" i="1"/>
  <c r="F408" i="2"/>
  <c r="E1900" i="1"/>
  <c r="E517" i="2"/>
  <c r="F2068" i="1"/>
  <c r="F1607" i="1"/>
  <c r="A2331" i="1"/>
  <c r="A2073" i="1"/>
  <c r="E2123" i="1"/>
  <c r="D1661" i="1"/>
  <c r="D1023" i="1"/>
  <c r="D276" i="2"/>
  <c r="B101" i="2"/>
  <c r="A1729" i="1"/>
  <c r="D2127" i="1"/>
  <c r="E2253" i="1"/>
  <c r="A1339" i="1"/>
  <c r="C2041" i="1"/>
  <c r="A2421" i="1"/>
  <c r="D267" i="2"/>
  <c r="E2365" i="1"/>
  <c r="B1207" i="1"/>
  <c r="D1697" i="1"/>
  <c r="B2007" i="1"/>
  <c r="E1101" i="1"/>
  <c r="B742" i="1"/>
  <c r="F2230" i="1"/>
  <c r="D2080" i="1"/>
  <c r="F196" i="2"/>
  <c r="B1915" i="1"/>
  <c r="B601" i="2"/>
  <c r="B2423" i="1"/>
  <c r="D1058" i="1"/>
  <c r="B2396" i="1"/>
  <c r="F1594" i="1"/>
  <c r="E770" i="2"/>
  <c r="B961" i="1"/>
  <c r="A1447" i="1"/>
  <c r="A1072" i="1"/>
  <c r="B2015" i="1"/>
  <c r="B1651" i="1"/>
  <c r="B1614" i="1"/>
  <c r="E1436" i="1"/>
  <c r="C2171" i="1"/>
  <c r="E1635" i="1"/>
  <c r="B706" i="2"/>
  <c r="A2484" i="1"/>
  <c r="B1789" i="1"/>
  <c r="D2335" i="1"/>
  <c r="C1376" i="1"/>
  <c r="C1314" i="1"/>
  <c r="F927" i="1"/>
  <c r="B1419" i="1"/>
  <c r="F1249" i="1"/>
  <c r="A1291" i="1"/>
  <c r="C1005" i="1"/>
  <c r="B972" i="1"/>
  <c r="E787" i="2"/>
  <c r="D2159" i="1"/>
  <c r="D2386" i="1"/>
  <c r="B2010" i="1"/>
  <c r="F2486" i="1"/>
  <c r="E671" i="2"/>
  <c r="D1563" i="1"/>
  <c r="F1450" i="1"/>
  <c r="E1185" i="1"/>
  <c r="B1698" i="1"/>
  <c r="C835" i="1"/>
  <c r="B807" i="1"/>
  <c r="B1080" i="1"/>
  <c r="D1378" i="1"/>
  <c r="A1478" i="1"/>
  <c r="B798" i="1"/>
  <c r="A797" i="1"/>
  <c r="D1599" i="1"/>
  <c r="C1055" i="1"/>
  <c r="A1457" i="1"/>
  <c r="D841" i="1"/>
  <c r="E818" i="1"/>
  <c r="F1688" i="1"/>
  <c r="B680" i="1"/>
  <c r="E1010" i="1"/>
  <c r="F1762" i="1"/>
  <c r="A811" i="1"/>
  <c r="C899" i="1"/>
  <c r="F1377" i="1"/>
  <c r="A959" i="1"/>
  <c r="E1095" i="1"/>
  <c r="F88" i="1"/>
  <c r="A1324" i="1"/>
  <c r="E1509" i="1"/>
  <c r="C2482" i="1"/>
  <c r="A2402" i="1"/>
  <c r="C740" i="1"/>
  <c r="E1286" i="1"/>
  <c r="C410" i="2"/>
  <c r="B1411" i="2"/>
  <c r="D617" i="2"/>
  <c r="D77" i="2"/>
  <c r="C2303" i="1"/>
  <c r="E2294" i="1"/>
  <c r="F1707" i="1"/>
  <c r="B1281" i="1"/>
  <c r="A2245" i="1"/>
  <c r="F2203" i="1"/>
  <c r="E1744" i="1"/>
  <c r="D1153" i="1"/>
  <c r="A1914" i="1"/>
  <c r="B1694" i="1"/>
  <c r="E1640" i="1"/>
  <c r="D1945" i="1"/>
  <c r="D1271" i="1"/>
  <c r="B1160" i="1"/>
  <c r="E1359" i="1"/>
  <c r="F1428" i="1"/>
  <c r="B1244" i="1"/>
  <c r="A1500" i="1"/>
  <c r="F1530" i="1"/>
  <c r="F1171" i="1"/>
  <c r="A1263" i="1"/>
  <c r="A2390" i="1"/>
  <c r="D2011" i="1"/>
  <c r="E189" i="2"/>
  <c r="E1884" i="1"/>
  <c r="F1293" i="1"/>
  <c r="C1605" i="1"/>
  <c r="F1219" i="1"/>
  <c r="B1711" i="1"/>
  <c r="B2395" i="1"/>
  <c r="E881" i="1"/>
  <c r="E879" i="1"/>
  <c r="F2464" i="1"/>
  <c r="A1405" i="1"/>
  <c r="C1279" i="1"/>
  <c r="A189" i="1"/>
  <c r="C1353" i="1"/>
  <c r="C1487" i="1"/>
  <c r="A381" i="1"/>
  <c r="B1153" i="1"/>
  <c r="C1184" i="1"/>
  <c r="D859" i="1"/>
  <c r="E1149" i="1"/>
  <c r="E1132" i="1"/>
  <c r="F951" i="1"/>
  <c r="B1212" i="1"/>
  <c r="B596" i="1"/>
  <c r="A1086" i="1"/>
  <c r="D1676" i="1"/>
  <c r="C869" i="1"/>
  <c r="D903" i="1"/>
  <c r="A1401" i="1"/>
  <c r="B545" i="1"/>
  <c r="F1444" i="1"/>
  <c r="E1873" i="1"/>
  <c r="F630" i="1"/>
  <c r="B2022" i="1"/>
  <c r="B1662" i="1"/>
  <c r="D1766" i="1"/>
  <c r="A1018" i="1"/>
  <c r="E2161" i="1"/>
  <c r="C2144" i="1"/>
  <c r="B2150" i="1"/>
  <c r="C2291" i="1"/>
  <c r="F2138" i="1"/>
  <c r="B239" i="2"/>
  <c r="A1417" i="1"/>
  <c r="D1256" i="1"/>
  <c r="D585" i="2"/>
  <c r="D1567" i="1"/>
  <c r="A1572" i="1"/>
  <c r="B1049" i="1"/>
  <c r="D1849" i="1"/>
  <c r="B1128" i="1"/>
  <c r="B1369" i="1"/>
  <c r="D1413" i="1"/>
  <c r="D1200" i="1"/>
  <c r="D1068" i="1"/>
  <c r="E1381" i="1"/>
  <c r="C973" i="1"/>
  <c r="A1125" i="1"/>
  <c r="B1636" i="1"/>
  <c r="D353" i="2"/>
  <c r="C677" i="2"/>
  <c r="E2234" i="1"/>
  <c r="C1880" i="1"/>
  <c r="D1843" i="1"/>
  <c r="E2356" i="1"/>
  <c r="B1581" i="1"/>
  <c r="D1708" i="1"/>
  <c r="E1314" i="1"/>
  <c r="D1270" i="1"/>
  <c r="F1884" i="1"/>
  <c r="C1502" i="1"/>
  <c r="C1489" i="1"/>
  <c r="D522" i="1"/>
  <c r="F1746" i="1"/>
  <c r="F541" i="1"/>
  <c r="D867" i="1"/>
  <c r="B1394" i="1"/>
  <c r="E788" i="1"/>
  <c r="F438" i="1"/>
  <c r="C1286" i="1"/>
  <c r="A859" i="1"/>
  <c r="E261" i="2"/>
  <c r="E571" i="2"/>
  <c r="C1797" i="1"/>
  <c r="F823" i="2"/>
  <c r="D714" i="2"/>
  <c r="A1878" i="1"/>
  <c r="B1993" i="1"/>
  <c r="F1728" i="1"/>
  <c r="E591" i="2"/>
  <c r="E280" i="2"/>
  <c r="F1864" i="1"/>
  <c r="C1637" i="1"/>
  <c r="E645" i="2"/>
  <c r="C2051" i="1"/>
  <c r="C2175" i="1"/>
  <c r="E592" i="2"/>
  <c r="D1118" i="1"/>
  <c r="E421" i="2"/>
  <c r="D2301" i="1"/>
  <c r="E284" i="2"/>
  <c r="C1443" i="1"/>
  <c r="E2514" i="1"/>
  <c r="C680" i="2"/>
  <c r="B288" i="2"/>
  <c r="F1081" i="2"/>
  <c r="C151" i="2"/>
  <c r="E464" i="2"/>
  <c r="C1544" i="1"/>
  <c r="D1777" i="1"/>
  <c r="B170" i="2"/>
  <c r="C1941" i="1"/>
  <c r="F855" i="2"/>
  <c r="E100" i="2"/>
  <c r="D1421" i="1"/>
  <c r="D1732" i="1"/>
  <c r="C2384" i="1"/>
  <c r="D112" i="2"/>
  <c r="B1469" i="1"/>
  <c r="B1648" i="1"/>
  <c r="D2422" i="1"/>
  <c r="E1501" i="1"/>
  <c r="D2254" i="1"/>
  <c r="D1579" i="1"/>
  <c r="D2060" i="1"/>
  <c r="E2171" i="1"/>
  <c r="B1994" i="1"/>
  <c r="F2108" i="1"/>
  <c r="E1661" i="1"/>
  <c r="B826" i="2"/>
  <c r="D672" i="2"/>
  <c r="E2369" i="1"/>
  <c r="E1587" i="1"/>
  <c r="B2164" i="1"/>
  <c r="C826" i="2"/>
  <c r="A1761" i="1"/>
  <c r="E1718" i="1"/>
  <c r="C200" i="2"/>
  <c r="D662" i="2"/>
  <c r="D1788" i="1"/>
  <c r="A1325" i="1"/>
  <c r="F2456" i="1"/>
  <c r="B1630" i="1"/>
  <c r="B862" i="2"/>
  <c r="F1399" i="1"/>
  <c r="D704" i="2"/>
  <c r="B2088" i="1"/>
  <c r="B321" i="2"/>
  <c r="F1910" i="1"/>
  <c r="C558" i="2"/>
  <c r="E1138" i="1"/>
  <c r="D1267" i="1"/>
  <c r="B2153" i="1"/>
  <c r="A2508" i="1"/>
  <c r="F1848" i="1"/>
  <c r="A1791" i="1"/>
  <c r="E2363" i="1"/>
  <c r="D1502" i="1"/>
  <c r="F539" i="2"/>
  <c r="B1901" i="1"/>
  <c r="D311" i="2"/>
  <c r="D2478" i="1"/>
  <c r="A417" i="1"/>
  <c r="A1463" i="1"/>
  <c r="A1379" i="1"/>
  <c r="B1904" i="1"/>
  <c r="E539" i="2"/>
  <c r="B675" i="2"/>
  <c r="D2004" i="1"/>
  <c r="F2127" i="1"/>
  <c r="C2318" i="1"/>
  <c r="E1237" i="1"/>
  <c r="F1190" i="1"/>
  <c r="E1772" i="1"/>
  <c r="A2086" i="1"/>
  <c r="A1434" i="1"/>
  <c r="F136" i="2"/>
  <c r="C1566" i="1"/>
  <c r="D1405" i="1"/>
  <c r="D2447" i="1"/>
  <c r="C1854" i="1"/>
  <c r="D1742" i="1"/>
  <c r="A1657" i="1"/>
  <c r="F1155" i="1"/>
  <c r="E1023" i="1"/>
  <c r="B1643" i="1"/>
  <c r="F1083" i="1"/>
  <c r="E1117" i="1"/>
  <c r="E1322" i="1"/>
  <c r="B769" i="1"/>
  <c r="B1009" i="1"/>
  <c r="B2324" i="1"/>
  <c r="B1521" i="1"/>
  <c r="D1490" i="1"/>
  <c r="D2238" i="1"/>
  <c r="C850" i="2"/>
  <c r="D2264" i="1"/>
  <c r="D1724" i="1"/>
  <c r="F1160" i="1"/>
  <c r="A1599" i="1"/>
  <c r="E1634" i="1"/>
  <c r="D925" i="1"/>
  <c r="D1051" i="1"/>
  <c r="D1053" i="1"/>
  <c r="D873" i="1"/>
  <c r="C711" i="1"/>
  <c r="A1971" i="1"/>
  <c r="A1299" i="1"/>
  <c r="D1226" i="1"/>
  <c r="A2280" i="1"/>
  <c r="B979" i="1"/>
  <c r="F1542" i="1"/>
  <c r="A1162" i="1"/>
  <c r="D1125" i="1"/>
  <c r="E687" i="1"/>
  <c r="E794" i="1"/>
  <c r="A1711" i="1"/>
  <c r="F538" i="1"/>
  <c r="F935" i="1"/>
  <c r="E1242" i="1"/>
  <c r="A787" i="1"/>
  <c r="E888" i="1"/>
  <c r="A1431" i="1"/>
  <c r="A864" i="1"/>
  <c r="E1361" i="1"/>
  <c r="C9" i="2"/>
  <c r="D1853" i="1"/>
  <c r="D394" i="2"/>
  <c r="F1662" i="1"/>
  <c r="B707" i="1"/>
  <c r="C2055" i="1"/>
  <c r="E1890" i="1"/>
  <c r="F1601" i="1"/>
  <c r="C2277" i="1"/>
  <c r="E1427" i="1"/>
  <c r="F1107" i="1"/>
  <c r="F1316" i="1"/>
  <c r="E221" i="2"/>
  <c r="C1519" i="1"/>
  <c r="B1332" i="1"/>
  <c r="F1010" i="2"/>
  <c r="C2388" i="1"/>
  <c r="B693" i="2"/>
  <c r="D1711" i="1"/>
  <c r="A1200" i="1"/>
  <c r="D1740" i="1"/>
  <c r="A558" i="1"/>
  <c r="D1151" i="1"/>
  <c r="A783" i="1"/>
  <c r="D1466" i="1"/>
  <c r="F1258" i="1"/>
  <c r="B1169" i="1"/>
  <c r="A1037" i="1"/>
  <c r="B1723" i="1"/>
  <c r="C2168" i="1"/>
  <c r="B1563" i="1"/>
  <c r="C1893" i="1"/>
  <c r="A1220" i="1"/>
  <c r="B1530" i="1"/>
  <c r="A1131" i="1"/>
  <c r="B1084" i="1"/>
  <c r="F1645" i="1"/>
  <c r="D1776" i="1"/>
  <c r="E662" i="1"/>
  <c r="B1814" i="1"/>
  <c r="B1172" i="1"/>
  <c r="C1045" i="1"/>
  <c r="F2259" i="1"/>
  <c r="E568" i="1"/>
  <c r="B1311" i="1"/>
  <c r="F1506" i="1"/>
  <c r="C475" i="1"/>
  <c r="F1134" i="1"/>
  <c r="F1297" i="1"/>
  <c r="A919" i="1"/>
  <c r="B785" i="1"/>
  <c r="D1329" i="1"/>
  <c r="A934" i="1"/>
  <c r="F1405" i="1"/>
  <c r="A844" i="1"/>
  <c r="A1034" i="1"/>
  <c r="F1305" i="1"/>
  <c r="F166" i="1"/>
  <c r="D763" i="1"/>
  <c r="C1053" i="1"/>
  <c r="B524" i="1"/>
  <c r="F1732" i="1"/>
  <c r="D1384" i="1"/>
  <c r="B449" i="1"/>
  <c r="F14" i="2"/>
  <c r="B1802" i="1"/>
  <c r="F1532" i="1"/>
  <c r="D1424" i="2"/>
  <c r="B1570" i="1"/>
  <c r="E2007" i="1"/>
  <c r="E2003" i="1"/>
  <c r="B1468" i="1"/>
  <c r="D1846" i="1"/>
  <c r="F1454" i="1"/>
  <c r="E1432" i="1"/>
  <c r="E1305" i="1"/>
  <c r="A2460" i="1"/>
  <c r="D806" i="2"/>
  <c r="D1297" i="1"/>
  <c r="A1907" i="1"/>
  <c r="B1634" i="1"/>
  <c r="B1550" i="1"/>
  <c r="D1437" i="1"/>
  <c r="C1194" i="1"/>
  <c r="B1601" i="1"/>
  <c r="F1254" i="1"/>
  <c r="F1380" i="1"/>
  <c r="B1163" i="1"/>
  <c r="E1716" i="1"/>
  <c r="B1176" i="1"/>
  <c r="C1678" i="1"/>
  <c r="B2076" i="1"/>
  <c r="E2041" i="1"/>
  <c r="F1089" i="1"/>
  <c r="F1673" i="1"/>
  <c r="D2194" i="1"/>
  <c r="F1496" i="1"/>
  <c r="B1656" i="1"/>
  <c r="A1349" i="1"/>
  <c r="B1306" i="1"/>
  <c r="A1475" i="1"/>
  <c r="D959" i="2"/>
  <c r="C1273" i="1"/>
  <c r="A942" i="1"/>
  <c r="D1074" i="1"/>
  <c r="E393" i="1"/>
  <c r="C1799" i="1"/>
  <c r="B1399" i="1"/>
  <c r="B250" i="1"/>
  <c r="D702" i="1"/>
  <c r="A1466" i="1"/>
  <c r="E764" i="1"/>
  <c r="C2329" i="1"/>
  <c r="F676" i="2"/>
  <c r="D970" i="2"/>
  <c r="E333" i="2"/>
  <c r="B2297" i="1"/>
  <c r="F1659" i="1"/>
  <c r="C1435" i="1"/>
  <c r="D905" i="2"/>
  <c r="F266" i="2"/>
  <c r="B1632" i="1"/>
  <c r="B1464" i="1"/>
  <c r="B575" i="2"/>
  <c r="D1645" i="1"/>
  <c r="F351" i="2"/>
  <c r="D626" i="2"/>
  <c r="E116" i="2"/>
  <c r="C1630" i="1"/>
  <c r="C272" i="2"/>
  <c r="B112" i="2"/>
  <c r="B84" i="2"/>
  <c r="A2210" i="1"/>
  <c r="E2456" i="1"/>
  <c r="F526" i="2"/>
  <c r="E993" i="2"/>
  <c r="E1591" i="1"/>
  <c r="E2063" i="1"/>
  <c r="B1652" i="1"/>
  <c r="F2053" i="1"/>
  <c r="F1860" i="1"/>
  <c r="A2481" i="1"/>
  <c r="D1822" i="1"/>
  <c r="D1009" i="2"/>
  <c r="B343" i="2"/>
  <c r="B624" i="2"/>
  <c r="C481" i="2"/>
  <c r="C1315" i="1"/>
  <c r="D643" i="2"/>
  <c r="D1277" i="2"/>
  <c r="D2271" i="1"/>
  <c r="B1044" i="1"/>
  <c r="B472" i="2"/>
  <c r="E483" i="2"/>
  <c r="E1539" i="1"/>
  <c r="E1964" i="1"/>
  <c r="F1998" i="1"/>
  <c r="A1686" i="1"/>
  <c r="C2362" i="1"/>
  <c r="F1926" i="1"/>
  <c r="A1846" i="1"/>
  <c r="F2164" i="1"/>
  <c r="F1137" i="1"/>
  <c r="B2362" i="1"/>
  <c r="F1132" i="1"/>
  <c r="D1956" i="1"/>
  <c r="E2485" i="1"/>
  <c r="E1976" i="1"/>
  <c r="B607" i="2"/>
  <c r="B135" i="2"/>
  <c r="D2" i="2"/>
  <c r="E1872" i="1"/>
  <c r="F311" i="2"/>
  <c r="F1739" i="1"/>
  <c r="E2028" i="1"/>
  <c r="F1245" i="1"/>
  <c r="F115" i="2"/>
  <c r="B1058" i="2"/>
  <c r="C1990" i="1"/>
  <c r="D1794" i="1"/>
  <c r="D2088" i="1"/>
  <c r="D1286" i="1"/>
  <c r="E1197" i="1"/>
  <c r="E2105" i="1"/>
  <c r="A2257" i="1"/>
  <c r="D291" i="2"/>
  <c r="F1981" i="1"/>
  <c r="F1914" i="1"/>
  <c r="A2139" i="1"/>
  <c r="C2397" i="1"/>
  <c r="F1061" i="1"/>
  <c r="C222" i="2"/>
  <c r="B1554" i="1"/>
  <c r="B1596" i="1"/>
  <c r="D680" i="2"/>
  <c r="B2011" i="1"/>
  <c r="B1868" i="1"/>
  <c r="F2514" i="1"/>
  <c r="C2046" i="1"/>
  <c r="F1966" i="1"/>
  <c r="E2227" i="1"/>
  <c r="B2234" i="1"/>
  <c r="C1269" i="1"/>
  <c r="B1225" i="1"/>
  <c r="D67" i="2"/>
  <c r="F217" i="2"/>
  <c r="F1903" i="1"/>
  <c r="C468" i="2"/>
  <c r="C459" i="2"/>
  <c r="E2119" i="1"/>
  <c r="A1750" i="1"/>
  <c r="F1364" i="1"/>
  <c r="C265" i="2"/>
  <c r="A2117" i="1"/>
  <c r="A1942" i="1"/>
  <c r="A1673" i="1"/>
  <c r="B1940" i="1"/>
  <c r="C1627" i="1"/>
  <c r="C1711" i="1"/>
  <c r="E1834" i="1"/>
  <c r="F1796" i="1"/>
  <c r="E573" i="2"/>
  <c r="A1031" i="1"/>
  <c r="F1959" i="1"/>
  <c r="E1014" i="1"/>
  <c r="B1458" i="1"/>
  <c r="C2141" i="1"/>
  <c r="B2307" i="1"/>
  <c r="E515" i="2"/>
  <c r="D1547" i="1"/>
  <c r="E1073" i="1"/>
  <c r="D1320" i="1"/>
  <c r="B752" i="1"/>
  <c r="F1384" i="1"/>
  <c r="F1435" i="1"/>
  <c r="F858" i="1"/>
  <c r="B763" i="1"/>
  <c r="F1974" i="1"/>
  <c r="B761" i="1"/>
  <c r="E644" i="1"/>
  <c r="B1837" i="1"/>
  <c r="D951" i="1"/>
  <c r="F1356" i="1"/>
  <c r="E1942" i="1"/>
  <c r="D472" i="1"/>
  <c r="F1763" i="1"/>
  <c r="D752" i="1"/>
  <c r="C804" i="1"/>
  <c r="E390" i="1"/>
  <c r="D838" i="1"/>
  <c r="D1478" i="1"/>
  <c r="F245" i="1"/>
  <c r="F839" i="1"/>
  <c r="B1032" i="1"/>
  <c r="E1336" i="1"/>
  <c r="E792" i="1"/>
  <c r="B2067" i="1"/>
  <c r="D2095" i="1"/>
  <c r="B516" i="2"/>
  <c r="E2313" i="1"/>
  <c r="B1883" i="1"/>
  <c r="A1852" i="1"/>
  <c r="E1975" i="1"/>
  <c r="A1089" i="1"/>
  <c r="F1842" i="1"/>
  <c r="A751" i="1"/>
  <c r="F1228" i="1"/>
  <c r="E1822" i="1"/>
  <c r="F29" i="2"/>
  <c r="E1994" i="1"/>
  <c r="C1558" i="1"/>
  <c r="B1301" i="1"/>
  <c r="F2039" i="1"/>
  <c r="E354" i="2"/>
  <c r="F2451" i="1"/>
  <c r="D1868" i="1"/>
  <c r="C2251" i="1"/>
  <c r="B2169" i="1"/>
  <c r="C1877" i="1"/>
  <c r="C2118" i="1"/>
  <c r="C1509" i="1"/>
  <c r="D1225" i="1"/>
  <c r="F1366" i="1"/>
  <c r="B1081" i="1"/>
  <c r="F2419" i="1"/>
  <c r="D1397" i="1"/>
  <c r="E2243" i="1"/>
  <c r="D1584" i="1"/>
  <c r="F1326" i="1"/>
  <c r="C1644" i="1"/>
  <c r="E1613" i="1"/>
  <c r="F1198" i="1"/>
  <c r="F1023" i="2"/>
  <c r="B1649" i="1"/>
  <c r="B959" i="1"/>
  <c r="C1580" i="1"/>
  <c r="A1105" i="1"/>
  <c r="C882" i="1"/>
  <c r="C1772" i="1"/>
  <c r="C1317" i="1"/>
  <c r="B766" i="1"/>
  <c r="E1047" i="1"/>
  <c r="D783" i="1"/>
  <c r="F943" i="1"/>
  <c r="A1755" i="1"/>
  <c r="D465" i="1"/>
  <c r="F936" i="1"/>
  <c r="D1656" i="1"/>
  <c r="A895" i="1"/>
  <c r="E1142" i="1"/>
  <c r="F1561" i="1"/>
  <c r="C923" i="1"/>
  <c r="C1433" i="1"/>
  <c r="E371" i="1"/>
  <c r="A1013" i="1"/>
  <c r="F1894" i="1"/>
  <c r="A448" i="1"/>
  <c r="E1118" i="1"/>
  <c r="E1389" i="1"/>
  <c r="C821" i="1"/>
  <c r="E2057" i="1"/>
  <c r="D2404" i="1"/>
  <c r="E2042" i="1"/>
  <c r="C1836" i="1"/>
  <c r="B1860" i="1"/>
  <c r="A1666" i="1"/>
  <c r="D2005" i="1"/>
  <c r="C2330" i="1"/>
  <c r="A1585" i="1"/>
  <c r="A2291" i="1"/>
  <c r="D176" i="2"/>
  <c r="B1864" i="1"/>
  <c r="D163" i="2"/>
  <c r="B931" i="2"/>
  <c r="A1415" i="1"/>
  <c r="B1238" i="1"/>
  <c r="F2348" i="1"/>
  <c r="E1604" i="1"/>
  <c r="E1105" i="1"/>
  <c r="F2191" i="1"/>
  <c r="F1476" i="1"/>
  <c r="E1746" i="1"/>
  <c r="C1749" i="1"/>
  <c r="F1277" i="1"/>
  <c r="D1048" i="1"/>
  <c r="F2222" i="1"/>
  <c r="F1565" i="1"/>
  <c r="F2018" i="1"/>
  <c r="D2201" i="1"/>
  <c r="F1700" i="1"/>
  <c r="C1963" i="1"/>
  <c r="E1749" i="1"/>
  <c r="B1041" i="1"/>
  <c r="D435" i="1"/>
  <c r="B1392" i="1"/>
  <c r="C1250" i="1"/>
  <c r="B2295" i="1"/>
  <c r="E1974" i="1"/>
  <c r="E1556" i="1"/>
  <c r="A817" i="1"/>
  <c r="A634" i="1"/>
  <c r="C281" i="1"/>
  <c r="A1115" i="1"/>
  <c r="F1244" i="1"/>
  <c r="C220" i="1"/>
  <c r="B378" i="1"/>
  <c r="F1141" i="1"/>
  <c r="A1747" i="1"/>
  <c r="F2136" i="1"/>
  <c r="C1862" i="1"/>
  <c r="C2503" i="1"/>
  <c r="E2023" i="1"/>
  <c r="D1648" i="1"/>
  <c r="F495" i="2"/>
  <c r="B2026" i="1"/>
  <c r="E216" i="2"/>
  <c r="E1597" i="1"/>
  <c r="D2421" i="1"/>
  <c r="B90" i="2"/>
  <c r="E1407" i="2"/>
  <c r="B2410" i="1"/>
  <c r="E2498" i="1"/>
  <c r="D1963" i="1"/>
  <c r="B1036" i="1"/>
  <c r="B2302" i="1"/>
  <c r="D1664" i="1"/>
  <c r="A2014" i="1"/>
  <c r="F445" i="2"/>
  <c r="A2010" i="1"/>
  <c r="E1226" i="1"/>
  <c r="D1787" i="1"/>
  <c r="C1437" i="1"/>
  <c r="B2405" i="1"/>
  <c r="E1660" i="1"/>
  <c r="D791" i="1"/>
  <c r="F735" i="1"/>
  <c r="C1396" i="1"/>
  <c r="C1007" i="1"/>
  <c r="A940" i="1"/>
  <c r="B854" i="1"/>
  <c r="C1537" i="1"/>
  <c r="A1000" i="1"/>
  <c r="A1526" i="1"/>
  <c r="B488" i="2"/>
  <c r="E1767" i="1"/>
  <c r="B1282" i="1"/>
  <c r="E1519" i="1"/>
  <c r="B1841" i="1"/>
  <c r="C385" i="2"/>
  <c r="D1377" i="1"/>
  <c r="D1117" i="1"/>
  <c r="A1328" i="1"/>
  <c r="B1540" i="1"/>
  <c r="B935" i="1"/>
  <c r="B1537" i="1"/>
  <c r="E474" i="1"/>
  <c r="A1010" i="1"/>
  <c r="F953" i="1"/>
  <c r="C504" i="1"/>
  <c r="F908" i="2"/>
  <c r="F1418" i="1"/>
  <c r="E1811" i="1"/>
  <c r="E2236" i="1"/>
  <c r="D2019" i="1"/>
  <c r="A1132" i="1"/>
  <c r="F1922" i="1"/>
  <c r="D1731" i="1"/>
  <c r="D882" i="1"/>
  <c r="C1468" i="1"/>
  <c r="C254" i="1"/>
  <c r="C375" i="1"/>
  <c r="D1067" i="1"/>
  <c r="B1758" i="1"/>
  <c r="A2321" i="1"/>
  <c r="C1595" i="1"/>
  <c r="A2274" i="1"/>
  <c r="E907" i="2"/>
  <c r="B2078" i="1"/>
  <c r="C754" i="2"/>
  <c r="C1652" i="1"/>
  <c r="D1209" i="1"/>
  <c r="B1237" i="1"/>
  <c r="F863" i="1"/>
  <c r="A1916" i="1"/>
  <c r="E2511" i="1"/>
  <c r="C1064" i="1"/>
  <c r="E1644" i="1"/>
  <c r="C104" i="2"/>
  <c r="F113" i="2"/>
  <c r="B1879" i="1"/>
  <c r="F88" i="2"/>
  <c r="C1975" i="1"/>
  <c r="F2171" i="1"/>
  <c r="C1606" i="1"/>
  <c r="B1641" i="1"/>
  <c r="D1845" i="1"/>
  <c r="B2331" i="1"/>
  <c r="F1710" i="1"/>
  <c r="A1191" i="1"/>
  <c r="B1561" i="1"/>
  <c r="C1671" i="1"/>
  <c r="A1138" i="1"/>
  <c r="A1316" i="1"/>
  <c r="F1235" i="1"/>
  <c r="E1774" i="1"/>
  <c r="F1912" i="1"/>
  <c r="D1482" i="1"/>
  <c r="E1049" i="1"/>
  <c r="B1481" i="1"/>
  <c r="C2219" i="1"/>
  <c r="F2453" i="1"/>
  <c r="A1975" i="1"/>
  <c r="F2071" i="1"/>
  <c r="F684" i="2"/>
  <c r="F2111" i="1"/>
  <c r="B1900" i="1"/>
  <c r="B1672" i="1"/>
  <c r="D1901" i="1"/>
  <c r="D1583" i="1"/>
  <c r="A1406" i="1"/>
  <c r="E1916" i="1"/>
  <c r="E1684" i="1"/>
  <c r="A1021" i="1"/>
  <c r="E2499" i="1"/>
  <c r="D1504" i="1"/>
  <c r="F1538" i="1"/>
  <c r="B1439" i="1"/>
  <c r="C2350" i="1"/>
  <c r="A1386" i="1"/>
  <c r="A1485" i="1"/>
  <c r="C1868" i="1"/>
  <c r="A1117" i="1"/>
  <c r="B1952" i="1"/>
  <c r="F1529" i="1"/>
  <c r="F1721" i="1"/>
  <c r="F2246" i="1"/>
  <c r="D1669" i="1"/>
  <c r="E1466" i="1"/>
  <c r="E1858" i="1"/>
  <c r="A1095" i="1"/>
  <c r="F1544" i="1"/>
  <c r="C1501" i="1"/>
  <c r="D1481" i="1"/>
  <c r="A1955" i="1"/>
  <c r="A1413" i="1"/>
  <c r="F960" i="1"/>
  <c r="B1705" i="1"/>
  <c r="F1327" i="1"/>
  <c r="B1224" i="1"/>
  <c r="C575" i="1"/>
  <c r="B1600" i="1"/>
  <c r="C1619" i="2"/>
  <c r="D1498" i="1"/>
  <c r="D1833" i="1"/>
  <c r="E1038" i="1"/>
  <c r="C1874" i="1"/>
  <c r="F1825" i="1"/>
  <c r="C969" i="1"/>
  <c r="B1713" i="1"/>
  <c r="B1626" i="1"/>
  <c r="D2009" i="1"/>
  <c r="D735" i="1"/>
  <c r="F967" i="1"/>
  <c r="C1988" i="1"/>
  <c r="C1409" i="1"/>
  <c r="C904" i="1"/>
  <c r="C738" i="1"/>
  <c r="A1698" i="1"/>
  <c r="F1513" i="1"/>
  <c r="A1267" i="1"/>
  <c r="C1449" i="1"/>
  <c r="B922" i="2"/>
  <c r="C2059" i="1"/>
  <c r="A2488" i="1"/>
  <c r="D1806" i="1"/>
  <c r="A1646" i="1"/>
  <c r="E610" i="2"/>
  <c r="D2128" i="1"/>
  <c r="B2154" i="1"/>
  <c r="A2347" i="1"/>
  <c r="A1360" i="1"/>
  <c r="D1558" i="1"/>
  <c r="E2131" i="1"/>
  <c r="E1766" i="1"/>
  <c r="A1839" i="1"/>
  <c r="E1177" i="1"/>
  <c r="D1045" i="1"/>
  <c r="C1416" i="1"/>
  <c r="C1851" i="1"/>
  <c r="E1761" i="1"/>
  <c r="C818" i="1"/>
  <c r="B1736" i="1"/>
  <c r="C966" i="1"/>
  <c r="D580" i="1"/>
  <c r="F1432" i="1"/>
  <c r="A962" i="1"/>
  <c r="E1186" i="1"/>
  <c r="E1465" i="1"/>
  <c r="A814" i="1"/>
  <c r="C1820" i="1"/>
  <c r="C1212" i="1"/>
  <c r="D577" i="1"/>
  <c r="E1145" i="1"/>
  <c r="B1482" i="1"/>
  <c r="F902" i="1"/>
  <c r="D1749" i="1"/>
  <c r="A1097" i="1"/>
  <c r="A839" i="1"/>
  <c r="C1103" i="1"/>
  <c r="E1755" i="1"/>
  <c r="C1505" i="1"/>
  <c r="E1018" i="1"/>
  <c r="C903" i="2"/>
  <c r="D1395" i="1"/>
  <c r="B737" i="1"/>
  <c r="E2148" i="1"/>
  <c r="E1866" i="1"/>
  <c r="B228" i="2"/>
  <c r="E1951" i="1"/>
  <c r="C880" i="1"/>
  <c r="B1974" i="1"/>
  <c r="C1227" i="1"/>
  <c r="A1752" i="1"/>
  <c r="B2116" i="1"/>
  <c r="F1467" i="1"/>
  <c r="B2460" i="1"/>
  <c r="D1277" i="1"/>
  <c r="D771" i="2"/>
  <c r="E310" i="2"/>
  <c r="D1029" i="1"/>
  <c r="E570" i="2"/>
  <c r="C2170" i="1"/>
  <c r="C51" i="2"/>
  <c r="E2278" i="1"/>
  <c r="A1926" i="1"/>
  <c r="B1706" i="1"/>
  <c r="F1589" i="1"/>
  <c r="F982" i="2"/>
  <c r="C2216" i="1"/>
  <c r="D351" i="2"/>
  <c r="E1685" i="1"/>
  <c r="D312" i="2"/>
  <c r="F2215" i="1"/>
  <c r="E319" i="2"/>
  <c r="D2470" i="1"/>
  <c r="A1777" i="1"/>
  <c r="E1918" i="1"/>
  <c r="F1168" i="1"/>
  <c r="B814" i="2"/>
  <c r="A1954" i="1"/>
  <c r="C1774" i="1"/>
  <c r="C2250" i="1"/>
  <c r="C747" i="2"/>
  <c r="B800" i="1"/>
  <c r="F1099" i="1"/>
  <c r="F1280" i="1"/>
  <c r="C1762" i="1"/>
  <c r="A1260" i="1"/>
  <c r="E1131" i="1"/>
  <c r="F1077" i="1"/>
  <c r="E2130" i="1"/>
  <c r="E1323" i="1"/>
  <c r="F1269" i="1"/>
  <c r="D2290" i="1"/>
  <c r="F1446" i="1"/>
  <c r="C1459" i="1"/>
  <c r="F1057" i="1"/>
  <c r="C1110" i="1"/>
  <c r="C1936" i="1"/>
  <c r="A1064" i="1"/>
  <c r="A1169" i="1"/>
  <c r="D1284" i="1"/>
  <c r="B1950" i="1"/>
  <c r="B1149" i="1"/>
  <c r="A1474" i="1"/>
  <c r="B1072" i="1"/>
  <c r="A1302" i="1"/>
  <c r="E1028" i="1"/>
  <c r="B1264" i="1"/>
  <c r="D1141" i="1"/>
  <c r="C2140" i="1"/>
  <c r="B1666" i="1"/>
  <c r="F1940" i="1"/>
  <c r="C746" i="2"/>
  <c r="B2445" i="1"/>
  <c r="A2065" i="1"/>
  <c r="D1786" i="1"/>
  <c r="A1268" i="1"/>
  <c r="D791" i="2"/>
  <c r="B1380" i="1"/>
  <c r="B1798" i="1"/>
  <c r="B1297" i="1"/>
  <c r="B1131" i="1"/>
  <c r="D732" i="1"/>
  <c r="B837" i="1"/>
  <c r="F1392" i="1"/>
  <c r="C1428" i="1"/>
  <c r="C1379" i="1"/>
  <c r="E1771" i="1"/>
  <c r="C446" i="1"/>
  <c r="A460" i="1"/>
  <c r="E855" i="1"/>
  <c r="A1520" i="1"/>
  <c r="E886" i="1"/>
  <c r="D1770" i="1"/>
  <c r="F1268" i="1"/>
  <c r="B1119" i="1"/>
  <c r="B1334" i="1"/>
  <c r="A2349" i="1"/>
  <c r="C2130" i="1"/>
  <c r="C1240" i="1"/>
  <c r="F996" i="1"/>
  <c r="C914" i="1"/>
  <c r="C851" i="1"/>
  <c r="F1092" i="1"/>
  <c r="E1008" i="1"/>
  <c r="C1746" i="1"/>
  <c r="B2498" i="1"/>
  <c r="C1224" i="1"/>
  <c r="D1195" i="1"/>
  <c r="D846" i="1"/>
  <c r="A1634" i="1"/>
  <c r="F1142" i="1"/>
  <c r="A2106" i="1"/>
  <c r="B416" i="2"/>
  <c r="D2086" i="1"/>
  <c r="B423" i="2"/>
  <c r="F155" i="2"/>
  <c r="D1222" i="1"/>
  <c r="A136" i="1"/>
  <c r="E250" i="1"/>
  <c r="C562" i="1"/>
  <c r="B2335" i="1"/>
  <c r="F1915" i="1"/>
  <c r="E2071" i="1"/>
  <c r="F1434" i="1"/>
  <c r="F2302" i="1"/>
  <c r="E16" i="2"/>
  <c r="A2178" i="1"/>
  <c r="A1766" i="1"/>
  <c r="B1383" i="1"/>
  <c r="F2070" i="1"/>
  <c r="D1447" i="1"/>
  <c r="C1354" i="1"/>
  <c r="D1170" i="1"/>
  <c r="C837" i="1"/>
  <c r="A929" i="1"/>
  <c r="A744" i="1"/>
  <c r="D1834" i="1"/>
  <c r="A1261" i="1"/>
  <c r="C2221" i="1"/>
  <c r="B1296" i="1"/>
  <c r="F1285" i="1"/>
  <c r="F1348" i="1"/>
  <c r="F1801" i="1"/>
  <c r="E1031" i="1"/>
  <c r="B2279" i="1"/>
  <c r="B2183" i="1"/>
  <c r="F954" i="1"/>
  <c r="A534" i="1"/>
  <c r="B82" i="1"/>
  <c r="D1722" i="1"/>
  <c r="D1619" i="1"/>
  <c r="A1780" i="1"/>
  <c r="C1241" i="1"/>
  <c r="E18" i="2"/>
  <c r="B2247" i="1"/>
  <c r="B824" i="1"/>
  <c r="A1843" i="1"/>
  <c r="B1060" i="1"/>
  <c r="C1457" i="1"/>
  <c r="E784" i="1"/>
  <c r="D696" i="1"/>
  <c r="B878" i="1"/>
  <c r="D1895" i="1"/>
  <c r="B1822" i="1"/>
  <c r="D1281" i="1"/>
  <c r="A876" i="1"/>
  <c r="B938" i="1"/>
  <c r="B1317" i="1"/>
  <c r="A695" i="1"/>
  <c r="A1223" i="1"/>
  <c r="B1721" i="1"/>
  <c r="E1169" i="1"/>
  <c r="C918" i="1"/>
  <c r="F714" i="1"/>
  <c r="D417" i="1"/>
  <c r="C491" i="1"/>
  <c r="F535" i="1"/>
  <c r="D178" i="2"/>
  <c r="D790" i="1"/>
  <c r="A1491" i="1"/>
  <c r="F756" i="1"/>
  <c r="B2044" i="1"/>
  <c r="E2021" i="1"/>
  <c r="C1842" i="1"/>
  <c r="E2058" i="1"/>
  <c r="D1523" i="1"/>
  <c r="F1869" i="1"/>
  <c r="E431" i="1"/>
  <c r="E15" i="1"/>
  <c r="D229" i="1"/>
  <c r="F532" i="1"/>
  <c r="D657" i="1"/>
  <c r="B1707" i="1"/>
  <c r="B1655" i="1"/>
  <c r="F2299" i="1"/>
  <c r="F1489" i="1"/>
  <c r="C1017" i="1"/>
  <c r="B1926" i="1"/>
  <c r="D1647" i="1"/>
  <c r="B1664" i="1"/>
  <c r="B1319" i="1"/>
  <c r="D1101" i="1"/>
  <c r="E1283" i="1"/>
  <c r="E1422" i="1"/>
  <c r="E1600" i="1"/>
  <c r="A977" i="1"/>
  <c r="A939" i="1"/>
  <c r="A1441" i="1"/>
  <c r="A1583" i="1"/>
  <c r="C1121" i="2"/>
  <c r="D999" i="1"/>
  <c r="E2291" i="1"/>
  <c r="C1285" i="1"/>
  <c r="C2043" i="1"/>
  <c r="E1779" i="1"/>
  <c r="B1924" i="1"/>
  <c r="A1139" i="1"/>
  <c r="B1510" i="1"/>
  <c r="E1348" i="1"/>
  <c r="B542" i="1"/>
  <c r="A531" i="1"/>
  <c r="D512" i="1"/>
  <c r="B915" i="1"/>
  <c r="F120" i="1"/>
  <c r="D551" i="1"/>
  <c r="F1656" i="1"/>
  <c r="F1843" i="1"/>
  <c r="A1790" i="1"/>
  <c r="F1199" i="1"/>
  <c r="B1434" i="1"/>
  <c r="B754" i="1"/>
  <c r="E728" i="1"/>
  <c r="F1692" i="1"/>
  <c r="D1034" i="1"/>
  <c r="A1244" i="1"/>
  <c r="E1424" i="1"/>
  <c r="E1029" i="1"/>
  <c r="D2022" i="1"/>
  <c r="F1539" i="1"/>
  <c r="C2083" i="1"/>
  <c r="B1453" i="1"/>
  <c r="D2400" i="1"/>
  <c r="A2420" i="1"/>
  <c r="E717" i="2"/>
  <c r="B1066" i="1"/>
  <c r="C1572" i="1"/>
  <c r="A1217" i="1"/>
  <c r="E1800" i="1"/>
  <c r="D660" i="1"/>
  <c r="F43" i="1"/>
  <c r="F2182" i="1"/>
  <c r="F1042" i="1"/>
  <c r="F1156" i="1"/>
  <c r="E1235" i="1"/>
  <c r="A1977" i="1"/>
  <c r="D1354" i="1"/>
  <c r="F1218" i="1"/>
  <c r="E982" i="1"/>
  <c r="E1089" i="1"/>
  <c r="F1117" i="1"/>
  <c r="F1360" i="1"/>
  <c r="F1537" i="1"/>
  <c r="D1161" i="1"/>
  <c r="E1704" i="1"/>
  <c r="D1198" i="1"/>
  <c r="E504" i="1"/>
  <c r="A1320" i="1"/>
  <c r="B811" i="1"/>
  <c r="B1223" i="1"/>
  <c r="D909" i="1"/>
  <c r="A1804" i="1"/>
  <c r="A265" i="1"/>
  <c r="C173" i="1"/>
  <c r="D2087" i="1"/>
  <c r="A439" i="1"/>
  <c r="C314" i="1"/>
  <c r="E1219" i="1"/>
  <c r="D972" i="1"/>
  <c r="A618" i="1"/>
  <c r="D1493" i="1"/>
  <c r="C1021" i="1"/>
  <c r="B546" i="1"/>
  <c r="B674" i="1"/>
  <c r="D679" i="1"/>
  <c r="A342" i="1"/>
  <c r="E769" i="1"/>
  <c r="D643" i="1"/>
  <c r="E285" i="1"/>
  <c r="F107" i="1"/>
  <c r="F580" i="1"/>
  <c r="F359" i="1"/>
  <c r="F354" i="1"/>
  <c r="E1897" i="1"/>
  <c r="A996" i="1"/>
  <c r="D1097" i="1"/>
  <c r="E289" i="1"/>
  <c r="A357" i="1"/>
  <c r="D364" i="1"/>
  <c r="F158" i="1"/>
  <c r="E26" i="1"/>
  <c r="C1447" i="1"/>
  <c r="A435" i="1"/>
  <c r="E856" i="1"/>
  <c r="C28" i="1"/>
  <c r="D4" i="1"/>
  <c r="F473" i="2"/>
  <c r="D2440" i="1"/>
  <c r="C1970" i="1"/>
  <c r="B296" i="2"/>
  <c r="E1664" i="1"/>
  <c r="F1252" i="2"/>
  <c r="F327" i="2"/>
  <c r="A1659" i="1"/>
  <c r="A2173" i="1"/>
  <c r="D2358" i="1"/>
  <c r="A2327" i="1"/>
  <c r="B1981" i="1"/>
  <c r="F966" i="2"/>
  <c r="F84" i="2"/>
  <c r="A1176" i="1"/>
  <c r="C1638" i="1"/>
  <c r="E2319" i="1"/>
  <c r="C2011" i="1"/>
  <c r="B2240" i="1"/>
  <c r="F2048" i="1"/>
  <c r="C177" i="2"/>
  <c r="C2445" i="1"/>
  <c r="A1607" i="1"/>
  <c r="B1739" i="1"/>
  <c r="C513" i="1"/>
  <c r="E1210" i="1"/>
  <c r="A2329" i="1"/>
  <c r="A1392" i="1"/>
  <c r="A702" i="1"/>
  <c r="B1875" i="1"/>
  <c r="D1077" i="1"/>
  <c r="A1022" i="1"/>
  <c r="E2508" i="1"/>
  <c r="E2248" i="1"/>
  <c r="B182" i="2"/>
  <c r="D1632" i="1"/>
  <c r="E1580" i="1"/>
  <c r="F1852" i="1"/>
  <c r="B725" i="2"/>
  <c r="A1060" i="1"/>
  <c r="E1650" i="1"/>
  <c r="D1622" i="1"/>
  <c r="E1291" i="1"/>
  <c r="C1322" i="1"/>
  <c r="A1679" i="1"/>
  <c r="F1588" i="1"/>
  <c r="B2055" i="1"/>
  <c r="B195" i="2"/>
  <c r="F1409" i="1"/>
  <c r="D1382" i="1"/>
  <c r="C1503" i="1"/>
  <c r="F2381" i="1"/>
  <c r="F291" i="2"/>
  <c r="A1994" i="1"/>
  <c r="B143" i="2"/>
  <c r="E760" i="2"/>
  <c r="D2351" i="1"/>
  <c r="C1260" i="1"/>
  <c r="A1233" i="1"/>
  <c r="E1801" i="1"/>
  <c r="E1378" i="1"/>
  <c r="D1196" i="2"/>
  <c r="B1788" i="1"/>
  <c r="A2108" i="1"/>
  <c r="B1914" i="1"/>
  <c r="C1529" i="1"/>
  <c r="E1842" i="1"/>
  <c r="F1224" i="1"/>
  <c r="E185" i="1"/>
  <c r="F2431" i="1"/>
  <c r="C180" i="2"/>
  <c r="E1498" i="1"/>
  <c r="C306" i="2"/>
  <c r="C614" i="2"/>
  <c r="E1573" i="1"/>
  <c r="A1553" i="1"/>
  <c r="F1549" i="1"/>
  <c r="E1266" i="1"/>
  <c r="C1886" i="1"/>
  <c r="E1790" i="1"/>
  <c r="B1751" i="1"/>
  <c r="B738" i="2"/>
  <c r="C1582" i="1"/>
  <c r="E1405" i="1"/>
  <c r="F808" i="1"/>
  <c r="F2351" i="1"/>
  <c r="E2204" i="1"/>
  <c r="B2123" i="1"/>
  <c r="A2085" i="1"/>
  <c r="F1596" i="1"/>
  <c r="D2132" i="1"/>
  <c r="B1444" i="1"/>
  <c r="B1152" i="1"/>
  <c r="E1727" i="1"/>
  <c r="B1516" i="1"/>
  <c r="A906" i="1"/>
  <c r="A915" i="1"/>
  <c r="E2051" i="1"/>
  <c r="D1122" i="1"/>
  <c r="D1641" i="1"/>
  <c r="C1685" i="1"/>
  <c r="B2469" i="1"/>
  <c r="E1338" i="1"/>
  <c r="A1866" i="1"/>
  <c r="F2078" i="1"/>
  <c r="A1593" i="1"/>
  <c r="D1771" i="1"/>
  <c r="F2510" i="1"/>
  <c r="C19" i="2"/>
  <c r="E2330" i="1"/>
  <c r="B1519" i="1"/>
  <c r="D1837" i="1"/>
  <c r="E2184" i="1"/>
  <c r="B1579" i="1"/>
  <c r="F1478" i="1"/>
  <c r="A1760" i="1"/>
  <c r="F1149" i="1"/>
  <c r="D1390" i="1"/>
  <c r="E1707" i="1"/>
  <c r="F1907" i="1"/>
  <c r="A1069" i="1"/>
  <c r="D1935" i="1"/>
  <c r="B1130" i="1"/>
  <c r="F1960" i="1"/>
  <c r="C2068" i="1"/>
  <c r="D1458" i="1"/>
  <c r="F205" i="2"/>
  <c r="E1924" i="1"/>
  <c r="F974" i="1"/>
  <c r="E1688" i="1"/>
  <c r="A1504" i="1"/>
  <c r="E1569" i="1"/>
  <c r="D2085" i="1"/>
  <c r="F1552" i="1"/>
  <c r="F2358" i="1"/>
  <c r="A1707" i="1"/>
  <c r="E1353" i="1"/>
  <c r="A1869" i="1"/>
  <c r="F1154" i="1"/>
  <c r="D1624" i="1"/>
  <c r="C2145" i="1"/>
  <c r="E1913" i="1"/>
  <c r="C1144" i="1"/>
  <c r="D1892" i="1"/>
  <c r="D1234" i="1"/>
  <c r="A1550" i="1"/>
  <c r="F1745" i="1"/>
  <c r="C1325" i="1"/>
  <c r="D149" i="2"/>
  <c r="F430" i="2"/>
  <c r="D349" i="2"/>
  <c r="E1327" i="1"/>
  <c r="F2116" i="1"/>
  <c r="F617" i="2"/>
  <c r="D2204" i="1"/>
  <c r="F1095" i="1"/>
  <c r="F739" i="1"/>
  <c r="A1521" i="1"/>
  <c r="D1623" i="1"/>
  <c r="D1110" i="1"/>
  <c r="D599" i="2"/>
  <c r="A1703" i="1"/>
  <c r="A1483" i="1"/>
  <c r="C1747" i="1"/>
  <c r="F1145" i="1"/>
  <c r="C2169" i="1"/>
  <c r="E1693" i="1"/>
  <c r="F2098" i="1"/>
  <c r="C1817" i="1"/>
  <c r="D2331" i="1"/>
  <c r="A2165" i="1"/>
  <c r="F758" i="2"/>
  <c r="C2070" i="1"/>
  <c r="D2246" i="1"/>
  <c r="A1871" i="1"/>
  <c r="F1748" i="1"/>
  <c r="F1296" i="1"/>
  <c r="C587" i="2"/>
  <c r="D1602" i="1"/>
  <c r="F2379" i="1"/>
  <c r="C1871" i="1"/>
  <c r="E102" i="2"/>
  <c r="D1239" i="2"/>
  <c r="C1218" i="1"/>
  <c r="E771" i="1"/>
  <c r="A1195" i="1"/>
  <c r="A638" i="1"/>
  <c r="D939" i="1"/>
  <c r="B1370" i="1"/>
  <c r="E1032" i="1"/>
  <c r="C1070" i="1"/>
  <c r="A1486" i="1"/>
  <c r="C767" i="1"/>
  <c r="F1075" i="1"/>
  <c r="C1499" i="1"/>
  <c r="C639" i="1"/>
  <c r="A1495" i="1"/>
  <c r="D1099" i="1"/>
  <c r="D705" i="1"/>
  <c r="C877" i="1"/>
  <c r="C801" i="1"/>
  <c r="E557" i="1"/>
  <c r="F525" i="1"/>
  <c r="B1454" i="1"/>
  <c r="B495" i="1"/>
  <c r="D632" i="1"/>
  <c r="A2272" i="1"/>
  <c r="F1029" i="1"/>
  <c r="F587" i="1"/>
  <c r="F1952" i="1"/>
  <c r="D2377" i="1"/>
  <c r="B1635" i="1"/>
  <c r="B1680" i="1"/>
  <c r="A786" i="1"/>
  <c r="A2435" i="1"/>
  <c r="A1819" i="1"/>
  <c r="A2072" i="1"/>
  <c r="E741" i="1"/>
  <c r="F1812" i="1"/>
  <c r="B2017" i="1"/>
  <c r="F2353" i="1"/>
  <c r="E1420" i="1"/>
  <c r="C643" i="2"/>
  <c r="E1710" i="1"/>
  <c r="C1097" i="1"/>
  <c r="F1851" i="1"/>
  <c r="C1389" i="1"/>
  <c r="A1587" i="1"/>
  <c r="F2280" i="1"/>
  <c r="E2207" i="1"/>
  <c r="B2244" i="1"/>
  <c r="F534" i="2"/>
  <c r="D2170" i="1"/>
  <c r="B2432" i="1"/>
  <c r="C1197" i="1"/>
  <c r="E2340" i="1"/>
  <c r="F1286" i="2"/>
  <c r="E2122" i="1"/>
  <c r="E2260" i="1"/>
  <c r="F1292" i="1"/>
  <c r="B1086" i="1"/>
  <c r="F1019" i="1"/>
  <c r="D1043" i="1"/>
  <c r="A547" i="1"/>
  <c r="A652" i="1"/>
  <c r="C1926" i="1"/>
  <c r="C2013" i="1"/>
  <c r="B181" i="2"/>
  <c r="E851" i="1"/>
  <c r="A1505" i="1"/>
  <c r="C1688" i="1"/>
  <c r="A1194" i="1"/>
  <c r="A718" i="1"/>
  <c r="A1564" i="1"/>
  <c r="B2221" i="1"/>
  <c r="E868" i="1"/>
  <c r="B1304" i="1"/>
  <c r="D1814" i="1"/>
  <c r="B1219" i="1"/>
  <c r="A1159" i="1"/>
  <c r="B1873" i="1"/>
  <c r="B1405" i="1"/>
  <c r="F1391" i="1"/>
  <c r="B2461" i="1"/>
  <c r="C847" i="1"/>
  <c r="A1867" i="1"/>
  <c r="A1664" i="1"/>
  <c r="C1159" i="1"/>
  <c r="B1016" i="1"/>
  <c r="F1325" i="1"/>
  <c r="B1059" i="1"/>
  <c r="A867" i="1"/>
  <c r="D1298" i="1"/>
  <c r="F2338" i="1"/>
  <c r="E1671" i="1"/>
  <c r="E1109" i="1"/>
  <c r="F1917" i="1"/>
  <c r="D2376" i="1"/>
  <c r="D2162" i="1"/>
  <c r="F1512" i="1"/>
  <c r="B561" i="2"/>
  <c r="D1330" i="1"/>
  <c r="C1124" i="1"/>
  <c r="B1285" i="1"/>
  <c r="B1330" i="1"/>
  <c r="D1789" i="1"/>
  <c r="A884" i="1"/>
  <c r="F827" i="1"/>
  <c r="B744" i="1"/>
  <c r="C1177" i="1"/>
  <c r="C1140" i="1"/>
  <c r="C797" i="1"/>
  <c r="A1363" i="1"/>
  <c r="E689" i="1"/>
  <c r="D862" i="1"/>
  <c r="F1698" i="1"/>
  <c r="A1203" i="1"/>
  <c r="B2512" i="1"/>
  <c r="D1985" i="1"/>
  <c r="B2293" i="1"/>
  <c r="F1159" i="1"/>
  <c r="C2309" i="1"/>
  <c r="A2061" i="1"/>
  <c r="E2113" i="1"/>
  <c r="F1548" i="1"/>
  <c r="C803" i="1"/>
  <c r="F780" i="1"/>
  <c r="D1673" i="1"/>
  <c r="B719" i="1"/>
  <c r="D548" i="1"/>
  <c r="C1174" i="1"/>
  <c r="D1391" i="1"/>
  <c r="D1705" i="1"/>
  <c r="B322" i="1"/>
  <c r="F491" i="1"/>
  <c r="D1219" i="1"/>
  <c r="A1743" i="1"/>
  <c r="A1584" i="1"/>
  <c r="D1944" i="1"/>
  <c r="A452" i="1"/>
  <c r="D1085" i="1"/>
  <c r="E2179" i="1"/>
  <c r="E1796" i="1"/>
  <c r="D1007" i="1"/>
  <c r="B606" i="1"/>
  <c r="C422" i="1"/>
  <c r="D659" i="2"/>
  <c r="B1818" i="1"/>
  <c r="C1792" i="1"/>
  <c r="B1123" i="1"/>
  <c r="D962" i="1"/>
  <c r="B1030" i="1"/>
  <c r="C936" i="1"/>
  <c r="A1075" i="1"/>
  <c r="A1356" i="1"/>
  <c r="D1745" i="1"/>
  <c r="C1149" i="1"/>
  <c r="A1933" i="1"/>
  <c r="E712" i="1"/>
  <c r="A1142" i="1"/>
  <c r="D866" i="1"/>
  <c r="D2028" i="1"/>
  <c r="C2416" i="1"/>
  <c r="C1434" i="1"/>
  <c r="B1497" i="1"/>
  <c r="C1414" i="1"/>
  <c r="B809" i="1"/>
  <c r="D1218" i="1"/>
  <c r="B1921" i="1"/>
  <c r="B1431" i="1"/>
  <c r="C2120" i="1"/>
  <c r="B176" i="1"/>
  <c r="D1046" i="1"/>
  <c r="E655" i="1"/>
  <c r="E494" i="1"/>
  <c r="A2294" i="1"/>
  <c r="A1509" i="1"/>
  <c r="A1179" i="1"/>
  <c r="A730" i="1"/>
  <c r="D2208" i="1"/>
  <c r="B2191" i="1"/>
  <c r="A972" i="1"/>
  <c r="D1079" i="1"/>
  <c r="E864" i="1"/>
  <c r="F1769" i="1"/>
  <c r="A1400" i="1"/>
  <c r="A1015" i="1"/>
  <c r="C844" i="1"/>
  <c r="D1323" i="1"/>
  <c r="D1276" i="1"/>
  <c r="F1330" i="1"/>
  <c r="D2144" i="1"/>
  <c r="C21" i="2"/>
  <c r="C791" i="1"/>
  <c r="D2416" i="1"/>
  <c r="D1593" i="1"/>
  <c r="B1047" i="1"/>
  <c r="F1322" i="1"/>
  <c r="A641" i="1"/>
  <c r="B2450" i="1"/>
  <c r="A1430" i="1"/>
  <c r="C774" i="1"/>
  <c r="D544" i="1"/>
  <c r="A2145" i="1"/>
  <c r="B984" i="2"/>
  <c r="F1834" i="1"/>
  <c r="F1350" i="2"/>
  <c r="D1636" i="1"/>
  <c r="E2092" i="1"/>
  <c r="E705" i="2"/>
  <c r="F1723" i="1"/>
  <c r="E1616" i="1"/>
  <c r="A1129" i="1"/>
  <c r="D1349" i="1"/>
  <c r="E1534" i="1"/>
  <c r="E1656" i="1"/>
  <c r="E1191" i="1"/>
  <c r="B492" i="1"/>
  <c r="A193" i="1"/>
  <c r="F466" i="1"/>
  <c r="E650" i="1"/>
  <c r="D1294" i="1"/>
  <c r="B197" i="1"/>
  <c r="F26" i="1"/>
  <c r="A1218" i="1"/>
  <c r="F1776" i="1"/>
  <c r="C870" i="1"/>
  <c r="F896" i="1"/>
  <c r="C539" i="1"/>
  <c r="E1526" i="1"/>
  <c r="E2118" i="1"/>
  <c r="A778" i="1"/>
  <c r="B877" i="1"/>
  <c r="C535" i="1"/>
  <c r="A621" i="1"/>
  <c r="A2206" i="1"/>
  <c r="A2288" i="1"/>
  <c r="E1768" i="1"/>
  <c r="F2257" i="1"/>
  <c r="C2117" i="1"/>
  <c r="C1940" i="1"/>
  <c r="D36" i="2"/>
  <c r="B1354" i="1"/>
  <c r="C996" i="1"/>
  <c r="C990" i="1"/>
  <c r="C651" i="1"/>
  <c r="E1128" i="1"/>
  <c r="F975" i="1"/>
  <c r="D1327" i="1"/>
  <c r="E1133" i="1"/>
  <c r="D1258" i="1"/>
  <c r="C8" i="1"/>
  <c r="C1338" i="1"/>
  <c r="C1374" i="1"/>
  <c r="D983" i="1"/>
  <c r="D928" i="1"/>
  <c r="C198" i="1"/>
  <c r="E635" i="1"/>
  <c r="C331" i="1"/>
  <c r="E56" i="1"/>
  <c r="D1207" i="1"/>
  <c r="F1287" i="1"/>
  <c r="A1201" i="1"/>
  <c r="C846" i="1"/>
  <c r="A514" i="1"/>
  <c r="C215" i="1"/>
  <c r="C1289" i="1"/>
  <c r="B1193" i="1"/>
  <c r="E2074" i="1"/>
  <c r="A2127" i="1"/>
  <c r="F834" i="1"/>
  <c r="D558" i="1"/>
  <c r="C681" i="1"/>
  <c r="C1445" i="1"/>
  <c r="A22" i="1"/>
  <c r="C1796" i="1"/>
  <c r="B577" i="1"/>
  <c r="E233" i="1"/>
  <c r="F716" i="1"/>
  <c r="B261" i="1"/>
  <c r="C1944" i="1"/>
  <c r="A913" i="1"/>
  <c r="F440" i="1"/>
  <c r="B169" i="1"/>
  <c r="C137" i="1"/>
  <c r="B1138" i="1"/>
  <c r="E668" i="1"/>
  <c r="F1355" i="1"/>
  <c r="A476" i="1"/>
  <c r="D98" i="1"/>
  <c r="B494" i="1"/>
  <c r="A149" i="1"/>
  <c r="B2099" i="1"/>
  <c r="E2264" i="1"/>
  <c r="F1492" i="1"/>
  <c r="E563" i="1"/>
  <c r="D401" i="1"/>
  <c r="B290" i="1"/>
  <c r="D106" i="1"/>
  <c r="A2287" i="1"/>
  <c r="F1375" i="1"/>
  <c r="B842" i="1"/>
  <c r="A1011" i="1"/>
  <c r="E272" i="1"/>
  <c r="D506" i="1"/>
  <c r="C828" i="1"/>
  <c r="B677" i="1"/>
  <c r="F1767" i="1"/>
  <c r="A1768" i="1"/>
  <c r="C1008" i="1"/>
  <c r="C1930" i="1"/>
  <c r="B413" i="1"/>
  <c r="E2504" i="1"/>
  <c r="B654" i="1"/>
  <c r="F269" i="1"/>
  <c r="B1895" i="1"/>
  <c r="D1658" i="1"/>
  <c r="E1912" i="1"/>
  <c r="C1357" i="1"/>
  <c r="D1634" i="1"/>
  <c r="C372" i="1"/>
  <c r="A57" i="1"/>
  <c r="D566" i="1"/>
  <c r="E1042" i="1"/>
  <c r="E1019" i="1"/>
  <c r="D1305" i="1"/>
  <c r="E970" i="1"/>
  <c r="B608" i="1"/>
  <c r="B532" i="1"/>
  <c r="E179" i="1"/>
  <c r="B427" i="1"/>
  <c r="E1423" i="1"/>
  <c r="B2462" i="1"/>
  <c r="B1965" i="1"/>
  <c r="D612" i="2"/>
  <c r="F2102" i="1"/>
  <c r="A2304" i="1"/>
  <c r="C2454" i="1"/>
  <c r="D324" i="2"/>
  <c r="E1516" i="1"/>
  <c r="C889" i="2"/>
  <c r="A1816" i="1"/>
  <c r="F1386" i="1"/>
  <c r="A2501" i="1"/>
  <c r="A1639" i="1"/>
  <c r="B2420" i="1"/>
  <c r="F1069" i="1"/>
  <c r="E1116" i="2"/>
  <c r="C2238" i="1"/>
  <c r="D516" i="2"/>
  <c r="A954" i="1"/>
  <c r="E1548" i="1"/>
  <c r="C1948" i="1"/>
  <c r="E1997" i="1"/>
  <c r="B1580" i="1"/>
  <c r="E1331" i="1"/>
  <c r="D821" i="2"/>
  <c r="B1616" i="1"/>
  <c r="A1736" i="1"/>
  <c r="C110" i="2"/>
  <c r="D2295" i="1"/>
  <c r="F1419" i="1"/>
  <c r="B853" i="1"/>
  <c r="C460" i="1"/>
  <c r="F1180" i="1"/>
  <c r="C1718" i="1"/>
  <c r="D1121" i="1"/>
  <c r="C412" i="1"/>
  <c r="C1735" i="1"/>
  <c r="E548" i="1"/>
  <c r="A1600" i="1"/>
  <c r="D1600" i="1"/>
  <c r="A1915" i="1"/>
  <c r="A1636" i="1"/>
  <c r="E1925" i="1"/>
  <c r="A1961" i="1"/>
  <c r="A1827" i="1"/>
  <c r="A1676" i="1"/>
  <c r="A1347" i="1"/>
  <c r="C1125" i="1"/>
  <c r="D1009" i="1"/>
  <c r="B1740" i="1"/>
  <c r="C827" i="1"/>
  <c r="B1574" i="1"/>
  <c r="F607" i="2"/>
  <c r="E619" i="2"/>
  <c r="C1599" i="1"/>
  <c r="D1376" i="1"/>
  <c r="D1497" i="1"/>
  <c r="A1796" i="1"/>
  <c r="E1109" i="2"/>
  <c r="D1954" i="1"/>
  <c r="E1514" i="1"/>
  <c r="B1414" i="1"/>
  <c r="A793" i="1"/>
  <c r="F846" i="1"/>
  <c r="A838" i="1"/>
  <c r="E1880" i="1"/>
  <c r="C920" i="1"/>
  <c r="C1217" i="1"/>
  <c r="A1573" i="1"/>
  <c r="D1739" i="1"/>
  <c r="D245" i="1"/>
  <c r="F223" i="2"/>
  <c r="C2132" i="1"/>
  <c r="E1277" i="1"/>
  <c r="D2175" i="1"/>
  <c r="C2345" i="1"/>
  <c r="C1636" i="1"/>
  <c r="F1835" i="1"/>
  <c r="E1618" i="1"/>
  <c r="E1354" i="1"/>
  <c r="B203" i="2"/>
  <c r="B1747" i="1"/>
  <c r="D2321" i="1"/>
  <c r="B1805" i="1"/>
  <c r="D1380" i="1"/>
  <c r="F1883" i="1"/>
  <c r="E2147" i="1"/>
  <c r="E2454" i="1"/>
  <c r="C1591" i="1"/>
  <c r="D2435" i="1"/>
  <c r="A824" i="1"/>
  <c r="E1108" i="1"/>
  <c r="C1655" i="1"/>
  <c r="E1742" i="1"/>
  <c r="E1251" i="1"/>
  <c r="E1775" i="1"/>
  <c r="D1404" i="1"/>
  <c r="D1536" i="1"/>
  <c r="C1674" i="1"/>
  <c r="A1245" i="1"/>
  <c r="A1425" i="1"/>
  <c r="A2110" i="1"/>
  <c r="E2288" i="1"/>
  <c r="C1675" i="1"/>
  <c r="E2426" i="1"/>
  <c r="C2310" i="1"/>
  <c r="C1731" i="1"/>
  <c r="D2084" i="1"/>
  <c r="F2097" i="1"/>
  <c r="D1444" i="1"/>
  <c r="B197" i="2"/>
  <c r="D2077" i="1"/>
  <c r="A1552" i="1"/>
  <c r="A2446" i="1"/>
  <c r="B1243" i="1"/>
  <c r="B1881" i="1"/>
  <c r="A2213" i="1"/>
  <c r="E1863" i="1"/>
  <c r="E2200" i="1"/>
  <c r="A1389" i="1"/>
  <c r="F428" i="2"/>
  <c r="A1685" i="1"/>
  <c r="D1311" i="1"/>
  <c r="C1905" i="1"/>
  <c r="B1185" i="1"/>
  <c r="E2053" i="1"/>
  <c r="C1909" i="1"/>
  <c r="A1767" i="1"/>
  <c r="B2479" i="1"/>
  <c r="A1393" i="1"/>
  <c r="B1266" i="1"/>
  <c r="B1701" i="1"/>
  <c r="D1160" i="1"/>
  <c r="B1919" i="1"/>
  <c r="F2250" i="1"/>
  <c r="E1370" i="1"/>
  <c r="D2312" i="1"/>
  <c r="E1457" i="1"/>
  <c r="B1240" i="1"/>
  <c r="C1748" i="1"/>
  <c r="B1056" i="1"/>
  <c r="B1083" i="1"/>
  <c r="E2108" i="1"/>
  <c r="D1396" i="1"/>
  <c r="F2229" i="1"/>
  <c r="B967" i="2"/>
  <c r="C1588" i="1"/>
  <c r="C1542" i="1"/>
  <c r="A2020" i="1"/>
  <c r="B155" i="2"/>
  <c r="B2134" i="1"/>
  <c r="A2033" i="1"/>
  <c r="C2103" i="1"/>
  <c r="D1949" i="1"/>
  <c r="C1987" i="1"/>
  <c r="D1678" i="1"/>
  <c r="E1203" i="1"/>
  <c r="B1783" i="1"/>
  <c r="C471" i="1"/>
  <c r="C684" i="1"/>
  <c r="C1148" i="1"/>
  <c r="D432" i="2"/>
  <c r="F1352" i="1"/>
  <c r="D2363" i="1"/>
  <c r="B2152" i="1"/>
  <c r="E1540" i="1"/>
  <c r="B1677" i="1"/>
  <c r="E2220" i="1"/>
  <c r="B2079" i="1"/>
  <c r="D1275" i="1"/>
  <c r="F2359" i="1"/>
  <c r="D1824" i="1"/>
  <c r="F1703" i="1"/>
  <c r="B985" i="1"/>
  <c r="C1598" i="1"/>
  <c r="E935" i="2"/>
  <c r="B2100" i="1"/>
  <c r="D2122" i="1"/>
  <c r="E1669" i="1"/>
  <c r="F1109" i="1"/>
  <c r="D2154" i="1"/>
  <c r="E2413" i="1"/>
  <c r="C1442" i="1"/>
  <c r="B777" i="1"/>
  <c r="C1603" i="1"/>
  <c r="D2297" i="1"/>
  <c r="D855" i="1"/>
  <c r="F1283" i="1"/>
  <c r="E1060" i="1"/>
  <c r="C1024" i="1"/>
  <c r="B1544" i="1"/>
  <c r="B770" i="1"/>
  <c r="A1438" i="1"/>
  <c r="B1270" i="1"/>
  <c r="C555" i="1"/>
  <c r="D1334" i="1"/>
  <c r="F1560" i="1"/>
  <c r="D1210" i="1"/>
  <c r="B1583" i="1"/>
  <c r="E536" i="1"/>
  <c r="E1939" i="1"/>
  <c r="B1206" i="1"/>
  <c r="A1313" i="1"/>
  <c r="F854" i="1"/>
  <c r="C1870" i="1"/>
  <c r="E175" i="2"/>
  <c r="D961" i="1"/>
  <c r="F1124" i="1"/>
  <c r="D292" i="2"/>
  <c r="C2285" i="1"/>
  <c r="E2322" i="1"/>
  <c r="B1255" i="1"/>
  <c r="D1802" i="1"/>
  <c r="C1571" i="1"/>
  <c r="F1500" i="1"/>
  <c r="E2361" i="1"/>
  <c r="B2028" i="1"/>
  <c r="F1499" i="1"/>
  <c r="C2058" i="1"/>
  <c r="A1702" i="1"/>
  <c r="F1795" i="1"/>
  <c r="E934" i="1"/>
  <c r="E1552" i="1"/>
  <c r="B1061" i="1"/>
  <c r="D2054" i="1"/>
  <c r="C739" i="1"/>
  <c r="D421" i="2"/>
  <c r="B2260" i="1"/>
  <c r="D2160" i="1"/>
  <c r="B174" i="1"/>
  <c r="A2438" i="1"/>
  <c r="E2409" i="1"/>
  <c r="D1514" i="1"/>
  <c r="D72" i="2"/>
  <c r="F1882" i="1"/>
  <c r="C1991" i="1"/>
  <c r="B1696" i="1"/>
  <c r="C2229" i="1"/>
  <c r="F1636" i="1"/>
  <c r="D857" i="1"/>
  <c r="F1165" i="1"/>
  <c r="C1009" i="1"/>
  <c r="F1163" i="1"/>
  <c r="F928" i="1"/>
  <c r="E1623" i="1"/>
  <c r="E2295" i="1"/>
  <c r="A1757" i="1"/>
  <c r="A1578" i="1"/>
  <c r="A1420" i="1"/>
  <c r="C1333" i="1"/>
  <c r="E96" i="2"/>
  <c r="E1550" i="1"/>
  <c r="B1256" i="1"/>
  <c r="D2023" i="1"/>
  <c r="F1055" i="1"/>
  <c r="E1722" i="1"/>
  <c r="A1710" i="1"/>
  <c r="A1775" i="1"/>
  <c r="D1205" i="1"/>
  <c r="F2121" i="1"/>
  <c r="F1633" i="1"/>
  <c r="F1390" i="1"/>
  <c r="B1933" i="1"/>
  <c r="D1835" i="1"/>
  <c r="C1556" i="1"/>
  <c r="E1329" i="1"/>
  <c r="A2466" i="1"/>
  <c r="B1508" i="1"/>
  <c r="D1164" i="1"/>
  <c r="D1154" i="1"/>
  <c r="B1406" i="1"/>
  <c r="C588" i="2"/>
  <c r="D1494" i="1"/>
  <c r="A2423" i="1"/>
  <c r="E949" i="1"/>
  <c r="F1271" i="1"/>
  <c r="D2130" i="1"/>
  <c r="F2150" i="1"/>
  <c r="C1716" i="1"/>
  <c r="D1138" i="1"/>
  <c r="F1058" i="1"/>
  <c r="E1762" i="1"/>
  <c r="B1606" i="1"/>
  <c r="C1564" i="1"/>
  <c r="B1127" i="1"/>
  <c r="F1581" i="1"/>
  <c r="D730" i="1"/>
  <c r="D1675" i="1"/>
  <c r="B1447" i="1"/>
  <c r="A1104" i="1"/>
  <c r="F841" i="1"/>
  <c r="E869" i="1"/>
  <c r="F1410" i="1"/>
  <c r="D524" i="1"/>
  <c r="D1464" i="1"/>
  <c r="D1427" i="1"/>
  <c r="F1867" i="1"/>
  <c r="A1035" i="1"/>
  <c r="A1253" i="1"/>
  <c r="C2082" i="1"/>
  <c r="B1913" i="1"/>
  <c r="B1737" i="1"/>
  <c r="E2325" i="1"/>
  <c r="D502" i="1"/>
  <c r="C1015" i="1"/>
  <c r="F1553" i="1"/>
  <c r="D1401" i="1"/>
  <c r="D1559" i="1"/>
  <c r="B1830" i="1"/>
  <c r="B2046" i="1"/>
  <c r="C1676" i="1"/>
  <c r="E1406" i="1"/>
  <c r="F414" i="2"/>
  <c r="F2016" i="1"/>
  <c r="D1259" i="1"/>
  <c r="F1976" i="1"/>
  <c r="E1987" i="1"/>
  <c r="C1592" i="1"/>
  <c r="F1130" i="1"/>
  <c r="B1678" i="1"/>
  <c r="A1432" i="1"/>
  <c r="A1047" i="1"/>
  <c r="C716" i="1"/>
  <c r="F620" i="1"/>
  <c r="E1497" i="1"/>
  <c r="A1842" i="1"/>
  <c r="B1779" i="1"/>
  <c r="A566" i="1"/>
  <c r="C2104" i="1"/>
  <c r="B1787" i="1"/>
  <c r="C238" i="2"/>
  <c r="C2263" i="1"/>
  <c r="C1885" i="1"/>
  <c r="E1706" i="1"/>
  <c r="D1171" i="1"/>
  <c r="A1606" i="1"/>
  <c r="F1451" i="1"/>
  <c r="B2052" i="1"/>
  <c r="F1535" i="1"/>
  <c r="F1017" i="2"/>
  <c r="E2117" i="1"/>
  <c r="E1621" i="1"/>
  <c r="B1329" i="1"/>
  <c r="E1453" i="1"/>
  <c r="B1161" i="1"/>
  <c r="A1258" i="1"/>
  <c r="A1136" i="1"/>
  <c r="C2038" i="1"/>
  <c r="D1337" i="1"/>
  <c r="E443" i="2"/>
  <c r="D216" i="2"/>
  <c r="D2150" i="1"/>
  <c r="E1076" i="1"/>
  <c r="B344" i="2"/>
  <c r="A2470" i="1"/>
  <c r="F1642" i="1"/>
  <c r="F1238" i="1"/>
  <c r="C1684" i="2"/>
  <c r="D2111" i="1"/>
  <c r="B2021" i="1"/>
  <c r="A780" i="1"/>
  <c r="A762" i="1"/>
  <c r="E628" i="1"/>
  <c r="F1193" i="1"/>
  <c r="A1443" i="1"/>
  <c r="D1393" i="1"/>
  <c r="B1531" i="1"/>
  <c r="E1584" i="1"/>
  <c r="B1512" i="1"/>
  <c r="F1430" i="1"/>
  <c r="F1517" i="1"/>
  <c r="B510" i="2"/>
  <c r="B1074" i="1"/>
  <c r="B1825" i="1"/>
  <c r="D1617" i="1"/>
  <c r="C1380" i="1"/>
  <c r="D1316" i="1"/>
  <c r="C1573" i="1"/>
  <c r="B762" i="1"/>
  <c r="E191" i="1"/>
  <c r="F79" i="1"/>
  <c r="E1902" i="1"/>
  <c r="C2249" i="1"/>
  <c r="E1978" i="1"/>
  <c r="D518" i="2"/>
  <c r="D1394" i="1"/>
  <c r="E2339" i="1"/>
  <c r="F2365" i="1"/>
  <c r="B2002" i="1"/>
  <c r="B1504" i="1"/>
  <c r="B1111" i="1"/>
  <c r="C2069" i="1"/>
  <c r="F600" i="1"/>
  <c r="F143" i="1"/>
  <c r="A64" i="1"/>
  <c r="D196" i="1"/>
  <c r="E754" i="1"/>
  <c r="B797" i="1"/>
  <c r="F2082" i="1"/>
  <c r="C1757" i="1"/>
  <c r="E1415" i="1"/>
  <c r="A1612" i="1"/>
  <c r="E2466" i="1"/>
  <c r="D1960" i="1"/>
  <c r="B2235" i="1"/>
  <c r="A1323" i="1"/>
  <c r="B1124" i="1"/>
  <c r="A1555" i="1"/>
  <c r="F2363" i="1"/>
  <c r="A740" i="1"/>
  <c r="E1632" i="1"/>
  <c r="F1045" i="1"/>
  <c r="A1959" i="1"/>
  <c r="B1780" i="1"/>
  <c r="B2120" i="1"/>
  <c r="F516" i="2"/>
  <c r="E1270" i="2"/>
  <c r="C2135" i="1"/>
  <c r="E2035" i="1"/>
  <c r="D1865" i="1"/>
  <c r="E843" i="2"/>
  <c r="C948" i="1"/>
  <c r="C933" i="1"/>
  <c r="C1533" i="1"/>
  <c r="C678" i="1"/>
  <c r="A660" i="1"/>
  <c r="C334" i="1"/>
  <c r="D471" i="1"/>
  <c r="E476" i="1"/>
  <c r="B891" i="1"/>
  <c r="F1337" i="1"/>
  <c r="E2193" i="1"/>
  <c r="D1169" i="1"/>
  <c r="C1407" i="1"/>
  <c r="C2414" i="1"/>
  <c r="C2185" i="1"/>
  <c r="B1610" i="1"/>
  <c r="B1978" i="1"/>
  <c r="A1480" i="1"/>
  <c r="A2436" i="1"/>
  <c r="B1356" i="1"/>
  <c r="E334" i="1"/>
  <c r="A1274" i="1"/>
  <c r="E549" i="1"/>
  <c r="C2053" i="1"/>
  <c r="B1502" i="1"/>
  <c r="B1339" i="1"/>
  <c r="C2189" i="1"/>
  <c r="E1309" i="1"/>
  <c r="C1061" i="1"/>
  <c r="B750" i="1"/>
  <c r="F818" i="1"/>
  <c r="C1121" i="1"/>
  <c r="C907" i="1"/>
  <c r="E100" i="1"/>
  <c r="A1014" i="1"/>
  <c r="A1165" i="1"/>
  <c r="E2505" i="1"/>
  <c r="F1778" i="1"/>
  <c r="E1837" i="1"/>
  <c r="C1706" i="1"/>
  <c r="D1189" i="1"/>
  <c r="C1153" i="1"/>
  <c r="F2052" i="1"/>
  <c r="F2323" i="1"/>
  <c r="C1476" i="1"/>
  <c r="F1037" i="1"/>
  <c r="A206" i="1"/>
  <c r="F1299" i="1"/>
  <c r="C671" i="1"/>
  <c r="D808" i="1"/>
  <c r="F2213" i="1"/>
  <c r="B1487" i="1"/>
  <c r="E1590" i="1"/>
  <c r="E1412" i="1"/>
  <c r="F531" i="1"/>
  <c r="A639" i="1"/>
  <c r="F276" i="1"/>
  <c r="F1598" i="1"/>
  <c r="E1120" i="1"/>
  <c r="C1500" i="1"/>
  <c r="F984" i="1"/>
  <c r="C773" i="1"/>
  <c r="D647" i="1"/>
  <c r="B612" i="1"/>
  <c r="A28" i="1"/>
  <c r="E1681" i="1"/>
  <c r="C1041" i="1"/>
  <c r="B1425" i="1"/>
  <c r="E210" i="1"/>
  <c r="D289" i="1"/>
  <c r="F1584" i="1"/>
  <c r="C1104" i="1"/>
  <c r="F615" i="2"/>
  <c r="E828" i="1"/>
  <c r="C1019" i="1"/>
  <c r="B2438" i="1"/>
  <c r="D1545" i="1"/>
  <c r="D1621" i="1"/>
  <c r="F346" i="1"/>
  <c r="B1506" i="1"/>
  <c r="F976" i="1"/>
  <c r="A1494" i="1"/>
  <c r="B1393" i="1"/>
  <c r="A775" i="1"/>
  <c r="D738" i="1"/>
  <c r="A717" i="1"/>
  <c r="A433" i="1"/>
  <c r="D648" i="1"/>
  <c r="D1375" i="1"/>
  <c r="B2035" i="1"/>
  <c r="E1835" i="1"/>
  <c r="B2278" i="1"/>
  <c r="D1744" i="1"/>
  <c r="E139" i="2"/>
  <c r="B78" i="2"/>
  <c r="B1006" i="2"/>
  <c r="F577" i="2"/>
  <c r="D2021" i="1"/>
  <c r="D1948" i="1"/>
  <c r="C1985" i="1"/>
  <c r="B126" i="2"/>
  <c r="A1548" i="1"/>
  <c r="B527" i="2"/>
  <c r="C2146" i="1"/>
  <c r="B806" i="2"/>
  <c r="A1398" i="1"/>
  <c r="E2037" i="1"/>
  <c r="F1179" i="1"/>
  <c r="F556" i="2"/>
  <c r="B1939" i="1"/>
  <c r="B741" i="2"/>
  <c r="B26" i="2"/>
  <c r="B1420" i="1"/>
  <c r="F1200" i="1"/>
  <c r="E2380" i="1"/>
  <c r="D1254" i="1"/>
  <c r="B821" i="1"/>
  <c r="B817" i="2"/>
  <c r="B2484" i="1"/>
  <c r="E1273" i="1"/>
  <c r="A887" i="1"/>
  <c r="F746" i="1"/>
  <c r="E1001" i="1"/>
  <c r="A1721" i="1"/>
  <c r="A535" i="1"/>
  <c r="D306" i="2"/>
  <c r="C1956" i="1"/>
  <c r="F1150" i="1"/>
  <c r="E1218" i="1"/>
  <c r="E1093" i="1"/>
  <c r="E1695" i="1"/>
  <c r="B1250" i="1"/>
  <c r="C1109" i="1"/>
  <c r="D1690" i="1"/>
  <c r="C1157" i="1"/>
  <c r="F1270" i="1"/>
  <c r="C1234" i="1"/>
  <c r="F1420" i="1"/>
  <c r="A993" i="1"/>
  <c r="A1402" i="1"/>
  <c r="B527" i="1"/>
  <c r="E1069" i="1"/>
  <c r="B610" i="2"/>
  <c r="E1316" i="1"/>
  <c r="B1366" i="1"/>
  <c r="D1326" i="1"/>
  <c r="C1464" i="1"/>
  <c r="F910" i="1"/>
  <c r="C1890" i="1"/>
  <c r="B1522" i="1"/>
  <c r="E1122" i="1"/>
  <c r="C1185" i="1"/>
  <c r="C174" i="1"/>
  <c r="C527" i="1"/>
  <c r="A736" i="1"/>
  <c r="D56" i="2"/>
  <c r="F999" i="1"/>
  <c r="E733" i="1"/>
  <c r="B1773" i="1"/>
  <c r="D2157" i="1"/>
  <c r="E1160" i="1"/>
  <c r="E128" i="2"/>
  <c r="F1701" i="1"/>
  <c r="E1586" i="1"/>
  <c r="B2380" i="1"/>
  <c r="E1969" i="1"/>
  <c r="F1334" i="1"/>
  <c r="E2213" i="1"/>
  <c r="E2238" i="1"/>
  <c r="C1693" i="1"/>
  <c r="D2496" i="1"/>
  <c r="F2284" i="1"/>
  <c r="A1986" i="1"/>
  <c r="F1481" i="1"/>
  <c r="F2336" i="1"/>
  <c r="C534" i="2"/>
  <c r="D1586" i="1"/>
  <c r="E1956" i="1"/>
  <c r="C2062" i="1"/>
  <c r="E2225" i="1"/>
  <c r="A2267" i="1"/>
  <c r="A1858" i="1"/>
  <c r="D152" i="2"/>
  <c r="E1950" i="1"/>
  <c r="F1875" i="1"/>
  <c r="D1686" i="1"/>
  <c r="F1658" i="1"/>
  <c r="F1577" i="1"/>
  <c r="D2142" i="1"/>
  <c r="F1610" i="1"/>
  <c r="C1034" i="1"/>
  <c r="A1806" i="1"/>
  <c r="A1998" i="1"/>
  <c r="E2476" i="1"/>
  <c r="D1800" i="1"/>
  <c r="B1876" i="1"/>
  <c r="B1413" i="1"/>
  <c r="D1726" i="1"/>
  <c r="D2046" i="1"/>
  <c r="B988" i="1"/>
  <c r="E1855" i="1"/>
  <c r="B1155" i="1"/>
  <c r="A943" i="1"/>
  <c r="B547" i="1"/>
  <c r="F1574" i="1"/>
  <c r="E729" i="1"/>
  <c r="C1983" i="1"/>
  <c r="B1618" i="1"/>
  <c r="E1508" i="1"/>
  <c r="B1137" i="1"/>
  <c r="A1619" i="1"/>
  <c r="F438" i="2"/>
  <c r="B1676" i="1"/>
  <c r="D2065" i="1"/>
  <c r="D1090" i="1"/>
  <c r="F903" i="2"/>
  <c r="C523" i="2"/>
  <c r="A1210" i="1"/>
  <c r="B1922" i="1"/>
  <c r="B2488" i="1"/>
  <c r="C1430" i="1"/>
  <c r="E1846" i="1"/>
  <c r="D1696" i="1"/>
  <c r="F353" i="2"/>
  <c r="E134" i="2"/>
  <c r="E1416" i="1"/>
  <c r="F1509" i="1"/>
  <c r="F173" i="2"/>
  <c r="C1695" i="1"/>
  <c r="A1853" i="1"/>
  <c r="D1472" i="1"/>
  <c r="D1484" i="1"/>
  <c r="B67" i="2"/>
  <c r="A1300" i="1"/>
  <c r="F726" i="2"/>
  <c r="F2388" i="1"/>
  <c r="E448" i="2"/>
  <c r="B1874" i="1"/>
  <c r="C682" i="2"/>
  <c r="B1717" i="1"/>
  <c r="D1682" i="1"/>
  <c r="D2316" i="1"/>
  <c r="B1969" i="1"/>
  <c r="E1615" i="1"/>
  <c r="D759" i="1"/>
  <c r="E1005" i="1"/>
  <c r="D2081" i="1"/>
  <c r="A1407" i="1"/>
  <c r="C928" i="1"/>
  <c r="D481" i="1"/>
  <c r="F1194" i="1"/>
  <c r="E1459" i="1"/>
  <c r="C1291" i="1"/>
  <c r="C1610" i="1"/>
  <c r="A1922" i="1"/>
  <c r="F791" i="1"/>
  <c r="F6" i="2"/>
  <c r="D1988" i="1"/>
  <c r="C2105" i="1"/>
  <c r="E1428" i="1"/>
  <c r="E1895" i="1"/>
  <c r="C2124" i="1"/>
  <c r="B1310" i="1"/>
  <c r="E547" i="1"/>
  <c r="E1647" i="1"/>
  <c r="E1981" i="1"/>
  <c r="E1778" i="1"/>
  <c r="B110" i="2"/>
  <c r="C1276" i="1"/>
  <c r="B1144" i="1"/>
  <c r="F434" i="2"/>
  <c r="E1525" i="1"/>
  <c r="C1035" i="1"/>
  <c r="A1002" i="1"/>
  <c r="C1508" i="1"/>
  <c r="C1898" i="1"/>
  <c r="B753" i="1"/>
  <c r="C1413" i="1"/>
  <c r="F1977" i="1"/>
  <c r="D1246" i="1"/>
  <c r="B1340" i="1"/>
  <c r="C1000" i="1"/>
  <c r="D1399" i="1"/>
  <c r="C1139" i="1"/>
  <c r="B746" i="1"/>
  <c r="C1452" i="1"/>
  <c r="B920" i="1"/>
  <c r="E765" i="1"/>
  <c r="A1221" i="1"/>
  <c r="C1673" i="1"/>
  <c r="D842" i="1"/>
  <c r="B936" i="1"/>
  <c r="E885" i="1"/>
  <c r="F1741" i="1"/>
  <c r="C1248" i="1"/>
  <c r="A1506" i="1"/>
  <c r="F830" i="1"/>
  <c r="D25" i="2"/>
  <c r="B1704" i="1"/>
  <c r="C2109" i="1"/>
  <c r="B1104" i="1"/>
  <c r="D1006" i="1"/>
  <c r="E1154" i="1"/>
  <c r="E738" i="1"/>
  <c r="C839" i="1"/>
  <c r="A2153" i="1"/>
  <c r="A462" i="1"/>
  <c r="F1521" i="1"/>
  <c r="E1679" i="1"/>
  <c r="E1472" i="1"/>
  <c r="C1393" i="1"/>
  <c r="D930" i="1"/>
  <c r="C734" i="1"/>
  <c r="D522" i="2"/>
  <c r="A1547" i="1"/>
  <c r="E115" i="2"/>
  <c r="D2220" i="1"/>
  <c r="C2190" i="1"/>
  <c r="B2248" i="1"/>
  <c r="E2146" i="1"/>
  <c r="E2049" i="1"/>
  <c r="B2069" i="1"/>
  <c r="E1909" i="1"/>
  <c r="F2277" i="1"/>
  <c r="D90" i="2"/>
  <c r="A1513" i="1"/>
  <c r="A1462" i="1"/>
  <c r="A2259" i="1"/>
  <c r="C1281" i="1"/>
  <c r="A1689" i="1"/>
  <c r="D1020" i="1"/>
  <c r="F2403" i="1"/>
  <c r="A845" i="1"/>
  <c r="E1276" i="1"/>
  <c r="D2218" i="1"/>
  <c r="E1836" i="1"/>
  <c r="C386" i="1"/>
  <c r="F484" i="1"/>
  <c r="C1163" i="1"/>
  <c r="F1889" i="1"/>
  <c r="E554" i="1"/>
  <c r="E992" i="1"/>
  <c r="E1344" i="1"/>
  <c r="E1896" i="1"/>
  <c r="C751" i="1"/>
  <c r="A755" i="1"/>
  <c r="F826" i="1"/>
  <c r="C1835" i="1"/>
  <c r="D265" i="1"/>
  <c r="A482" i="1"/>
  <c r="C1115" i="1"/>
  <c r="C1530" i="1"/>
  <c r="B320" i="1"/>
  <c r="B910" i="1"/>
  <c r="A680" i="1"/>
  <c r="E1614" i="1"/>
  <c r="C317" i="1"/>
  <c r="E652" i="1"/>
  <c r="C660" i="1"/>
  <c r="E1602" i="1"/>
  <c r="E295" i="1"/>
  <c r="C2181" i="1"/>
  <c r="B980" i="2"/>
  <c r="F566" i="2"/>
  <c r="F1403" i="1"/>
  <c r="C1986" i="1"/>
  <c r="B2125" i="1"/>
  <c r="C29" i="2"/>
  <c r="C545" i="2"/>
  <c r="F2084" i="1"/>
  <c r="C1650" i="1"/>
  <c r="D1654" i="1"/>
  <c r="E1938" i="1"/>
  <c r="C1399" i="1"/>
  <c r="C1703" i="1"/>
  <c r="A1481" i="1"/>
  <c r="D1590" i="1"/>
  <c r="C234" i="1"/>
  <c r="C522" i="1"/>
  <c r="F1407" i="1"/>
  <c r="D967" i="2"/>
  <c r="E662" i="2"/>
  <c r="F1888" i="1"/>
  <c r="B514" i="1"/>
  <c r="D44" i="1"/>
  <c r="B366" i="1"/>
  <c r="E1769" i="1"/>
  <c r="F1659" i="2"/>
  <c r="B1087" i="1"/>
  <c r="F1855" i="1"/>
  <c r="D1829" i="1"/>
  <c r="E1579" i="1"/>
  <c r="C2054" i="1"/>
  <c r="A809" i="1"/>
  <c r="A1720" i="1"/>
  <c r="D1680" i="1"/>
  <c r="C1154" i="1"/>
  <c r="F1302" i="1"/>
  <c r="E1094" i="1"/>
  <c r="A1362" i="1"/>
  <c r="D1082" i="1"/>
  <c r="E1265" i="1"/>
  <c r="C1493" i="1"/>
  <c r="B1322" i="1"/>
  <c r="F2038" i="1"/>
  <c r="B177" i="2"/>
  <c r="A1682" i="1"/>
  <c r="D2473" i="1"/>
  <c r="B1471" i="1"/>
  <c r="F1585" i="1"/>
  <c r="A1779" i="1"/>
  <c r="F782" i="1"/>
  <c r="B757" i="1"/>
  <c r="E525" i="1"/>
  <c r="D490" i="1"/>
  <c r="B1692" i="1"/>
  <c r="C2438" i="1"/>
  <c r="D1103" i="1"/>
  <c r="B1930" i="1"/>
  <c r="B475" i="2"/>
  <c r="D2323" i="1"/>
  <c r="B1943" i="1"/>
  <c r="B1659" i="1"/>
  <c r="C1169" i="1"/>
  <c r="E2309" i="1"/>
  <c r="A856" i="1"/>
  <c r="B1018" i="1"/>
  <c r="F1309" i="1"/>
  <c r="F1657" i="1"/>
  <c r="A860" i="1"/>
  <c r="F803" i="1"/>
  <c r="C1794" i="1"/>
  <c r="C1387" i="1"/>
  <c r="F1135" i="1"/>
  <c r="D1026" i="1"/>
  <c r="E1088" i="1"/>
  <c r="E1067" i="1"/>
  <c r="F1916" i="1"/>
  <c r="F2188" i="1"/>
  <c r="A2163" i="1"/>
  <c r="C131" i="1"/>
  <c r="C319" i="1"/>
  <c r="E1053" i="1"/>
  <c r="E31" i="2"/>
  <c r="C739" i="2"/>
  <c r="B35" i="2"/>
  <c r="B2167" i="1"/>
  <c r="C2033" i="1"/>
  <c r="A1937" i="1"/>
  <c r="B1803" i="1"/>
  <c r="F1251" i="1"/>
  <c r="B1054" i="1"/>
  <c r="C991" i="1"/>
  <c r="E1357" i="1"/>
  <c r="B1242" i="1"/>
  <c r="B1024" i="1"/>
  <c r="D1242" i="1"/>
  <c r="D1084" i="1"/>
  <c r="D815" i="1"/>
  <c r="D1577" i="1"/>
  <c r="C73" i="2"/>
  <c r="C1216" i="1"/>
  <c r="F889" i="1"/>
  <c r="B500" i="1"/>
  <c r="D700" i="1"/>
  <c r="A556" i="1"/>
  <c r="B446" i="1"/>
  <c r="E421" i="1"/>
  <c r="E731" i="1"/>
  <c r="D917" i="1"/>
  <c r="A1442" i="1"/>
  <c r="E1239" i="1"/>
  <c r="B2472" i="1"/>
  <c r="B2490" i="1"/>
  <c r="A1610" i="1"/>
  <c r="D1521" i="1"/>
  <c r="E1840" i="1"/>
  <c r="B1991" i="1"/>
  <c r="D2205" i="1"/>
  <c r="F1385" i="1"/>
  <c r="E1568" i="1"/>
  <c r="D2347" i="1"/>
  <c r="B1307" i="1"/>
  <c r="C1579" i="1"/>
  <c r="B1103" i="1"/>
  <c r="C557" i="1"/>
  <c r="D629" i="1"/>
  <c r="C2160" i="1"/>
  <c r="E926" i="1"/>
  <c r="E1376" i="1"/>
  <c r="B1870" i="1"/>
  <c r="A1005" i="1"/>
  <c r="B1687" i="1"/>
  <c r="F900" i="1"/>
  <c r="C1332" i="1"/>
  <c r="C1069" i="1"/>
  <c r="F731" i="1"/>
  <c r="B305" i="1"/>
  <c r="F183" i="1"/>
  <c r="B1929" i="1"/>
  <c r="E1402" i="1"/>
  <c r="C1429" i="1"/>
  <c r="D1462" i="1"/>
  <c r="A771" i="1"/>
  <c r="B391" i="2"/>
  <c r="C2003" i="1"/>
  <c r="C2458" i="1"/>
  <c r="A1537" i="1"/>
  <c r="C1744" i="1"/>
  <c r="A1874" i="1"/>
  <c r="D2152" i="1"/>
  <c r="B1012" i="1"/>
  <c r="C944" i="1"/>
  <c r="A2166" i="1"/>
  <c r="B758" i="1"/>
  <c r="F2094" i="1"/>
  <c r="E1452" i="1"/>
  <c r="F1278" i="1"/>
  <c r="D1066" i="1"/>
  <c r="B1375" i="1"/>
  <c r="C898" i="1"/>
  <c r="D1615" i="1"/>
  <c r="E779" i="2"/>
  <c r="E1137" i="1"/>
  <c r="B1489" i="1"/>
  <c r="E1297" i="1"/>
  <c r="C819" i="2"/>
  <c r="C943" i="1"/>
  <c r="D2045" i="1"/>
  <c r="B1345" i="1"/>
  <c r="D754" i="1"/>
  <c r="E877" i="1"/>
  <c r="B926" i="1"/>
  <c r="F1021" i="1"/>
  <c r="F1332" i="1"/>
  <c r="C1320" i="1"/>
  <c r="D1149" i="1"/>
  <c r="D2089" i="1"/>
  <c r="A1044" i="1"/>
  <c r="F851" i="1"/>
  <c r="B1107" i="1"/>
  <c r="C722" i="1"/>
  <c r="B886" i="1"/>
  <c r="E176" i="1"/>
  <c r="A52" i="1"/>
  <c r="B1505" i="1"/>
  <c r="A988" i="1"/>
  <c r="F168" i="1"/>
  <c r="A248" i="1"/>
  <c r="F1209" i="1"/>
  <c r="B1058" i="1"/>
  <c r="E1607" i="1"/>
  <c r="D1172" i="1"/>
  <c r="D1291" i="1"/>
  <c r="E1081" i="1"/>
  <c r="D1025" i="1"/>
  <c r="E734" i="1"/>
  <c r="F450" i="1"/>
  <c r="B817" i="1"/>
  <c r="A571" i="1"/>
  <c r="C893" i="1"/>
  <c r="E1566" i="1"/>
  <c r="F388" i="1"/>
  <c r="C494" i="1"/>
  <c r="E791" i="1"/>
  <c r="A434" i="1"/>
  <c r="D645" i="1"/>
  <c r="D1355" i="1"/>
  <c r="D813" i="1"/>
  <c r="F1128" i="1"/>
  <c r="A1344" i="1"/>
  <c r="A165" i="1"/>
  <c r="F352" i="1"/>
  <c r="D455" i="1"/>
  <c r="F265" i="1"/>
  <c r="D839" i="1"/>
  <c r="A952" i="1"/>
  <c r="A2183" i="1"/>
  <c r="D1751" i="1"/>
  <c r="D952" i="1"/>
  <c r="E65" i="1"/>
  <c r="E1087" i="1"/>
  <c r="B1258" i="1"/>
  <c r="A2480" i="1"/>
  <c r="A450" i="1"/>
  <c r="B782" i="1"/>
  <c r="C1795" i="1"/>
  <c r="A806" i="1"/>
  <c r="E2271" i="1"/>
  <c r="A568" i="1"/>
  <c r="C556" i="1"/>
  <c r="B1905" i="1"/>
  <c r="B1351" i="1"/>
  <c r="E1543" i="1"/>
  <c r="D244" i="1"/>
  <c r="F239" i="1"/>
  <c r="D437" i="1"/>
  <c r="E637" i="1"/>
  <c r="A593" i="1"/>
  <c r="F549" i="1"/>
  <c r="A2046" i="1"/>
  <c r="C910" i="2"/>
  <c r="F325" i="2"/>
  <c r="D1893" i="1"/>
  <c r="E2475" i="1"/>
  <c r="C2156" i="1"/>
  <c r="F1629" i="1"/>
  <c r="D468" i="2"/>
  <c r="B49" i="2"/>
  <c r="D2038" i="1"/>
  <c r="E2195" i="1"/>
  <c r="D2048" i="1"/>
  <c r="D1809" i="1"/>
  <c r="D2454" i="1"/>
  <c r="F798" i="2"/>
  <c r="E1240" i="1"/>
  <c r="E1854" i="1"/>
  <c r="C2040" i="1"/>
  <c r="F2378" i="1"/>
  <c r="B1262" i="2"/>
  <c r="E1907" i="1"/>
  <c r="B1629" i="1"/>
  <c r="A1070" i="1"/>
  <c r="E1170" i="1"/>
  <c r="B888" i="1"/>
  <c r="D2398" i="1"/>
  <c r="B1257" i="1"/>
  <c r="A1232" i="1"/>
  <c r="F2059" i="1"/>
  <c r="A1929" i="1"/>
  <c r="F505" i="1"/>
  <c r="D693" i="1"/>
  <c r="C1071" i="1"/>
  <c r="F2181" i="1"/>
  <c r="E545" i="1"/>
  <c r="F2239" i="1"/>
  <c r="F743" i="1"/>
  <c r="C1663" i="1"/>
  <c r="B1067" i="1"/>
  <c r="B1226" i="1"/>
  <c r="C1096" i="1"/>
  <c r="D2112" i="1"/>
  <c r="F1252" i="1"/>
  <c r="E1282" i="1"/>
  <c r="F206" i="2"/>
  <c r="D1318" i="1"/>
  <c r="C1346" i="1"/>
  <c r="B1254" i="1"/>
  <c r="B921" i="1"/>
  <c r="B1241" i="1"/>
  <c r="A871" i="1"/>
  <c r="D1142" i="1"/>
  <c r="F539" i="1"/>
  <c r="E2152" i="1"/>
  <c r="C1614" i="1"/>
  <c r="F1276" i="1"/>
  <c r="F1147" i="1"/>
  <c r="A1631" i="1"/>
  <c r="E1241" i="1"/>
  <c r="C961" i="2"/>
  <c r="D260" i="2"/>
  <c r="D1215" i="1"/>
  <c r="E315" i="1"/>
  <c r="C623" i="1"/>
  <c r="C415" i="1"/>
  <c r="D454" i="1"/>
  <c r="B1996" i="1"/>
  <c r="E203" i="1"/>
  <c r="C1259" i="1"/>
  <c r="A1709" i="1"/>
  <c r="B2289" i="1"/>
  <c r="D929" i="1"/>
  <c r="B1165" i="1"/>
  <c r="D1940" i="1"/>
  <c r="F1063" i="1"/>
  <c r="D282" i="2"/>
  <c r="B2217" i="1"/>
  <c r="B1448" i="1"/>
  <c r="F1820" i="1"/>
  <c r="D1908" i="1"/>
  <c r="E1085" i="1"/>
  <c r="E122" i="2"/>
  <c r="C330" i="2"/>
  <c r="C2400" i="1"/>
  <c r="F848" i="1"/>
  <c r="E2196" i="1"/>
  <c r="D1984" i="1"/>
  <c r="A2028" i="1"/>
  <c r="F600" i="2"/>
  <c r="B2176" i="1"/>
  <c r="A1873" i="1"/>
  <c r="F1518" i="1"/>
  <c r="F1250" i="1"/>
  <c r="E2395" i="1"/>
  <c r="A2042" i="1"/>
  <c r="A930" i="1"/>
  <c r="D1019" i="1"/>
  <c r="B1299" i="1"/>
  <c r="E1852" i="1"/>
  <c r="C1516" i="1"/>
  <c r="B1373" i="1"/>
  <c r="D1238" i="1"/>
  <c r="E996" i="1"/>
  <c r="E1876" i="1"/>
  <c r="E2473" i="1"/>
  <c r="C2394" i="1"/>
  <c r="D641" i="2"/>
  <c r="D2136" i="1"/>
  <c r="B936" i="2"/>
  <c r="E1708" i="1"/>
  <c r="F1618" i="1"/>
  <c r="D1670" i="1"/>
  <c r="F2311" i="1"/>
  <c r="A1662" i="1"/>
  <c r="C572" i="1"/>
  <c r="C1298" i="1"/>
  <c r="B1450" i="1"/>
  <c r="E1844" i="1"/>
  <c r="E459" i="1"/>
  <c r="B2334" i="1"/>
  <c r="B1192" i="1"/>
  <c r="F781" i="2"/>
  <c r="A1558" i="1"/>
  <c r="D1038" i="1"/>
  <c r="C1646" i="1"/>
  <c r="C248" i="2"/>
  <c r="E2043" i="1"/>
  <c r="C1969" i="1"/>
  <c r="B1710" i="1"/>
  <c r="D346" i="2"/>
  <c r="D1707" i="1"/>
  <c r="C1330" i="1"/>
  <c r="E1528" i="1"/>
  <c r="D2356" i="1"/>
  <c r="E2126" i="1"/>
  <c r="F1938" i="1"/>
  <c r="D1371" i="1"/>
  <c r="D596" i="2"/>
  <c r="B805" i="2"/>
  <c r="C1308" i="1"/>
  <c r="C1586" i="1"/>
  <c r="F2509" i="1"/>
  <c r="E1143" i="1"/>
  <c r="C2020" i="1"/>
  <c r="B361" i="2"/>
  <c r="A1595" i="1"/>
  <c r="A1538" i="1"/>
  <c r="A1611" i="1"/>
  <c r="B2267" i="1"/>
  <c r="F2192" i="1"/>
  <c r="D1900" i="1"/>
  <c r="F1919" i="1"/>
  <c r="A1861" i="1"/>
  <c r="A1295" i="1"/>
  <c r="A1633" i="1"/>
  <c r="A1433" i="1"/>
  <c r="F763" i="1"/>
  <c r="B1708" i="1"/>
  <c r="C1589" i="1"/>
  <c r="C1432" i="1"/>
  <c r="D1544" i="1"/>
  <c r="A1586" i="1"/>
  <c r="B1568" i="1"/>
  <c r="A1695" i="1"/>
  <c r="C1737" i="1"/>
  <c r="E224" i="2"/>
  <c r="A1178" i="1"/>
  <c r="A2249" i="1"/>
  <c r="C1694" i="1"/>
  <c r="F1954" i="1"/>
  <c r="D2115" i="1"/>
  <c r="B1890" i="1"/>
  <c r="F1840" i="1"/>
  <c r="D1385" i="1"/>
  <c r="C106" i="2"/>
  <c r="B418" i="2"/>
  <c r="C1766" i="1"/>
  <c r="A1798" i="1"/>
  <c r="D621" i="2"/>
  <c r="D1237" i="1"/>
  <c r="C1929" i="1"/>
  <c r="D2319" i="1"/>
  <c r="D1442" i="1"/>
  <c r="E977" i="1"/>
  <c r="F993" i="1"/>
  <c r="C2450" i="1"/>
  <c r="C1565" i="1"/>
  <c r="A1708" i="1"/>
  <c r="F1838" i="1"/>
  <c r="D953" i="1"/>
  <c r="A2502" i="1"/>
  <c r="C982" i="1"/>
  <c r="A1128" i="1"/>
  <c r="F435" i="1"/>
  <c r="F2216" i="1"/>
  <c r="D241" i="1"/>
  <c r="B80" i="1"/>
  <c r="B503" i="1"/>
  <c r="E2229" i="1"/>
  <c r="D125" i="1"/>
  <c r="F575" i="1"/>
  <c r="B600" i="1"/>
  <c r="F1119" i="1"/>
  <c r="A492" i="1"/>
  <c r="E613" i="1"/>
  <c r="C617" i="1"/>
  <c r="B1284" i="1"/>
  <c r="A574" i="1"/>
  <c r="D1574" i="1"/>
  <c r="D1866" i="1"/>
  <c r="D2006" i="1"/>
  <c r="E2224" i="1"/>
  <c r="F661" i="2"/>
  <c r="B2126" i="1"/>
  <c r="B1857" i="1"/>
  <c r="E1979" i="1"/>
  <c r="E2386" i="1"/>
  <c r="E10" i="2"/>
  <c r="D2471" i="1"/>
  <c r="B1357" i="1"/>
  <c r="A1706" i="1"/>
  <c r="B801" i="1"/>
  <c r="A2037" i="1"/>
  <c r="E1174" i="1"/>
  <c r="B2143" i="1"/>
  <c r="B1661" i="1"/>
  <c r="E1529" i="1"/>
  <c r="F1968" i="1"/>
  <c r="F1897" i="1"/>
  <c r="C1872" i="1"/>
  <c r="B1063" i="1"/>
  <c r="B1154" i="2"/>
  <c r="B1944" i="1"/>
  <c r="B2356" i="1"/>
  <c r="B1501" i="1"/>
  <c r="C2097" i="1"/>
  <c r="F1363" i="1"/>
  <c r="E2489" i="1"/>
  <c r="F2236" i="1"/>
  <c r="D1902" i="1"/>
  <c r="A1628" i="1"/>
  <c r="A1445" i="1"/>
  <c r="C1574" i="1"/>
  <c r="F1798" i="1"/>
  <c r="F1634" i="1"/>
  <c r="B2137" i="1"/>
  <c r="E81" i="2"/>
  <c r="C548" i="2"/>
  <c r="C2317" i="1"/>
  <c r="E70" i="2"/>
  <c r="F2212" i="1"/>
  <c r="C92" i="2"/>
  <c r="F2131" i="1"/>
  <c r="C2087" i="1"/>
  <c r="D1989" i="1"/>
  <c r="A2104" i="1"/>
  <c r="A2179" i="1"/>
  <c r="B340" i="2"/>
  <c r="A2154" i="1"/>
  <c r="C1717" i="1"/>
  <c r="F1655" i="1"/>
  <c r="F971" i="1"/>
  <c r="B1949" i="1"/>
  <c r="D1939" i="1"/>
  <c r="C909" i="1"/>
  <c r="D889" i="1"/>
  <c r="F1328" i="1"/>
  <c r="A1372" i="1"/>
  <c r="E825" i="1"/>
  <c r="B789" i="1"/>
  <c r="A1152" i="1"/>
  <c r="B1467" i="1"/>
  <c r="C834" i="2"/>
  <c r="E1071" i="1"/>
  <c r="B2402" i="1"/>
  <c r="F2128" i="1"/>
  <c r="E1807" i="1"/>
  <c r="D2092" i="1"/>
  <c r="F1802" i="1"/>
  <c r="C1515" i="1"/>
  <c r="E1698" i="1"/>
  <c r="C1911" i="1"/>
  <c r="B1217" i="1"/>
  <c r="C1253" i="1"/>
  <c r="F1362" i="1"/>
  <c r="E1030" i="1"/>
  <c r="A1285" i="1"/>
  <c r="E1729" i="1"/>
  <c r="B1106" i="1"/>
  <c r="D1366" i="1"/>
  <c r="D2247" i="1"/>
  <c r="D440" i="1"/>
  <c r="A1084" i="1"/>
  <c r="C1244" i="1"/>
  <c r="E1413" i="1"/>
  <c r="B1559" i="1"/>
  <c r="E1062" i="1"/>
  <c r="E141" i="2"/>
  <c r="F1965" i="1"/>
  <c r="A1235" i="1"/>
  <c r="D1668" i="1"/>
  <c r="B1567" i="1"/>
  <c r="F1814" i="1"/>
  <c r="E1555" i="1"/>
  <c r="E589" i="1"/>
  <c r="C782" i="1"/>
  <c r="B1703" i="1"/>
  <c r="F1100" i="1"/>
  <c r="C1894" i="1"/>
  <c r="D2176" i="1"/>
  <c r="E1417" i="1"/>
  <c r="B1763" i="1"/>
  <c r="F1644" i="1"/>
  <c r="E1483" i="1"/>
  <c r="F792" i="1"/>
  <c r="A1681" i="1"/>
  <c r="D2119" i="1"/>
  <c r="C1162" i="1"/>
  <c r="C1896" i="1"/>
  <c r="A784" i="1"/>
  <c r="E1127" i="1"/>
  <c r="C940" i="2"/>
  <c r="D411" i="1"/>
  <c r="F1002" i="1"/>
  <c r="B963" i="1"/>
  <c r="B710" i="1"/>
  <c r="B2027" i="1"/>
  <c r="A1762" i="1"/>
  <c r="D1531" i="1"/>
  <c r="A2285" i="1"/>
  <c r="B2355" i="1"/>
  <c r="A2221" i="1"/>
  <c r="C1750" i="1"/>
  <c r="B266" i="2"/>
  <c r="F1231" i="1"/>
  <c r="F1266" i="1"/>
  <c r="C1419" i="1"/>
  <c r="A1424" i="1"/>
  <c r="B1795" i="1"/>
  <c r="E1547" i="1"/>
  <c r="F1824" i="1"/>
  <c r="C1002" i="1"/>
  <c r="A1979" i="1"/>
  <c r="A2102" i="1"/>
  <c r="F1614" i="1"/>
  <c r="D1289" i="1"/>
  <c r="E1052" i="1"/>
  <c r="B1483" i="1"/>
  <c r="E2083" i="1"/>
  <c r="D1942" i="1"/>
  <c r="F1426" i="1"/>
  <c r="C1665" i="1"/>
  <c r="A858" i="1"/>
  <c r="F495" i="1"/>
  <c r="C1324" i="1"/>
  <c r="E790" i="2"/>
  <c r="A2107" i="1"/>
  <c r="B2161" i="1"/>
  <c r="F1619" i="1"/>
  <c r="D670" i="2"/>
  <c r="F1886" i="1"/>
  <c r="B1302" i="1"/>
  <c r="E1225" i="1"/>
  <c r="D1354" i="2"/>
  <c r="D1014" i="1"/>
  <c r="D758" i="1"/>
  <c r="D2217" i="1"/>
  <c r="E1562" i="1"/>
  <c r="C1425" i="1"/>
  <c r="C1649" i="1"/>
  <c r="D1679" i="1"/>
  <c r="D1767" i="1"/>
  <c r="A1188" i="1"/>
  <c r="B163" i="2"/>
  <c r="B2225" i="1"/>
  <c r="D1424" i="1"/>
  <c r="B1442" i="1"/>
  <c r="F1361" i="1"/>
  <c r="C1344" i="1"/>
  <c r="C1453" i="1"/>
  <c r="B219" i="1"/>
  <c r="D692" i="1"/>
  <c r="F494" i="1"/>
  <c r="B616" i="2"/>
  <c r="B1381" i="1"/>
  <c r="E1905" i="1"/>
  <c r="A1694" i="1"/>
  <c r="B999" i="1"/>
  <c r="E1914" i="1"/>
  <c r="A2441" i="1"/>
  <c r="D1417" i="1"/>
  <c r="D1871" i="1"/>
  <c r="A2232" i="1"/>
  <c r="D2222" i="1"/>
  <c r="B1855" i="1"/>
  <c r="E2156" i="1"/>
  <c r="F1640" i="1"/>
  <c r="D1881" i="1"/>
  <c r="C1754" i="1"/>
  <c r="B1347" i="1"/>
  <c r="B1793" i="1"/>
  <c r="D1585" i="1"/>
  <c r="E831" i="1"/>
  <c r="F1306" i="1"/>
  <c r="F1343" i="1"/>
  <c r="E1680" i="1"/>
  <c r="C1410" i="1"/>
  <c r="B1097" i="1"/>
  <c r="B1815" i="1"/>
  <c r="B1527" i="1"/>
  <c r="E972" i="1"/>
  <c r="D1933" i="1"/>
  <c r="C2192" i="1"/>
  <c r="D437" i="2"/>
  <c r="C2093" i="1"/>
  <c r="B207" i="2"/>
  <c r="F424" i="2"/>
  <c r="C1537" i="2"/>
  <c r="D683" i="2"/>
  <c r="C605" i="2"/>
  <c r="C1659" i="2"/>
  <c r="B1478" i="1"/>
  <c r="F1524" i="1"/>
  <c r="A2140" i="1"/>
  <c r="A1917" i="1"/>
  <c r="D2221" i="1"/>
  <c r="C1551" i="1"/>
  <c r="F2345" i="1"/>
  <c r="E196" i="2"/>
  <c r="A1588" i="1"/>
  <c r="A2318" i="1"/>
  <c r="C1882" i="1"/>
  <c r="F1630" i="1"/>
  <c r="D1134" i="1"/>
  <c r="D2395" i="1"/>
  <c r="B1808" i="1"/>
  <c r="C1122" i="1"/>
  <c r="A1099" i="1"/>
  <c r="E2237" i="1"/>
  <c r="F2402" i="1"/>
  <c r="E1341" i="1"/>
  <c r="B1416" i="1"/>
  <c r="A1368" i="1"/>
  <c r="B1593" i="1"/>
  <c r="F844" i="1"/>
  <c r="F1717" i="1"/>
  <c r="B1447" i="2"/>
  <c r="A1996" i="1"/>
  <c r="F1782" i="1"/>
  <c r="B1089" i="1"/>
  <c r="F2240" i="1"/>
  <c r="E1298" i="1"/>
  <c r="A1390" i="1"/>
  <c r="A1317" i="1"/>
  <c r="B2025" i="1"/>
  <c r="F1027" i="1"/>
  <c r="E1065" i="1"/>
  <c r="F1025" i="1"/>
  <c r="B942" i="1"/>
  <c r="D1613" i="1"/>
  <c r="F169" i="1"/>
  <c r="A926" i="1"/>
  <c r="B116" i="2"/>
  <c r="E2096" i="1"/>
  <c r="C1314" i="2"/>
  <c r="D1064" i="1"/>
  <c r="F1921" i="1"/>
  <c r="A1293" i="1"/>
  <c r="C781" i="1"/>
  <c r="D1850" i="1"/>
  <c r="C1866" i="1"/>
  <c r="D1078" i="1"/>
  <c r="E396" i="1"/>
  <c r="B693" i="1"/>
  <c r="D562" i="1"/>
  <c r="C612" i="1"/>
  <c r="C1209" i="1"/>
  <c r="B975" i="1"/>
  <c r="C654" i="1"/>
  <c r="A1943" i="1"/>
  <c r="D120" i="2"/>
  <c r="C1067" i="1"/>
  <c r="F1765" i="1"/>
  <c r="B1557" i="1"/>
  <c r="B1973" i="1"/>
  <c r="E909" i="1"/>
  <c r="A2005" i="1"/>
  <c r="C1302" i="1"/>
  <c r="F2427" i="1"/>
  <c r="C2435" i="1"/>
  <c r="B1623" i="2"/>
  <c r="D989" i="2"/>
  <c r="B2474" i="1"/>
  <c r="F2033" i="1"/>
  <c r="F1452" i="1"/>
  <c r="B1286" i="1"/>
  <c r="C1189" i="1"/>
  <c r="C2436" i="1"/>
  <c r="D1595" i="1"/>
  <c r="B1180" i="1"/>
  <c r="F1365" i="1"/>
  <c r="C1092" i="1"/>
  <c r="C1297" i="1"/>
  <c r="A1644" i="1"/>
  <c r="B1245" i="1"/>
  <c r="C1781" i="1"/>
  <c r="D999" i="2"/>
  <c r="C1513" i="1"/>
  <c r="D1449" i="1"/>
  <c r="C1454" i="1"/>
  <c r="E953" i="1"/>
  <c r="D1454" i="1"/>
  <c r="A1849" i="1"/>
  <c r="B2318" i="1"/>
  <c r="F1858" i="1"/>
  <c r="D1927" i="1"/>
  <c r="E1553" i="1"/>
  <c r="F1868" i="1"/>
  <c r="C2322" i="1"/>
  <c r="C1471" i="1"/>
  <c r="B280" i="2"/>
  <c r="C484" i="2"/>
  <c r="B2195" i="1"/>
  <c r="E1606" i="1"/>
  <c r="C2166" i="1"/>
  <c r="F1341" i="1"/>
  <c r="B2092" i="1"/>
  <c r="D485" i="2"/>
  <c r="D1891" i="1"/>
  <c r="B2409" i="1"/>
  <c r="A932" i="1"/>
  <c r="A1668" i="1"/>
  <c r="B1639" i="1"/>
  <c r="A1019" i="1"/>
  <c r="A1938" i="1"/>
  <c r="E1815" i="1"/>
  <c r="B1553" i="1"/>
  <c r="B1211" i="1"/>
  <c r="B533" i="1"/>
  <c r="E2283" i="1"/>
  <c r="A1570" i="1"/>
  <c r="F618" i="1"/>
  <c r="B1462" i="1"/>
  <c r="D1350" i="1"/>
  <c r="E1494" i="1"/>
  <c r="F939" i="1"/>
  <c r="D1304" i="1"/>
  <c r="F1617" i="1"/>
  <c r="B1719" i="1"/>
  <c r="F932" i="1"/>
  <c r="C916" i="1"/>
  <c r="A1280" i="1"/>
  <c r="F1557" i="1"/>
  <c r="C1003" i="1"/>
  <c r="E371" i="2"/>
  <c r="D1936" i="1"/>
  <c r="D1759" i="1"/>
  <c r="D1817" i="1"/>
  <c r="C1527" i="1"/>
  <c r="A1856" i="1"/>
  <c r="E986" i="2"/>
  <c r="F1455" i="1"/>
  <c r="F1020" i="2"/>
  <c r="F1908" i="1"/>
  <c r="F1639" i="1"/>
  <c r="D851" i="1"/>
  <c r="E971" i="1"/>
  <c r="C1366" i="1"/>
  <c r="F2029" i="1"/>
  <c r="A843" i="1"/>
  <c r="B47" i="2"/>
  <c r="C1597" i="1"/>
  <c r="A2063" i="1"/>
  <c r="F1079" i="1"/>
  <c r="F1406" i="1"/>
  <c r="B2170" i="1"/>
  <c r="A2384" i="1"/>
  <c r="F2223" i="1"/>
  <c r="C1933" i="1"/>
  <c r="B424" i="2"/>
  <c r="B2315" i="1"/>
  <c r="B2263" i="1"/>
  <c r="B36" i="2"/>
  <c r="E1917" i="1"/>
  <c r="A1469" i="1"/>
  <c r="B1215" i="1"/>
  <c r="A1725" i="1"/>
  <c r="A2368" i="1"/>
  <c r="A1341" i="1"/>
  <c r="D1830" i="1"/>
  <c r="D1946" i="1"/>
  <c r="C2366" i="1"/>
  <c r="D1844" i="1"/>
  <c r="C1504" i="1"/>
  <c r="E1267" i="1"/>
  <c r="E1233" i="1"/>
  <c r="D1941" i="1"/>
  <c r="F1397" i="1"/>
  <c r="C1439" i="1"/>
  <c r="D1248" i="1"/>
  <c r="E1491" i="1"/>
  <c r="F1387" i="1"/>
  <c r="F1722" i="1"/>
  <c r="C1852" i="1"/>
  <c r="A1918" i="1"/>
  <c r="B1403" i="1"/>
  <c r="A1562" i="1"/>
  <c r="F1905" i="1"/>
  <c r="A1759" i="1"/>
  <c r="E1612" i="1"/>
  <c r="F470" i="2"/>
  <c r="D1955" i="1"/>
  <c r="F1709" i="1"/>
  <c r="F812" i="2"/>
  <c r="D2337" i="1"/>
  <c r="B1520" i="1"/>
  <c r="C1700" i="1"/>
  <c r="E288" i="2"/>
  <c r="A2413" i="1"/>
  <c r="C811" i="2"/>
  <c r="A1660" i="1"/>
  <c r="F868" i="1"/>
  <c r="F2065" i="1"/>
  <c r="A1296" i="1"/>
  <c r="C2114" i="1"/>
  <c r="C1805" i="1"/>
  <c r="B1765" i="1"/>
  <c r="E2297" i="1"/>
  <c r="B2211" i="1"/>
  <c r="E2011" i="1"/>
  <c r="D1839" i="1"/>
  <c r="A2043" i="1"/>
  <c r="E2486" i="1"/>
  <c r="E1538" i="1"/>
  <c r="E2290" i="1"/>
  <c r="A1577" i="1"/>
  <c r="D1812" i="1"/>
  <c r="D47" i="2"/>
  <c r="D1968" i="1"/>
  <c r="D1596" i="1"/>
  <c r="B1523" i="1"/>
  <c r="A2251" i="1"/>
  <c r="C2257" i="1"/>
  <c r="E1883" i="1"/>
  <c r="F1665" i="1"/>
  <c r="A1617" i="1"/>
  <c r="F1939" i="1"/>
  <c r="E1395" i="1"/>
  <c r="C1126" i="1"/>
  <c r="E1410" i="1"/>
  <c r="E807" i="1"/>
  <c r="C1546" i="1"/>
  <c r="E653" i="1"/>
  <c r="B1252" i="1"/>
  <c r="F787" i="1"/>
  <c r="C1875" i="1"/>
  <c r="E1066" i="1"/>
  <c r="C1906" i="1"/>
  <c r="A1079" i="1"/>
  <c r="D1192" i="1"/>
  <c r="B1122" i="1"/>
  <c r="A1271" i="1"/>
  <c r="E1565" i="1"/>
  <c r="C1341" i="1"/>
  <c r="A1058" i="1"/>
  <c r="F1675" i="1"/>
  <c r="B1623" i="1"/>
  <c r="C1625" i="1"/>
  <c r="F822" i="2"/>
  <c r="C1141" i="1"/>
  <c r="E1505" i="1"/>
  <c r="E600" i="1"/>
  <c r="C2194" i="1"/>
  <c r="C1972" i="1"/>
  <c r="E1070" i="1"/>
  <c r="F1186" i="1"/>
  <c r="F952" i="1"/>
  <c r="E1262" i="1"/>
  <c r="E1421" i="1"/>
  <c r="C1348" i="1"/>
  <c r="F1104" i="1"/>
  <c r="B1443" i="1"/>
  <c r="B540" i="2"/>
  <c r="E2302" i="1"/>
  <c r="C2193" i="1"/>
  <c r="B1000" i="2"/>
  <c r="D134" i="2"/>
  <c r="D2374" i="1"/>
  <c r="D1182" i="1"/>
  <c r="A2498" i="1"/>
  <c r="B1907" i="1"/>
  <c r="E1879" i="1"/>
  <c r="E1521" i="1"/>
  <c r="B1551" i="1"/>
  <c r="C1010" i="1"/>
  <c r="F1067" i="1"/>
  <c r="A1149" i="1"/>
  <c r="F2001" i="1"/>
  <c r="C785" i="1"/>
  <c r="A1038" i="1"/>
  <c r="A1613" i="1"/>
  <c r="C1777" i="1"/>
  <c r="D618" i="1"/>
  <c r="C1495" i="1"/>
  <c r="C1135" i="1"/>
  <c r="A819" i="1"/>
  <c r="A848" i="1"/>
  <c r="D1755" i="1"/>
  <c r="B1500" i="1"/>
  <c r="C3" i="2"/>
  <c r="A1948" i="1"/>
  <c r="E1655" i="1"/>
  <c r="B1865" i="1"/>
  <c r="D1374" i="1"/>
  <c r="E1034" i="1"/>
  <c r="C653" i="1"/>
  <c r="E1859" i="1"/>
  <c r="F1731" i="1"/>
  <c r="C1145" i="1"/>
  <c r="D1765" i="1"/>
  <c r="C1633" i="1"/>
  <c r="B1564" i="1"/>
  <c r="E1058" i="1"/>
  <c r="A1467" i="1"/>
  <c r="A865" i="1"/>
  <c r="B1582" i="1"/>
  <c r="F2022" i="1"/>
  <c r="C1613" i="1"/>
  <c r="F98" i="2"/>
  <c r="C421" i="1"/>
  <c r="B2329" i="1"/>
  <c r="A2017" i="1"/>
  <c r="C1682" i="1"/>
  <c r="D565" i="1"/>
  <c r="A497" i="1"/>
  <c r="B268" i="1"/>
  <c r="D390" i="2"/>
  <c r="A2509" i="1"/>
  <c r="E918" i="1"/>
  <c r="D1057" i="2"/>
  <c r="D2318" i="1"/>
  <c r="F2124" i="1"/>
  <c r="E2151" i="1"/>
  <c r="B2229" i="1"/>
  <c r="F1039" i="1"/>
  <c r="C1581" i="1"/>
  <c r="E1668" i="1"/>
  <c r="E1577" i="1"/>
  <c r="D1325" i="1"/>
  <c r="D1324" i="1"/>
  <c r="E1853" i="1"/>
  <c r="A1465" i="1"/>
  <c r="C1626" i="1"/>
  <c r="C1843" i="1"/>
  <c r="C1201" i="1"/>
  <c r="C1587" i="1"/>
  <c r="A2235" i="1"/>
  <c r="E1318" i="1"/>
  <c r="B1997" i="1"/>
  <c r="B528" i="2"/>
  <c r="A1281" i="1"/>
  <c r="E564" i="1"/>
  <c r="D359" i="1"/>
  <c r="B321" i="1"/>
  <c r="C393" i="2"/>
  <c r="B1320" i="1"/>
  <c r="A1205" i="1"/>
  <c r="D1972" i="1"/>
  <c r="B1546" i="1"/>
  <c r="A1962" i="1"/>
  <c r="D1860" i="1"/>
  <c r="A910" i="1"/>
  <c r="C1263" i="1"/>
  <c r="A1745" i="1"/>
  <c r="C481" i="1"/>
  <c r="F1004" i="1"/>
  <c r="F1140" i="1"/>
  <c r="C1232" i="1"/>
  <c r="C879" i="1"/>
  <c r="C1549" i="1"/>
  <c r="C1575" i="1"/>
  <c r="A847" i="1"/>
  <c r="A2198" i="1"/>
  <c r="C1111" i="1"/>
  <c r="E1121" i="1"/>
  <c r="D1173" i="1"/>
  <c r="B1214" i="1"/>
  <c r="D1224" i="1"/>
  <c r="F758" i="1"/>
  <c r="F703" i="1"/>
  <c r="B685" i="1"/>
  <c r="B748" i="1"/>
  <c r="B85" i="1"/>
  <c r="B1889" i="1"/>
  <c r="C1980" i="1"/>
  <c r="F1052" i="1"/>
  <c r="F1909" i="1"/>
  <c r="F559" i="2"/>
  <c r="F2420" i="1"/>
  <c r="F2125" i="1"/>
  <c r="B1590" i="1"/>
  <c r="A905" i="1"/>
  <c r="A836" i="1"/>
  <c r="F1074" i="1"/>
  <c r="D1056" i="1"/>
  <c r="A1906" i="1"/>
  <c r="B1807" i="1"/>
  <c r="F1733" i="1"/>
  <c r="D1604" i="1"/>
  <c r="D1003" i="1"/>
  <c r="F1333" i="1"/>
  <c r="F607" i="1"/>
  <c r="D1037" i="1"/>
  <c r="C1178" i="1"/>
  <c r="C1038" i="1"/>
  <c r="C1180" i="1"/>
  <c r="B1043" i="1"/>
  <c r="C652" i="1"/>
  <c r="D304" i="1"/>
  <c r="A753" i="1"/>
  <c r="D1362" i="1"/>
  <c r="A1241" i="1"/>
  <c r="C845" i="1"/>
  <c r="B1743" i="1"/>
  <c r="B1628" i="1"/>
  <c r="E271" i="2"/>
  <c r="A1020" i="1"/>
  <c r="D1693" i="1"/>
  <c r="F1215" i="1"/>
  <c r="E2404" i="1"/>
  <c r="A2284" i="1"/>
  <c r="A1458" i="1"/>
  <c r="D1112" i="1"/>
  <c r="C1057" i="1"/>
  <c r="E1901" i="1"/>
  <c r="F1569" i="1"/>
  <c r="B1611" i="1"/>
  <c r="E1563" i="1"/>
  <c r="C820" i="1"/>
  <c r="D1131" i="1"/>
  <c r="F1177" i="1"/>
  <c r="E871" i="1"/>
  <c r="E1214" i="1"/>
  <c r="D1336" i="1"/>
  <c r="D1231" i="1"/>
  <c r="E1244" i="1"/>
  <c r="E544" i="1"/>
  <c r="F2189" i="1"/>
  <c r="D1469" i="1"/>
  <c r="A1560" i="1"/>
  <c r="A795" i="1"/>
  <c r="A1012" i="1"/>
  <c r="A85" i="1"/>
  <c r="A552" i="1"/>
  <c r="E260" i="1"/>
  <c r="C1659" i="1"/>
  <c r="A1723" i="1"/>
  <c r="D2118" i="1"/>
  <c r="F304" i="2"/>
  <c r="C1155" i="1"/>
  <c r="B768" i="1"/>
  <c r="C585" i="1"/>
  <c r="B363" i="1"/>
  <c r="D824" i="1"/>
  <c r="C84" i="1"/>
  <c r="C2167" i="1"/>
  <c r="C1133" i="1"/>
  <c r="E481" i="1"/>
  <c r="D403" i="1"/>
  <c r="B1020" i="1"/>
  <c r="C917" i="1"/>
  <c r="E340" i="1"/>
  <c r="D978" i="1"/>
  <c r="B2009" i="1"/>
  <c r="C1793" i="1"/>
  <c r="C1753" i="1"/>
  <c r="A799" i="1"/>
  <c r="D434" i="1"/>
  <c r="B625" i="1"/>
  <c r="D321" i="1"/>
  <c r="E298" i="1"/>
  <c r="E314" i="1"/>
  <c r="C1161" i="1"/>
  <c r="C1221" i="1"/>
  <c r="E419" i="1"/>
  <c r="C154" i="1"/>
  <c r="D386" i="1"/>
  <c r="D507" i="1"/>
  <c r="F653" i="1"/>
  <c r="C1563" i="1"/>
  <c r="A1897" i="1"/>
  <c r="C1256" i="1"/>
  <c r="E12" i="1"/>
  <c r="E487" i="1"/>
  <c r="E104" i="1"/>
  <c r="B723" i="1"/>
  <c r="D422" i="1"/>
  <c r="B1477" i="1"/>
  <c r="D1451" i="1"/>
  <c r="E1503" i="1"/>
  <c r="D561" i="1"/>
  <c r="F2119" i="1"/>
  <c r="B962" i="1"/>
  <c r="D402" i="1"/>
  <c r="F332" i="1"/>
  <c r="F1311" i="1"/>
  <c r="A626" i="1"/>
  <c r="F2152" i="1"/>
  <c r="C1168" i="1"/>
  <c r="F1932" i="1"/>
  <c r="C180" i="1"/>
  <c r="D1513" i="1"/>
  <c r="E1192" i="1"/>
  <c r="E776" i="1"/>
  <c r="B904" i="1"/>
  <c r="A1763" i="1"/>
  <c r="E835" i="2"/>
  <c r="E1339" i="1"/>
  <c r="A681" i="1"/>
  <c r="C447" i="1"/>
  <c r="D1255" i="1"/>
  <c r="C2261" i="1"/>
  <c r="E1082" i="2"/>
  <c r="F2339" i="1"/>
  <c r="F859" i="2"/>
  <c r="C1873" i="1"/>
  <c r="C1714" i="1"/>
  <c r="D2501" i="1"/>
  <c r="C185" i="2"/>
  <c r="D1987" i="1"/>
  <c r="B523" i="2"/>
  <c r="F620" i="2"/>
  <c r="A1754" i="1"/>
  <c r="B1882" i="1"/>
  <c r="C1821" i="1"/>
  <c r="B1741" i="2"/>
  <c r="F2325" i="1"/>
  <c r="A2212" i="1"/>
  <c r="E661" i="2"/>
  <c r="D1854" i="1"/>
  <c r="E1921" i="1"/>
  <c r="D1435" i="1"/>
  <c r="A1912" i="1"/>
  <c r="F2050" i="1"/>
  <c r="D2310" i="1"/>
  <c r="B1977" i="1"/>
  <c r="A1661" i="1"/>
  <c r="E1898" i="1"/>
  <c r="E1480" i="1"/>
  <c r="C278" i="1"/>
  <c r="B1410" i="1"/>
  <c r="B1745" i="1"/>
  <c r="A1376" i="1"/>
  <c r="D2035" i="1"/>
  <c r="D2026" i="1"/>
  <c r="F940" i="1"/>
  <c r="F1515" i="1"/>
  <c r="D742" i="1"/>
  <c r="F2027" i="1"/>
  <c r="E1346" i="1"/>
  <c r="C398" i="2"/>
  <c r="B1937" i="1"/>
  <c r="F1975" i="1"/>
  <c r="D1193" i="1"/>
  <c r="E1211" i="1"/>
  <c r="D2103" i="1"/>
  <c r="D1790" i="1"/>
  <c r="C83" i="2"/>
  <c r="E1542" i="1"/>
  <c r="A827" i="1"/>
  <c r="F1635" i="1"/>
  <c r="E666" i="1"/>
  <c r="A1146" i="1"/>
  <c r="E123" i="1"/>
  <c r="A1304" i="1"/>
  <c r="E37" i="2"/>
  <c r="B2414" i="1"/>
  <c r="B1884" i="1"/>
  <c r="C1210" i="1"/>
  <c r="F1187" i="1"/>
  <c r="D1063" i="1"/>
  <c r="D2096" i="1"/>
  <c r="E1589" i="1"/>
  <c r="D1552" i="1"/>
  <c r="C449" i="1"/>
  <c r="E711" i="1"/>
  <c r="C395" i="1"/>
  <c r="A202" i="1"/>
  <c r="B1885" i="1"/>
  <c r="A1030" i="1"/>
  <c r="A589" i="1"/>
  <c r="B1843" i="1"/>
  <c r="D1546" i="1"/>
  <c r="B156" i="1"/>
  <c r="F2310" i="1"/>
  <c r="C1790" i="1"/>
  <c r="A1231" i="1"/>
  <c r="F1230" i="1"/>
  <c r="A1769" i="1"/>
  <c r="C2513" i="1"/>
  <c r="F1216" i="1"/>
  <c r="A1622" i="1"/>
  <c r="D482" i="2"/>
  <c r="D207" i="2"/>
  <c r="B2323" i="1"/>
  <c r="B1147" i="1"/>
  <c r="C530" i="2"/>
  <c r="D2198" i="1"/>
  <c r="C571" i="2"/>
  <c r="F1543" i="1"/>
  <c r="E2462" i="1"/>
  <c r="F141" i="2"/>
  <c r="E2394" i="1"/>
  <c r="D886" i="1"/>
  <c r="F1495" i="1"/>
  <c r="A1383" i="1"/>
  <c r="E1700" i="1"/>
  <c r="A768" i="1"/>
  <c r="F1711" i="1"/>
  <c r="D1728" i="1"/>
  <c r="E1345" i="1"/>
  <c r="C1787" i="1"/>
  <c r="D1500" i="1"/>
  <c r="E1347" i="1"/>
  <c r="F228" i="2"/>
  <c r="F2051" i="1"/>
  <c r="B46" i="2"/>
  <c r="E485" i="2"/>
  <c r="E1461" i="1"/>
  <c r="A2454" i="1"/>
  <c r="A1705" i="1"/>
  <c r="F1562" i="1"/>
  <c r="E1937" i="1"/>
  <c r="A2150" i="1"/>
  <c r="D1440" i="1"/>
  <c r="A1364" i="1"/>
  <c r="C2343" i="1"/>
  <c r="B1051" i="1"/>
  <c r="A1574" i="1"/>
  <c r="B2039" i="1"/>
  <c r="A2432" i="1"/>
  <c r="D1828" i="1"/>
  <c r="F1502" i="1"/>
  <c r="F1772" i="1"/>
  <c r="A2292" i="1"/>
  <c r="D1527" i="1"/>
  <c r="A1396" i="1"/>
  <c r="A1053" i="1"/>
  <c r="E2134" i="1"/>
  <c r="B1391" i="1"/>
  <c r="C1611" i="1"/>
  <c r="C1943" i="1"/>
  <c r="B2008" i="1"/>
  <c r="A1535" i="1"/>
  <c r="A2062" i="1"/>
  <c r="D2135" i="1"/>
  <c r="E1804" i="1"/>
  <c r="A1279" i="1"/>
  <c r="A2182" i="1"/>
  <c r="E1932" i="1"/>
  <c r="D950" i="1"/>
  <c r="C2002" i="1"/>
  <c r="B1878" i="1"/>
  <c r="C1973" i="1"/>
  <c r="C856" i="1"/>
  <c r="F1536" i="1"/>
  <c r="D567" i="2"/>
  <c r="F887" i="2"/>
  <c r="D436" i="2"/>
  <c r="E2066" i="1"/>
  <c r="C1351" i="1"/>
  <c r="C1648" i="1"/>
  <c r="E1394" i="1"/>
  <c r="F1286" i="1"/>
  <c r="C446" i="2"/>
  <c r="E2353" i="1"/>
  <c r="E1371" i="1"/>
  <c r="E1678" i="1"/>
  <c r="F1582" i="1"/>
  <c r="A1124" i="1"/>
  <c r="C2340" i="1"/>
  <c r="D536" i="1"/>
  <c r="D1501" i="1"/>
  <c r="D1293" i="1"/>
  <c r="F1556" i="1"/>
  <c r="E1165" i="1"/>
  <c r="C2001" i="1"/>
  <c r="E2176" i="1"/>
  <c r="B2430" i="1"/>
  <c r="D280" i="2"/>
  <c r="D663" i="2"/>
  <c r="E2285" i="1"/>
  <c r="A1419" i="1"/>
  <c r="C1734" i="1"/>
  <c r="E1812" i="1"/>
  <c r="C1621" i="1"/>
  <c r="E2137" i="1"/>
  <c r="B2037" i="1"/>
  <c r="E1257" i="1"/>
  <c r="A1647" i="1"/>
  <c r="D1528" i="1"/>
  <c r="E1384" i="1"/>
  <c r="E1662" i="1"/>
  <c r="B1283" i="2"/>
  <c r="C1803" i="1"/>
  <c r="C1779" i="1"/>
  <c r="C1560" i="1"/>
  <c r="A760" i="1"/>
  <c r="D1672" i="1"/>
  <c r="E1182" i="1"/>
  <c r="E1190" i="1"/>
  <c r="E1337" i="1"/>
  <c r="E1545" i="1"/>
  <c r="A1618" i="1"/>
  <c r="A1604" i="1"/>
  <c r="E1475" i="1"/>
  <c r="D1430" i="1"/>
  <c r="D1146" i="1"/>
  <c r="D1124" i="1"/>
  <c r="A1219" i="1"/>
  <c r="F1445" i="1"/>
  <c r="A1536" i="1"/>
  <c r="A545" i="1"/>
  <c r="E1754" i="1"/>
  <c r="E1125" i="1"/>
  <c r="E651" i="1"/>
  <c r="D757" i="1"/>
  <c r="E1637" i="1"/>
  <c r="A1039" i="1"/>
  <c r="B864" i="1"/>
  <c r="D691" i="2"/>
  <c r="B656" i="2"/>
  <c r="D1969" i="1"/>
  <c r="B2407" i="1"/>
  <c r="A2439" i="1"/>
  <c r="C2155" i="1"/>
  <c r="D762" i="2"/>
  <c r="E1395" i="2"/>
  <c r="C2449" i="1"/>
  <c r="B1953" i="1"/>
  <c r="A1864" i="1"/>
  <c r="B2135" i="1"/>
  <c r="C148" i="2"/>
  <c r="D1625" i="1"/>
  <c r="A1369" i="1"/>
  <c r="D1338" i="1"/>
  <c r="B1920" i="1"/>
  <c r="B1836" i="1"/>
  <c r="E1527" i="1"/>
  <c r="A2445" i="1"/>
  <c r="C1807" i="1"/>
  <c r="D2029" i="1"/>
  <c r="E208" i="2"/>
  <c r="D2151" i="1"/>
  <c r="F2195" i="1"/>
  <c r="E1795" i="1"/>
  <c r="A2159" i="1"/>
  <c r="B664" i="2"/>
  <c r="A2265" i="1"/>
  <c r="C1397" i="1"/>
  <c r="E1404" i="1"/>
  <c r="E1349" i="1"/>
  <c r="F736" i="1"/>
  <c r="B790" i="1"/>
  <c r="C1994" i="1"/>
  <c r="A869" i="1"/>
  <c r="E995" i="1"/>
  <c r="F2054" i="1"/>
  <c r="C1680" i="1"/>
  <c r="E1046" i="1"/>
  <c r="A1196" i="1"/>
  <c r="C1156" i="1"/>
  <c r="A481" i="1"/>
  <c r="F1050" i="1"/>
  <c r="F1093" i="1"/>
  <c r="C1622" i="1"/>
  <c r="F717" i="1"/>
  <c r="F1449" i="1"/>
  <c r="E1275" i="1"/>
  <c r="C1090" i="1"/>
  <c r="A2156" i="1"/>
  <c r="C1553" i="1"/>
  <c r="C1193" i="1"/>
  <c r="D1339" i="1"/>
  <c r="D1903" i="1"/>
  <c r="A1273" i="1"/>
  <c r="C1190" i="1"/>
  <c r="A1148" i="1"/>
  <c r="A750" i="1"/>
  <c r="B1045" i="1"/>
  <c r="B1088" i="1"/>
  <c r="E2046" i="1"/>
  <c r="C1151" i="1"/>
  <c r="F1439" i="1"/>
  <c r="B1236" i="1"/>
  <c r="B2428" i="1"/>
  <c r="C824" i="1"/>
  <c r="A1910" i="1"/>
  <c r="C2488" i="1"/>
  <c r="A1771" i="1"/>
  <c r="C1667" i="1"/>
  <c r="F2276" i="1"/>
  <c r="A1744" i="1"/>
  <c r="E1299" i="1"/>
  <c r="D1568" i="1"/>
  <c r="C1402" i="1"/>
  <c r="F1937" i="1"/>
  <c r="D775" i="2"/>
  <c r="B1099" i="1"/>
  <c r="F998" i="1"/>
  <c r="F242" i="1"/>
  <c r="F820" i="1"/>
  <c r="F715" i="1"/>
  <c r="F1133" i="1"/>
  <c r="E1148" i="1"/>
  <c r="E1261" i="1"/>
  <c r="F1484" i="1"/>
  <c r="B431" i="1"/>
  <c r="B1796" i="1"/>
  <c r="A2414" i="1"/>
  <c r="B495" i="2"/>
  <c r="C1543" i="1"/>
  <c r="B1811" i="1"/>
  <c r="D1836" i="1"/>
  <c r="C115" i="2"/>
  <c r="A1696" i="1"/>
  <c r="E1126" i="1"/>
  <c r="E546" i="1"/>
  <c r="F1472" i="1"/>
  <c r="C1160" i="1"/>
  <c r="C603" i="1"/>
  <c r="F944" i="1"/>
  <c r="F1870" i="1"/>
  <c r="A1073" i="1"/>
  <c r="D1076" i="1"/>
  <c r="A1343" i="1"/>
  <c r="B507" i="1"/>
  <c r="E1074" i="1"/>
  <c r="F1962" i="1"/>
  <c r="D1230" i="1"/>
  <c r="D2034" i="1"/>
  <c r="C286" i="1"/>
  <c r="C2262" i="1"/>
  <c r="A1623" i="1"/>
  <c r="B194" i="1"/>
  <c r="C659" i="1"/>
  <c r="C287" i="1"/>
  <c r="E222" i="2"/>
  <c r="E1843" i="1"/>
  <c r="F2458" i="1"/>
  <c r="D2248" i="1"/>
  <c r="D973" i="1"/>
  <c r="A1828" i="1"/>
  <c r="A1894" i="1"/>
  <c r="D2265" i="1"/>
  <c r="C1960" i="1"/>
  <c r="D1646" i="1"/>
  <c r="F907" i="1"/>
  <c r="E1103" i="1"/>
  <c r="D1347" i="1"/>
  <c r="F1712" i="1"/>
  <c r="B1220" i="1"/>
  <c r="C1202" i="1"/>
  <c r="D2067" i="1"/>
  <c r="B1671" i="1"/>
  <c r="E1364" i="1"/>
  <c r="E1307" i="1"/>
  <c r="E890" i="1"/>
  <c r="F1078" i="1"/>
  <c r="E1817" i="1"/>
  <c r="C2129" i="1"/>
  <c r="D154" i="2"/>
  <c r="C128" i="2"/>
  <c r="D937" i="1"/>
  <c r="F938" i="1"/>
  <c r="E1922" i="1"/>
  <c r="B2270" i="1"/>
  <c r="D1203" i="1"/>
  <c r="A1939" i="1"/>
  <c r="E863" i="1"/>
  <c r="A1654" i="1"/>
  <c r="A701" i="1"/>
  <c r="C1892" i="1"/>
  <c r="A1054" i="1"/>
  <c r="C938" i="1"/>
  <c r="D1582" i="1"/>
  <c r="C1295" i="1"/>
  <c r="E1717" i="1"/>
  <c r="E1474" i="1"/>
  <c r="E1281" i="1"/>
  <c r="D1344" i="1"/>
  <c r="F1468" i="1"/>
  <c r="B1073" i="1"/>
  <c r="D1102" i="1"/>
  <c r="D1879" i="1"/>
  <c r="E902" i="1"/>
  <c r="B1187" i="1"/>
  <c r="A969" i="1"/>
  <c r="F1267" i="1"/>
  <c r="A875" i="1"/>
  <c r="B1289" i="1"/>
  <c r="D523" i="1"/>
  <c r="E1048" i="1"/>
  <c r="B2112" i="1"/>
  <c r="E2470" i="1"/>
  <c r="C737" i="1"/>
  <c r="C270" i="2"/>
  <c r="B1251" i="1"/>
  <c r="B1785" i="1"/>
  <c r="E2370" i="1"/>
  <c r="F2061" i="1"/>
  <c r="E758" i="2"/>
  <c r="D11" i="2"/>
  <c r="F964" i="1"/>
  <c r="C266" i="1"/>
  <c r="C625" i="1"/>
  <c r="C432" i="1"/>
  <c r="A196" i="1"/>
  <c r="C293" i="1"/>
  <c r="E509" i="1"/>
  <c r="C187" i="1"/>
  <c r="F2442" i="1"/>
  <c r="E1737" i="1"/>
  <c r="B1125" i="1"/>
  <c r="B810" i="1"/>
  <c r="A1116" i="1"/>
  <c r="D1867" i="1"/>
  <c r="D1931" i="1"/>
  <c r="A353" i="1"/>
  <c r="D850" i="1"/>
  <c r="B1761" i="1"/>
  <c r="C1967" i="1"/>
  <c r="E2138" i="1"/>
  <c r="E1713" i="1"/>
  <c r="A1667" i="1"/>
  <c r="C1486" i="1"/>
  <c r="A1531" i="1"/>
  <c r="D966" i="2"/>
  <c r="B2340" i="1"/>
  <c r="C1080" i="1"/>
  <c r="F1023" i="1"/>
  <c r="A2256" i="1"/>
  <c r="C1955" i="1"/>
  <c r="B1183" i="1"/>
  <c r="D1108" i="1"/>
  <c r="E840" i="1"/>
  <c r="B956" i="1"/>
  <c r="F867" i="1"/>
  <c r="A723" i="1"/>
  <c r="C683" i="1"/>
  <c r="B953" i="1"/>
  <c r="F860" i="1"/>
  <c r="E603" i="1"/>
  <c r="E2385" i="1"/>
  <c r="A1670" i="1"/>
  <c r="A1119" i="1"/>
  <c r="B1754" i="1"/>
  <c r="C875" i="1"/>
  <c r="B1484" i="1"/>
  <c r="D2399" i="1"/>
  <c r="F1469" i="1"/>
  <c r="D1782" i="1"/>
  <c r="E2169" i="1"/>
  <c r="C2353" i="1"/>
  <c r="C515" i="1"/>
  <c r="D796" i="1"/>
  <c r="F1442" i="1"/>
  <c r="D1213" i="1"/>
  <c r="E1358" i="1"/>
  <c r="F1924" i="1"/>
  <c r="C2030" i="1"/>
  <c r="F1090" i="1"/>
  <c r="A622" i="1"/>
  <c r="F1371" i="1"/>
  <c r="B1588" i="1"/>
  <c r="E1403" i="1"/>
  <c r="F1350" i="1"/>
  <c r="C993" i="1"/>
  <c r="D1651" i="1"/>
  <c r="C1018" i="1"/>
  <c r="E1869" i="1"/>
  <c r="F1507" i="1"/>
  <c r="C1261" i="1"/>
  <c r="A1237" i="1"/>
  <c r="B1101" i="1"/>
  <c r="D1657" i="1"/>
  <c r="E1050" i="1"/>
  <c r="D1220" i="1"/>
  <c r="E1522" i="1"/>
  <c r="D1388" i="1"/>
  <c r="B99" i="1"/>
  <c r="C524" i="1"/>
  <c r="C712" i="1"/>
  <c r="B555" i="1"/>
  <c r="C1242" i="1"/>
  <c r="B1158" i="1"/>
  <c r="B1230" i="1"/>
  <c r="B1331" i="1"/>
  <c r="B658" i="1"/>
  <c r="A447" i="1"/>
  <c r="B1204" i="1"/>
  <c r="F811" i="1"/>
  <c r="F1139" i="1"/>
  <c r="E642" i="1"/>
  <c r="E1479" i="1"/>
  <c r="F762" i="1"/>
  <c r="B551" i="1"/>
  <c r="C1051" i="1"/>
  <c r="C926" i="1"/>
  <c r="B1476" i="1"/>
  <c r="B1702" i="1"/>
  <c r="B1603" i="1"/>
  <c r="A231" i="1"/>
  <c r="B781" i="1"/>
  <c r="A1287" i="1"/>
  <c r="A2372" i="1"/>
  <c r="A1180" i="1"/>
  <c r="D764" i="1"/>
  <c r="D644" i="1"/>
  <c r="C1401" i="1"/>
  <c r="A1065" i="1"/>
  <c r="C1016" i="1"/>
  <c r="B161" i="1"/>
  <c r="C819" i="1"/>
  <c r="F517" i="1"/>
  <c r="F248" i="1"/>
  <c r="E1180" i="1"/>
  <c r="F1088" i="1"/>
  <c r="E413" i="1"/>
  <c r="A945" i="1"/>
  <c r="A498" i="1"/>
  <c r="D464" i="1"/>
  <c r="F1011" i="1"/>
  <c r="A2308" i="1"/>
  <c r="F2478" i="1"/>
  <c r="E1736" i="1"/>
  <c r="F47" i="2"/>
  <c r="D843" i="1"/>
  <c r="B1424" i="1"/>
  <c r="E317" i="1"/>
  <c r="B1412" i="1"/>
  <c r="D899" i="2"/>
  <c r="A2330" i="1"/>
  <c r="C1760" i="1"/>
  <c r="F1315" i="1"/>
  <c r="C1720" i="1"/>
  <c r="D2235" i="1"/>
  <c r="B1724" i="1"/>
  <c r="A911" i="1"/>
  <c r="F1205" i="1"/>
  <c r="E1086" i="1"/>
  <c r="B62" i="2"/>
  <c r="B2337" i="1"/>
  <c r="F1234" i="1"/>
  <c r="F1627" i="1"/>
  <c r="D1489" i="1"/>
  <c r="D847" i="1"/>
  <c r="B1253" i="1"/>
  <c r="B1170" i="1"/>
  <c r="C2327" i="1"/>
  <c r="D1529" i="1"/>
  <c r="D1768" i="1"/>
  <c r="C2358" i="1"/>
  <c r="E988" i="1"/>
  <c r="C1131" i="1"/>
  <c r="A1209" i="1"/>
  <c r="C1075" i="1"/>
  <c r="F1342" i="1"/>
  <c r="F987" i="1"/>
  <c r="D723" i="1"/>
  <c r="D915" i="1"/>
  <c r="E1061" i="1"/>
  <c r="C1528" i="1"/>
  <c r="E1709" i="1"/>
  <c r="D1016" i="2"/>
  <c r="C1532" i="1"/>
  <c r="F1573" i="2"/>
  <c r="F977" i="1"/>
  <c r="E1135" i="1"/>
  <c r="D770" i="1"/>
  <c r="B1108" i="1"/>
  <c r="D875" i="1"/>
  <c r="C1204" i="1"/>
  <c r="B1022" i="1"/>
  <c r="B512" i="1"/>
  <c r="C1833" i="1"/>
  <c r="B798" i="2"/>
  <c r="F2139" i="1"/>
  <c r="E192" i="2"/>
  <c r="F1359" i="1"/>
  <c r="F1106" i="1"/>
  <c r="C1824" i="1"/>
  <c r="A1786" i="1"/>
  <c r="B1838" i="1"/>
  <c r="A1624" i="1"/>
  <c r="C968" i="1"/>
  <c r="E1365" i="1"/>
  <c r="F1689" i="1"/>
  <c r="F1006" i="1"/>
  <c r="A1284" i="1"/>
  <c r="C1764" i="1"/>
  <c r="E1530" i="1"/>
  <c r="D1898" i="1"/>
  <c r="B990" i="1"/>
  <c r="A104" i="1"/>
  <c r="D1028" i="1"/>
  <c r="D1994" i="1"/>
  <c r="E373" i="1"/>
  <c r="C600" i="1"/>
  <c r="C361" i="1"/>
  <c r="B218" i="2"/>
  <c r="E520" i="1"/>
  <c r="B1013" i="1"/>
  <c r="F1511" i="1"/>
  <c r="A623" i="1"/>
  <c r="E2239" i="1"/>
  <c r="A1222" i="1"/>
  <c r="E767" i="1"/>
  <c r="C1373" i="1"/>
  <c r="D1202" i="1"/>
  <c r="C1761" i="1"/>
  <c r="D1592" i="1"/>
  <c r="D1649" i="1"/>
  <c r="B540" i="1"/>
  <c r="A690" i="1"/>
  <c r="E337" i="1"/>
  <c r="C873" i="1"/>
  <c r="A1032" i="1"/>
  <c r="B643" i="1"/>
  <c r="F696" i="1"/>
  <c r="D990" i="1"/>
  <c r="A201" i="1"/>
  <c r="C532" i="1"/>
  <c r="E1189" i="1"/>
  <c r="A1533" i="1"/>
  <c r="E740" i="1"/>
  <c r="A581" i="1"/>
  <c r="A656" i="1"/>
  <c r="D709" i="1"/>
  <c r="C72" i="1"/>
  <c r="C534" i="1"/>
  <c r="A1765" i="1"/>
  <c r="F2112" i="1"/>
  <c r="A1571" i="1"/>
  <c r="A19" i="1"/>
  <c r="A518" i="1"/>
  <c r="F1526" i="1"/>
  <c r="D1392" i="1"/>
  <c r="A1380" i="1"/>
  <c r="B1328" i="1"/>
  <c r="B1854" i="1"/>
  <c r="B1547" i="1"/>
  <c r="C1032" i="1"/>
  <c r="A1108" i="1"/>
  <c r="E2135" i="1"/>
  <c r="B1998" i="1"/>
  <c r="B1597" i="1"/>
  <c r="F842" i="1"/>
  <c r="A1498" i="1"/>
  <c r="F1170" i="1"/>
  <c r="E448" i="1"/>
  <c r="B1361" i="1"/>
  <c r="E1377" i="1"/>
  <c r="B428" i="1"/>
  <c r="E1598" i="1"/>
  <c r="C689" i="1"/>
  <c r="C229" i="1"/>
  <c r="F2037" i="1"/>
  <c r="E1106" i="1"/>
  <c r="F979" i="1"/>
  <c r="B666" i="1"/>
  <c r="A74" i="1"/>
  <c r="E694" i="1"/>
  <c r="C2115" i="1"/>
  <c r="F2179" i="1"/>
  <c r="F1202" i="1"/>
  <c r="B2426" i="1"/>
  <c r="E1776" i="1"/>
  <c r="C874" i="2"/>
  <c r="B2503" i="1"/>
  <c r="B107" i="1"/>
  <c r="E505" i="1"/>
  <c r="C1660" i="1"/>
  <c r="C714" i="2"/>
  <c r="D1313" i="1"/>
  <c r="F1576" i="1"/>
  <c r="A1472" i="1"/>
  <c r="C775" i="1"/>
  <c r="E236" i="1"/>
  <c r="D1689" i="1"/>
  <c r="B465" i="1"/>
  <c r="A789" i="1"/>
  <c r="D157" i="1"/>
  <c r="F351" i="1"/>
  <c r="D389" i="1"/>
  <c r="E238" i="1"/>
  <c r="A1357" i="1"/>
  <c r="B1248" i="1"/>
  <c r="C1784" i="1"/>
  <c r="A1338" i="1"/>
  <c r="B379" i="1"/>
  <c r="B998" i="1"/>
  <c r="D227" i="1"/>
  <c r="E144" i="1"/>
  <c r="A325" i="1"/>
  <c r="F410" i="2"/>
  <c r="F1996" i="1"/>
  <c r="C1689" i="1"/>
  <c r="F2331" i="1"/>
  <c r="B991" i="1"/>
  <c r="D1926" i="1"/>
  <c r="E1092" i="1"/>
  <c r="E1857" i="1"/>
  <c r="F1091" i="1"/>
  <c r="D600" i="1"/>
  <c r="D1415" i="1"/>
  <c r="F1204" i="1"/>
  <c r="B1970" i="1"/>
  <c r="D1253" i="1"/>
  <c r="E1400" i="1"/>
  <c r="E1401" i="1"/>
  <c r="E1593" i="1"/>
  <c r="B730" i="1"/>
  <c r="B1333" i="1"/>
  <c r="E690" i="1"/>
  <c r="A1512" i="1"/>
  <c r="D456" i="1"/>
  <c r="C666" i="1"/>
  <c r="B160" i="1"/>
  <c r="D1282" i="1"/>
  <c r="F2145" i="1"/>
  <c r="D1992" i="1"/>
  <c r="A1358" i="1"/>
  <c r="F1052" i="2"/>
  <c r="E962" i="1"/>
  <c r="A1306" i="1"/>
  <c r="E426" i="1"/>
  <c r="D1995" i="1"/>
  <c r="E2415" i="1"/>
  <c r="F45" i="2"/>
  <c r="C1268" i="1"/>
  <c r="E1098" i="1"/>
  <c r="C1372" i="1"/>
  <c r="C1684" i="1"/>
  <c r="E787" i="1"/>
  <c r="D10" i="1"/>
  <c r="F1203" i="1"/>
  <c r="A1270" i="1"/>
  <c r="B370" i="1"/>
  <c r="D425" i="1"/>
  <c r="F519" i="1"/>
  <c r="C680" i="1"/>
  <c r="B367" i="1"/>
  <c r="C2060" i="1"/>
  <c r="D1486" i="1"/>
  <c r="D380" i="2"/>
  <c r="F684" i="1"/>
  <c r="B735" i="1"/>
  <c r="A87" i="1"/>
  <c r="F553" i="1"/>
  <c r="A212" i="1"/>
  <c r="D1095" i="1"/>
  <c r="B1191" i="2"/>
  <c r="D1713" i="1"/>
  <c r="B343" i="1"/>
  <c r="F919" i="1"/>
  <c r="F1031" i="1"/>
  <c r="C1198" i="1"/>
  <c r="F1832" i="1"/>
  <c r="C1604" i="1"/>
  <c r="E1541" i="1"/>
  <c r="C1309" i="1"/>
  <c r="E1055" i="1"/>
  <c r="A1158" i="1"/>
  <c r="D913" i="1"/>
  <c r="C699" i="1"/>
  <c r="D2495" i="1"/>
  <c r="E897" i="1"/>
  <c r="E1739" i="1"/>
  <c r="F1196" i="1"/>
  <c r="B948" i="1"/>
  <c r="F2134" i="1"/>
  <c r="C1722" i="1"/>
  <c r="B732" i="1"/>
  <c r="A1496" i="1"/>
  <c r="E878" i="1"/>
  <c r="F937" i="1"/>
  <c r="E212" i="1"/>
  <c r="B1426" i="1"/>
  <c r="C1306" i="1"/>
  <c r="F729" i="1"/>
  <c r="D234" i="1"/>
  <c r="E816" i="1"/>
  <c r="B903" i="1"/>
  <c r="B1776" i="1"/>
  <c r="C942" i="1"/>
  <c r="C685" i="1"/>
  <c r="F680" i="1"/>
  <c r="A475" i="1"/>
  <c r="E636" i="1"/>
  <c r="B2343" i="1"/>
  <c r="F732" i="1"/>
  <c r="A1826" i="1"/>
  <c r="A1236" i="1"/>
  <c r="D958" i="1"/>
  <c r="C1046" i="1"/>
  <c r="A2112" i="1"/>
  <c r="D575" i="1"/>
  <c r="C339" i="1"/>
  <c r="E617" i="1"/>
  <c r="E1825" i="1"/>
  <c r="F132" i="1"/>
  <c r="E1554" i="1"/>
  <c r="A1603" i="1"/>
  <c r="C1243" i="1"/>
  <c r="E408" i="1"/>
  <c r="B814" i="1"/>
  <c r="C1845" i="1"/>
  <c r="F1051" i="1"/>
  <c r="E1397" i="1"/>
  <c r="E1411" i="1"/>
  <c r="E1549" i="1"/>
  <c r="F1120" i="1"/>
  <c r="A1024" i="1"/>
  <c r="E1021" i="1"/>
  <c r="F522" i="1"/>
  <c r="A2048" i="1"/>
  <c r="A1444" i="1"/>
  <c r="A672" i="1"/>
  <c r="F1849" i="1"/>
  <c r="B887" i="1"/>
  <c r="A631" i="1"/>
  <c r="D447" i="1"/>
  <c r="C792" i="1"/>
  <c r="D894" i="1"/>
  <c r="E753" i="1"/>
  <c r="D167" i="1"/>
  <c r="C604" i="1"/>
  <c r="D219" i="1"/>
  <c r="D142" i="1"/>
  <c r="C95" i="1"/>
  <c r="E983" i="1"/>
  <c r="A1476" i="1"/>
  <c r="B543" i="1"/>
  <c r="D820" i="1"/>
  <c r="F268" i="1"/>
  <c r="E347" i="1"/>
  <c r="F156" i="1"/>
  <c r="D811" i="1"/>
  <c r="E1851" i="1"/>
  <c r="A1967" i="1"/>
  <c r="F2110" i="1"/>
  <c r="A1567" i="1"/>
  <c r="F413" i="1"/>
  <c r="E17" i="1"/>
  <c r="E605" i="1"/>
  <c r="C143" i="1"/>
  <c r="F1510" i="1"/>
  <c r="C1741" i="1"/>
  <c r="E684" i="1"/>
  <c r="E707" i="1"/>
  <c r="C1395" i="1"/>
  <c r="D1412" i="1"/>
  <c r="A1409" i="1"/>
  <c r="F1298" i="1"/>
  <c r="C516" i="2"/>
  <c r="E1719" i="1"/>
  <c r="D1973" i="1"/>
  <c r="F1226" i="1"/>
  <c r="A840" i="1"/>
  <c r="F1300" i="1"/>
  <c r="C826" i="1"/>
  <c r="C55" i="1"/>
  <c r="D1274" i="1"/>
  <c r="E1351" i="1"/>
  <c r="B2232" i="1"/>
  <c r="B653" i="1"/>
  <c r="E610" i="1"/>
  <c r="D477" i="1"/>
  <c r="D428" i="1"/>
  <c r="D698" i="1"/>
  <c r="A1326" i="1"/>
  <c r="B594" i="1"/>
  <c r="E1653" i="1"/>
  <c r="F606" i="1"/>
  <c r="D1474" i="1"/>
  <c r="A251" i="1"/>
  <c r="D325" i="1"/>
  <c r="E168" i="1"/>
  <c r="F1726" i="1"/>
  <c r="D1369" i="1"/>
  <c r="B925" i="1"/>
  <c r="E277" i="2"/>
  <c r="D837" i="1"/>
  <c r="D480" i="1"/>
  <c r="F21" i="1"/>
  <c r="C763" i="1"/>
  <c r="C1245" i="1"/>
  <c r="C810" i="1"/>
  <c r="A950" i="1"/>
  <c r="E2198" i="1"/>
  <c r="B1576" i="1"/>
  <c r="B663" i="1"/>
  <c r="C181" i="1"/>
  <c r="E904" i="1"/>
  <c r="C1208" i="1"/>
  <c r="F790" i="1"/>
  <c r="B257" i="1"/>
  <c r="C2016" i="1"/>
  <c r="C1235" i="1"/>
  <c r="F368" i="1"/>
  <c r="B1552" i="1"/>
  <c r="F986" i="1"/>
  <c r="A803" i="1"/>
  <c r="E1464" i="1"/>
  <c r="C1456" i="1"/>
  <c r="C731" i="1"/>
  <c r="B872" i="1"/>
  <c r="D378" i="1"/>
  <c r="A697" i="1"/>
  <c r="E216" i="1"/>
  <c r="A1327" i="1"/>
  <c r="A2128" i="1"/>
  <c r="C611" i="1"/>
  <c r="C1752" i="1"/>
  <c r="C922" i="1"/>
  <c r="B1195" i="1"/>
  <c r="C816" i="1"/>
  <c r="A1542" i="1"/>
  <c r="D1915" i="1"/>
  <c r="F1508" i="1"/>
  <c r="F2293" i="1"/>
  <c r="C1461" i="1"/>
  <c r="E945" i="1"/>
  <c r="C30" i="1"/>
  <c r="F899" i="1"/>
  <c r="A1539" i="1"/>
  <c r="F753" i="1"/>
  <c r="B945" i="1"/>
  <c r="D1496" i="1"/>
  <c r="C1081" i="1"/>
  <c r="E1506" i="1"/>
  <c r="E2303" i="1"/>
  <c r="D1522" i="1"/>
  <c r="C226" i="1"/>
  <c r="A1651" i="1"/>
  <c r="C886" i="1"/>
  <c r="F61" i="1"/>
  <c r="D974" i="1"/>
  <c r="B927" i="1"/>
  <c r="B1105" i="1"/>
  <c r="E551" i="1"/>
  <c r="D616" i="1"/>
  <c r="D361" i="1"/>
  <c r="D674" i="1"/>
  <c r="E696" i="1"/>
  <c r="F9" i="1"/>
  <c r="E73" i="1"/>
  <c r="D596" i="1"/>
  <c r="E235" i="1"/>
  <c r="A83" i="1"/>
  <c r="C1561" i="1"/>
  <c r="A781" i="1"/>
  <c r="A124" i="1"/>
  <c r="D553" i="1"/>
  <c r="F29" i="1"/>
  <c r="F2047" i="1"/>
  <c r="C223" i="1"/>
  <c r="C665" i="1"/>
  <c r="D324" i="1"/>
  <c r="B234" i="1"/>
  <c r="A849" i="1"/>
  <c r="C239" i="1"/>
  <c r="A23" i="1"/>
  <c r="A922" i="1"/>
  <c r="E111" i="1"/>
  <c r="C1919" i="1"/>
  <c r="B1382" i="1"/>
  <c r="B690" i="1"/>
  <c r="D1010" i="1"/>
  <c r="A506" i="1"/>
  <c r="A704" i="1"/>
  <c r="E325" i="1"/>
  <c r="E1362" i="1"/>
  <c r="B259" i="1"/>
  <c r="C96" i="1"/>
  <c r="E355" i="1"/>
  <c r="D576" i="1"/>
  <c r="F216" i="1"/>
  <c r="B803" i="1"/>
  <c r="A1153" i="1"/>
  <c r="E148" i="1"/>
  <c r="C645" i="1"/>
  <c r="E951" i="1"/>
  <c r="E667" i="1"/>
  <c r="F1602" i="1"/>
  <c r="F518" i="1"/>
  <c r="D231" i="1"/>
  <c r="F1059" i="1"/>
  <c r="F1383" i="1"/>
  <c r="E1809" i="1"/>
  <c r="F1575" i="1"/>
  <c r="E442" i="1"/>
  <c r="F909" i="1"/>
  <c r="B1326" i="1"/>
  <c r="C1814" i="1"/>
  <c r="F1608" i="1"/>
  <c r="F1611" i="1"/>
  <c r="E811" i="1"/>
  <c r="F59" i="1"/>
  <c r="A156" i="1"/>
  <c r="C840" i="1"/>
  <c r="C720" i="1"/>
  <c r="F63" i="1"/>
  <c r="B623" i="1"/>
  <c r="B262" i="1"/>
  <c r="D944" i="1"/>
  <c r="E117" i="1"/>
  <c r="E415" i="1"/>
  <c r="D786" i="1"/>
  <c r="E49" i="1"/>
  <c r="C961" i="1"/>
  <c r="C391" i="1"/>
  <c r="E625" i="1"/>
  <c r="E1454" i="1"/>
  <c r="E28" i="1"/>
  <c r="A1290" i="1"/>
  <c r="A406" i="1"/>
  <c r="A372" i="1"/>
  <c r="A584" i="1"/>
  <c r="B215" i="1"/>
  <c r="A512" i="1"/>
  <c r="F387" i="1"/>
  <c r="E567" i="1"/>
  <c r="A42" i="1"/>
  <c r="E364" i="1"/>
  <c r="F709" i="1"/>
  <c r="B43" i="1"/>
  <c r="B233" i="1"/>
  <c r="C808" i="1"/>
  <c r="D54" i="1"/>
  <c r="A440" i="1"/>
  <c r="B721" i="1"/>
  <c r="A300" i="1"/>
  <c r="C1518" i="2"/>
  <c r="E1311" i="2"/>
  <c r="A1833" i="1"/>
  <c r="A1247" i="1"/>
  <c r="D1480" i="1"/>
  <c r="B1491" i="1"/>
  <c r="E782" i="1"/>
  <c r="C760" i="1"/>
  <c r="D368" i="2"/>
  <c r="B1376" i="1"/>
  <c r="F1899" i="1"/>
  <c r="D2446" i="1"/>
  <c r="F2143" i="1"/>
  <c r="A1239" i="1"/>
  <c r="F1766" i="1"/>
  <c r="D1818" i="1"/>
  <c r="F2187" i="1"/>
  <c r="A881" i="1"/>
  <c r="C1531" i="1"/>
  <c r="B866" i="1"/>
  <c r="E1628" i="1"/>
  <c r="C2284" i="1"/>
  <c r="B1604" i="1"/>
  <c r="D1196" i="1"/>
  <c r="C1808" i="1"/>
  <c r="B818" i="1"/>
  <c r="A2170" i="1"/>
  <c r="B2080" i="1"/>
  <c r="E209" i="2"/>
  <c r="F1956" i="1"/>
  <c r="D1152" i="1"/>
  <c r="D1194" i="1"/>
  <c r="D1461" i="1"/>
  <c r="A1081" i="1"/>
  <c r="C1578" i="1"/>
  <c r="F1188" i="1"/>
  <c r="D1785" i="1"/>
  <c r="E1119" i="1"/>
  <c r="C984" i="1"/>
  <c r="B491" i="1"/>
  <c r="E1161" i="1"/>
  <c r="E2067" i="1"/>
  <c r="D892" i="1"/>
  <c r="C1237" i="1"/>
  <c r="E1948" i="1"/>
  <c r="A1594" i="1"/>
  <c r="D1470" i="1"/>
  <c r="C1014" i="1"/>
  <c r="F2158" i="1"/>
  <c r="F1164" i="1"/>
  <c r="A2052" i="1"/>
  <c r="D1360" i="1"/>
  <c r="E1702" i="1"/>
  <c r="F280" i="2"/>
  <c r="D1295" i="1"/>
  <c r="F1436" i="1"/>
  <c r="E1110" i="1"/>
  <c r="F1771" i="1"/>
  <c r="E1166" i="1"/>
  <c r="C1123" i="1"/>
  <c r="F505" i="2"/>
  <c r="A393" i="1"/>
  <c r="A546" i="1"/>
  <c r="D479" i="1"/>
  <c r="D1381" i="1"/>
  <c r="A1216" i="1"/>
  <c r="D718" i="1"/>
  <c r="E300" i="1"/>
  <c r="E748" i="1"/>
  <c r="B632" i="1"/>
  <c r="C965" i="1"/>
  <c r="B190" i="1"/>
  <c r="A1731" i="1"/>
  <c r="D2304" i="1"/>
  <c r="D1140" i="1"/>
  <c r="D1631" i="1"/>
  <c r="D1233" i="2"/>
  <c r="D2184" i="1"/>
  <c r="A1522" i="1"/>
  <c r="E1195" i="1"/>
  <c r="A1333" i="1"/>
  <c r="F1803" i="1"/>
  <c r="E1451" i="1"/>
  <c r="C273" i="1"/>
  <c r="D1471" i="1"/>
  <c r="F923" i="1"/>
  <c r="D1370" i="1"/>
  <c r="F920" i="1"/>
  <c r="F1545" i="1"/>
  <c r="C2328" i="1"/>
  <c r="F1408" i="1"/>
  <c r="F1863" i="1"/>
  <c r="F487" i="1"/>
  <c r="A776" i="1"/>
  <c r="C1783" i="1"/>
  <c r="E2335" i="1"/>
  <c r="D1240" i="1"/>
  <c r="E779" i="1"/>
  <c r="C697" i="1"/>
  <c r="A191" i="1"/>
  <c r="B1503" i="1"/>
  <c r="F2283" i="1"/>
  <c r="B2220" i="1"/>
  <c r="E1083" i="1"/>
  <c r="A613" i="1"/>
  <c r="D249" i="2"/>
  <c r="F1901" i="1"/>
  <c r="E239" i="2"/>
  <c r="F2414" i="1"/>
  <c r="B1966" i="1"/>
  <c r="C1517" i="1"/>
  <c r="E859" i="1"/>
  <c r="E278" i="1"/>
  <c r="E209" i="1"/>
  <c r="C61" i="1"/>
  <c r="B591" i="1"/>
  <c r="A1851" i="1"/>
  <c r="A1473" i="1"/>
  <c r="B1188" i="1"/>
  <c r="E1183" i="1"/>
  <c r="D1446" i="1"/>
  <c r="F67" i="1"/>
  <c r="C509" i="1"/>
  <c r="A610" i="1"/>
  <c r="F1217" i="1"/>
  <c r="F1225" i="1"/>
  <c r="F895" i="1"/>
  <c r="A1276" i="1"/>
  <c r="E329" i="1"/>
  <c r="F116" i="1"/>
  <c r="E226" i="1"/>
  <c r="E259" i="1"/>
  <c r="D651" i="1"/>
  <c r="F469" i="1"/>
  <c r="C1132" i="1"/>
  <c r="D768" i="1"/>
  <c r="E581" i="1"/>
  <c r="C1371" i="1"/>
  <c r="C1042" i="1"/>
  <c r="B1620" i="1"/>
  <c r="D1115" i="1"/>
  <c r="C555" i="2"/>
  <c r="E1570" i="1"/>
  <c r="C2462" i="1"/>
  <c r="A1337" i="1"/>
  <c r="C1914" i="1"/>
  <c r="E1488" i="1"/>
  <c r="C605" i="1"/>
  <c r="C2481" i="1"/>
  <c r="E145" i="1"/>
  <c r="E1620" i="1"/>
  <c r="D2056" i="1"/>
  <c r="A1249" i="1"/>
  <c r="E640" i="1"/>
  <c r="F768" i="1"/>
  <c r="C1883" i="1"/>
  <c r="F1684" i="1"/>
  <c r="A473" i="1"/>
  <c r="F1804" i="1"/>
  <c r="F1666" i="1"/>
  <c r="B1079" i="1"/>
  <c r="A253" i="1"/>
  <c r="D391" i="1"/>
  <c r="F1319" i="1"/>
  <c r="F1590" i="1"/>
  <c r="F1672" i="1"/>
  <c r="C2474" i="1"/>
  <c r="A2109" i="1"/>
  <c r="F1009" i="1"/>
  <c r="A999" i="1"/>
  <c r="B2003" i="1"/>
  <c r="A1257" i="1"/>
  <c r="F2243" i="1"/>
  <c r="F1742" i="1"/>
  <c r="A1640" i="1"/>
  <c r="A826" i="1"/>
  <c r="E1759" i="1"/>
  <c r="E540" i="1"/>
  <c r="B1017" i="1"/>
  <c r="A309" i="1"/>
  <c r="C1451" i="1"/>
  <c r="C1050" i="1"/>
  <c r="A650" i="1"/>
  <c r="E1894" i="1"/>
  <c r="F633" i="1"/>
  <c r="D699" i="1"/>
  <c r="D727" i="1"/>
  <c r="F615" i="1"/>
  <c r="F1570" i="1"/>
  <c r="E800" i="1"/>
  <c r="B1000" i="1"/>
  <c r="C252" i="1"/>
  <c r="D646" i="1"/>
  <c r="D486" i="1"/>
  <c r="D338" i="1"/>
  <c r="B581" i="1"/>
  <c r="B1343" i="1"/>
  <c r="B142" i="2"/>
  <c r="E2081" i="1"/>
  <c r="A49" i="1"/>
  <c r="A1278" i="1"/>
  <c r="C257" i="1"/>
  <c r="C485" i="1"/>
  <c r="A397" i="1"/>
  <c r="D874" i="1"/>
  <c r="A2105" i="1"/>
  <c r="A2416" i="1"/>
  <c r="A1055" i="1"/>
  <c r="A896" i="1"/>
  <c r="A1525" i="1"/>
  <c r="E875" i="1"/>
  <c r="E277" i="1"/>
  <c r="B1475" i="1"/>
  <c r="B1290" i="1"/>
  <c r="E1112" i="1"/>
  <c r="B1234" i="1"/>
  <c r="A1677" i="1"/>
  <c r="D1345" i="1"/>
  <c r="E344" i="2"/>
  <c r="D2193" i="1"/>
  <c r="D1869" i="1"/>
  <c r="B954" i="1"/>
  <c r="B1675" i="1"/>
  <c r="D2149" i="1"/>
  <c r="B122" i="1"/>
  <c r="D1406" i="1"/>
  <c r="D1509" i="1"/>
  <c r="E1827" i="1"/>
  <c r="D1880" i="1"/>
  <c r="C2010" i="1"/>
  <c r="F1422" i="1"/>
  <c r="B2157" i="1"/>
  <c r="E921" i="1"/>
  <c r="F2393" i="1"/>
  <c r="F2346" i="1"/>
  <c r="B2448" i="1"/>
  <c r="F2449" i="1"/>
  <c r="E1440" i="1"/>
  <c r="A2114" i="1"/>
  <c r="B1767" i="1"/>
  <c r="B1336" i="1"/>
  <c r="B1612" i="1"/>
  <c r="C1462" i="1"/>
  <c r="F1837" i="1"/>
  <c r="B1362" i="1"/>
  <c r="E1217" i="1"/>
  <c r="A2055" i="1"/>
  <c r="E2062" i="1"/>
  <c r="F904" i="1"/>
  <c r="B1085" i="1"/>
  <c r="E898" i="1"/>
  <c r="F1080" i="1"/>
  <c r="D2449" i="1"/>
  <c r="C1137" i="1"/>
  <c r="A1329" i="1"/>
  <c r="F1685" i="1"/>
  <c r="B997" i="1"/>
  <c r="C1639" i="1"/>
  <c r="C1164" i="1"/>
  <c r="B2245" i="1"/>
  <c r="C1455" i="1"/>
  <c r="C1480" i="1"/>
  <c r="B2513" i="1"/>
  <c r="D1475" i="1"/>
  <c r="E1292" i="1"/>
  <c r="C1392" i="1"/>
  <c r="B1963" i="1"/>
  <c r="A1374" i="1"/>
  <c r="D1597" i="1"/>
  <c r="D988" i="1"/>
  <c r="F1437" i="1"/>
  <c r="A2299" i="1"/>
  <c r="B2327" i="1"/>
  <c r="C2446" i="1"/>
  <c r="F1257" i="1"/>
  <c r="C1356" i="1"/>
  <c r="A1863" i="1"/>
  <c r="F1781" i="1"/>
  <c r="E1254" i="1"/>
  <c r="E1302" i="1"/>
  <c r="B1821" i="1"/>
  <c r="B1278" i="1"/>
  <c r="C1040" i="1"/>
  <c r="C1166" i="1"/>
  <c r="A665" i="1"/>
  <c r="B605" i="1"/>
  <c r="A986" i="1"/>
  <c r="A1519" i="1"/>
  <c r="F1573" i="1"/>
  <c r="A399" i="1"/>
  <c r="A1579" i="1"/>
  <c r="D1114" i="1"/>
  <c r="D777" i="1"/>
  <c r="F794" i="1"/>
  <c r="A812" i="1"/>
  <c r="E2101" i="1"/>
  <c r="B734" i="1"/>
  <c r="B1294" i="1"/>
  <c r="F809" i="1"/>
  <c r="F235" i="1"/>
  <c r="B477" i="1"/>
  <c r="F52" i="1"/>
  <c r="B1755" i="1"/>
  <c r="D1757" i="1"/>
  <c r="F1181" i="1"/>
  <c r="C2107" i="1"/>
  <c r="E1321" i="1"/>
  <c r="B454" i="1"/>
  <c r="B439" i="1"/>
  <c r="B571" i="1"/>
  <c r="B1151" i="1"/>
  <c r="F766" i="1"/>
  <c r="A1470" i="1"/>
  <c r="C823" i="1"/>
  <c r="B708" i="1"/>
  <c r="A936" i="1"/>
  <c r="A160" i="1"/>
  <c r="A980" i="1"/>
  <c r="B1157" i="1"/>
  <c r="A1989" i="1"/>
  <c r="B1951" i="1"/>
  <c r="B755" i="1"/>
  <c r="C462" i="1"/>
  <c r="C630" i="1"/>
  <c r="E1100" i="1"/>
  <c r="F689" i="1"/>
  <c r="D1534" i="1"/>
  <c r="F1550" i="1"/>
  <c r="F1609" i="1"/>
  <c r="B407" i="1"/>
  <c r="C356" i="1"/>
  <c r="D25" i="1"/>
  <c r="A242" i="1"/>
  <c r="C219" i="1"/>
  <c r="C1585" i="1"/>
  <c r="A1546" i="1"/>
  <c r="C1661" i="1"/>
  <c r="A1404" i="1"/>
  <c r="A1160" i="1"/>
  <c r="C1751" i="1"/>
  <c r="B1684" i="1"/>
  <c r="F2133" i="1"/>
  <c r="C1284" i="1"/>
  <c r="A579" i="1"/>
  <c r="D1431" i="1"/>
  <c r="F1010" i="1"/>
  <c r="C2072" i="1"/>
  <c r="A955" i="1"/>
  <c r="F542" i="1"/>
  <c r="E275" i="1"/>
  <c r="F664" i="1"/>
  <c r="B2213" i="1"/>
  <c r="F2080" i="1"/>
  <c r="F2183" i="1"/>
  <c r="A1068" i="1"/>
  <c r="C457" i="1"/>
  <c r="A172" i="1"/>
  <c r="E608" i="1"/>
  <c r="C1631" i="1"/>
  <c r="E2513" i="1"/>
  <c r="A1891" i="1"/>
  <c r="D1060" i="1"/>
  <c r="F1038" i="1"/>
  <c r="F1788" i="1"/>
  <c r="A328" i="1"/>
  <c r="A785" i="1"/>
  <c r="E2164" i="1"/>
  <c r="F2155" i="1"/>
  <c r="F1368" i="1"/>
  <c r="D1018" i="1"/>
  <c r="A292" i="1"/>
  <c r="D655" i="1"/>
  <c r="A408" i="1"/>
  <c r="D832" i="1"/>
  <c r="A1001" i="1"/>
  <c r="A298" i="1"/>
  <c r="C1619" i="1"/>
  <c r="E601" i="1"/>
  <c r="F567" i="1"/>
  <c r="B745" i="1"/>
  <c r="A53" i="1"/>
  <c r="C1292" i="1"/>
  <c r="C1290" i="1"/>
  <c r="F1845" i="1"/>
  <c r="D1143" i="1"/>
  <c r="A982" i="1"/>
  <c r="D500" i="1"/>
  <c r="C937" i="1"/>
  <c r="C212" i="1"/>
  <c r="A927" i="1"/>
  <c r="C212" i="2"/>
  <c r="F1464" i="1"/>
  <c r="D1688" i="1"/>
  <c r="E710" i="2"/>
  <c r="E936" i="2"/>
  <c r="B865" i="1"/>
  <c r="D1292" i="1"/>
  <c r="F1761" i="1"/>
  <c r="F982" i="1"/>
  <c r="C755" i="1"/>
  <c r="C988" i="1"/>
  <c r="A1609" i="1"/>
  <c r="E1582" i="1"/>
  <c r="F733" i="1"/>
  <c r="E648" i="1"/>
  <c r="B1021" i="1"/>
  <c r="E1701" i="1"/>
  <c r="F857" i="1"/>
  <c r="F796" i="1"/>
  <c r="F892" i="1"/>
  <c r="E900" i="1"/>
  <c r="A226" i="1"/>
  <c r="F492" i="1"/>
  <c r="E1059" i="1"/>
  <c r="A1697" i="1"/>
  <c r="C2226" i="1"/>
  <c r="E578" i="2"/>
  <c r="F2385" i="1"/>
  <c r="A1087" i="1"/>
  <c r="C250" i="1"/>
  <c r="B55" i="1"/>
  <c r="F415" i="1"/>
  <c r="E1814" i="1"/>
  <c r="D1719" i="1"/>
  <c r="B1749" i="1"/>
  <c r="F1331" i="1"/>
  <c r="A321" i="1"/>
  <c r="C1049" i="1"/>
  <c r="A710" i="1"/>
  <c r="A272" i="1"/>
  <c r="B1877" i="1"/>
  <c r="F1787" i="1"/>
  <c r="A1017" i="1"/>
  <c r="E23" i="1"/>
  <c r="B489" i="1"/>
  <c r="D316" i="1"/>
  <c r="B140" i="1"/>
  <c r="F601" i="1"/>
  <c r="F2002" i="1"/>
  <c r="E1891" i="1"/>
  <c r="E1446" i="1"/>
  <c r="D150" i="1"/>
  <c r="E523" i="1"/>
  <c r="C308" i="1"/>
  <c r="B912" i="1"/>
  <c r="D511" i="1"/>
  <c r="A1246" i="1"/>
  <c r="F2485" i="1"/>
  <c r="D1432" i="1"/>
  <c r="E1285" i="1"/>
  <c r="D725" i="1"/>
  <c r="B158" i="1"/>
  <c r="F30" i="1"/>
  <c r="C408" i="1"/>
  <c r="E1500" i="1"/>
  <c r="C1099" i="1"/>
  <c r="C519" i="1"/>
  <c r="F2103" i="1"/>
  <c r="D2214" i="1"/>
  <c r="E453" i="1"/>
  <c r="B29" i="1"/>
  <c r="C1127" i="1"/>
  <c r="B778" i="1"/>
  <c r="F921" i="1"/>
  <c r="D641" i="1"/>
  <c r="B1239" i="1"/>
  <c r="C1072" i="1"/>
  <c r="B1008" i="1"/>
  <c r="F594" i="1"/>
  <c r="C242" i="1"/>
  <c r="B873" i="1"/>
  <c r="F436" i="1"/>
  <c r="F1972" i="1"/>
  <c r="F752" i="1"/>
  <c r="D879" i="1"/>
  <c r="D683" i="1"/>
  <c r="D73" i="1"/>
  <c r="B994" i="1"/>
  <c r="D111" i="2"/>
  <c r="A1428" i="1"/>
  <c r="B1466" i="1"/>
  <c r="C1932" i="1"/>
  <c r="F897" i="1"/>
  <c r="A50" i="1"/>
  <c r="F366" i="1"/>
  <c r="B573" i="1"/>
  <c r="B1888" i="1"/>
  <c r="C1431" i="1"/>
  <c r="E889" i="1"/>
  <c r="E1208" i="1"/>
  <c r="F1239" i="1"/>
  <c r="A1778" i="1"/>
  <c r="B327" i="1"/>
  <c r="A1212" i="1"/>
  <c r="D26" i="2"/>
  <c r="F89" i="2"/>
  <c r="E1489" i="1"/>
  <c r="C1583" i="1"/>
  <c r="F1417" i="1"/>
  <c r="E378" i="1"/>
  <c r="B8" i="1"/>
  <c r="A1023" i="1"/>
  <c r="A2160" i="1"/>
  <c r="D1145" i="1"/>
  <c r="A643" i="1"/>
  <c r="F1340" i="1"/>
  <c r="C1236" i="1"/>
  <c r="B7" i="1"/>
  <c r="E756" i="1"/>
  <c r="E633" i="1"/>
  <c r="B933" i="1"/>
  <c r="F2007" i="1"/>
  <c r="D911" i="1"/>
  <c r="A480" i="1"/>
  <c r="E1847" i="1"/>
  <c r="C1368" i="1"/>
  <c r="D1163" i="1"/>
  <c r="C1300" i="1"/>
  <c r="B1148" i="1"/>
  <c r="D827" i="1"/>
  <c r="E1654" i="1"/>
  <c r="E52" i="1"/>
  <c r="E594" i="1"/>
  <c r="B1338" i="1"/>
  <c r="F1016" i="1"/>
  <c r="C272" i="1"/>
  <c r="D1021" i="1"/>
  <c r="B725" i="1"/>
  <c r="F1207" i="1"/>
  <c r="F872" i="1"/>
  <c r="B271" i="1"/>
  <c r="B727" i="1"/>
  <c r="C423" i="1"/>
  <c r="E621" i="1"/>
  <c r="E2128" i="1"/>
  <c r="C761" i="2"/>
  <c r="B1048" i="1"/>
  <c r="E1080" i="1"/>
  <c r="F1020" i="1"/>
  <c r="F382" i="1"/>
  <c r="C583" i="1"/>
  <c r="A162" i="1"/>
  <c r="E1485" i="1"/>
  <c r="A1507" i="1"/>
  <c r="C1023" i="1"/>
  <c r="A311" i="1"/>
  <c r="B1642" i="1"/>
  <c r="E979" i="1"/>
  <c r="B1216" i="1"/>
  <c r="F1756" i="1"/>
  <c r="B2077" i="1"/>
  <c r="D1389" i="1"/>
  <c r="D1803" i="1"/>
  <c r="B1271" i="1"/>
  <c r="B1323" i="1"/>
  <c r="C830" i="1"/>
  <c r="C330" i="1"/>
  <c r="C430" i="1"/>
  <c r="C1541" i="1"/>
  <c r="D1761" i="1"/>
  <c r="A2024" i="1"/>
  <c r="C1884" i="1"/>
  <c r="D478" i="1"/>
  <c r="E478" i="1"/>
  <c r="A364" i="1"/>
  <c r="C246" i="1"/>
  <c r="D829" i="1"/>
  <c r="E806" i="1"/>
  <c r="A1074" i="1"/>
  <c r="F180" i="1"/>
  <c r="A596" i="1"/>
  <c r="F237" i="2"/>
  <c r="E1764" i="1"/>
  <c r="C1620" i="1"/>
  <c r="D1667" i="1"/>
  <c r="D1571" i="1"/>
  <c r="D992" i="1"/>
  <c r="F1729" i="1"/>
  <c r="A2443" i="1"/>
  <c r="F1682" i="1"/>
  <c r="D1227" i="1"/>
  <c r="C814" i="1"/>
  <c r="C1683" i="1"/>
  <c r="A691" i="1"/>
  <c r="B825" i="1"/>
  <c r="C806" i="1"/>
  <c r="F1483" i="1"/>
  <c r="A503" i="1"/>
  <c r="D554" i="1"/>
  <c r="E566" i="1"/>
  <c r="A1726" i="1"/>
  <c r="E884" i="1"/>
  <c r="A902" i="1"/>
  <c r="E1786" i="1"/>
  <c r="C1329" i="1"/>
  <c r="E32" i="1"/>
  <c r="E1024" i="1"/>
  <c r="F1064" i="1"/>
  <c r="A823" i="1"/>
  <c r="B1100" i="1"/>
  <c r="D1022" i="1"/>
  <c r="E1599" i="1"/>
  <c r="B245" i="1"/>
  <c r="F1195" i="1"/>
  <c r="E759" i="1"/>
  <c r="B453" i="1"/>
  <c r="E443" i="1"/>
  <c r="C136" i="1"/>
  <c r="C864" i="1"/>
  <c r="E461" i="1"/>
  <c r="A1561" i="1"/>
  <c r="A735" i="1"/>
  <c r="D812" i="1"/>
  <c r="A1976" i="1"/>
  <c r="C403" i="2"/>
  <c r="B2489" i="1"/>
  <c r="A1793" i="1"/>
  <c r="A2254" i="1"/>
  <c r="F2153" i="1"/>
  <c r="C268" i="1"/>
  <c r="C921" i="1"/>
  <c r="A1078" i="1"/>
  <c r="D1342" i="1"/>
  <c r="F914" i="1"/>
  <c r="E697" i="1"/>
  <c r="F561" i="1"/>
  <c r="E2112" i="1"/>
  <c r="D1035" i="1"/>
  <c r="A1630" i="1"/>
  <c r="A573" i="1"/>
  <c r="E2305" i="1"/>
  <c r="C189" i="1"/>
  <c r="A1461" i="1"/>
  <c r="B1221" i="1"/>
  <c r="C141" i="1"/>
  <c r="D192" i="1"/>
  <c r="F383" i="1"/>
  <c r="D43" i="1"/>
  <c r="F298" i="1"/>
  <c r="F850" i="1"/>
  <c r="F646" i="1"/>
  <c r="A306" i="1"/>
  <c r="E786" i="1"/>
  <c r="D297" i="1"/>
  <c r="A305" i="1"/>
  <c r="F1624" i="1"/>
  <c r="C264" i="1"/>
  <c r="B117" i="1"/>
  <c r="B202" i="1"/>
  <c r="B50" i="1"/>
  <c r="B14" i="1"/>
  <c r="C478" i="1"/>
  <c r="F706" i="1"/>
  <c r="A102" i="1"/>
  <c r="A405" i="1"/>
  <c r="C147" i="1"/>
  <c r="F407" i="1"/>
  <c r="B525" i="1"/>
  <c r="D340" i="1"/>
  <c r="F1770" i="1"/>
  <c r="F985" i="1"/>
  <c r="D281" i="1"/>
  <c r="C497" i="1"/>
  <c r="D406" i="1"/>
  <c r="E200" i="1"/>
  <c r="E116" i="1"/>
  <c r="D624" i="1"/>
  <c r="F1018" i="1"/>
  <c r="A706" i="1"/>
  <c r="F33" i="1"/>
  <c r="F783" i="1"/>
  <c r="C860" i="1"/>
  <c r="F185" i="1"/>
  <c r="E1063" i="1"/>
  <c r="B312" i="1"/>
  <c r="E709" i="1"/>
  <c r="F441" i="1"/>
  <c r="B2" i="1"/>
  <c r="F134" i="1"/>
  <c r="A1334" i="1"/>
  <c r="B1665" i="1"/>
  <c r="E1592" i="1"/>
  <c r="C228" i="1"/>
  <c r="D1414" i="1"/>
  <c r="A1740" i="1"/>
  <c r="D946" i="1"/>
  <c r="F429" i="1"/>
  <c r="F2309" i="1"/>
  <c r="B1358" i="1"/>
  <c r="E795" i="1"/>
  <c r="F1192" i="1"/>
  <c r="D2141" i="1"/>
  <c r="F621" i="1"/>
  <c r="E1652" i="1"/>
  <c r="A278" i="1"/>
  <c r="E913" i="1"/>
  <c r="F84" i="1"/>
  <c r="B282" i="1"/>
  <c r="C329" i="1"/>
  <c r="E412" i="1"/>
  <c r="C771" i="1"/>
  <c r="D573" i="1"/>
  <c r="F192" i="1"/>
  <c r="C145" i="1"/>
  <c r="E232" i="1"/>
  <c r="C644" i="1"/>
  <c r="D737" i="1"/>
  <c r="B296" i="1"/>
  <c r="A29" i="1"/>
  <c r="E127" i="1"/>
  <c r="D1055" i="1"/>
  <c r="D119" i="1"/>
  <c r="B879" i="1"/>
  <c r="C426" i="1"/>
  <c r="B775" i="1"/>
  <c r="A17" i="1"/>
  <c r="C901" i="1"/>
  <c r="A281" i="1"/>
  <c r="A746" i="1"/>
  <c r="B1786" i="1"/>
  <c r="C251" i="1"/>
  <c r="B603" i="1"/>
  <c r="E1340" i="1"/>
  <c r="C153" i="1"/>
  <c r="F807" i="1"/>
  <c r="D876" i="1"/>
  <c r="C125" i="1"/>
  <c r="D74" i="1"/>
  <c r="F852" i="1"/>
  <c r="C1668" i="1"/>
  <c r="E1429" i="1"/>
  <c r="B71" i="2"/>
  <c r="C1811" i="1"/>
  <c r="E2364" i="1"/>
  <c r="E1445" i="1"/>
  <c r="A2424" i="1"/>
  <c r="A1781" i="1"/>
  <c r="E2232" i="1"/>
  <c r="A1911" i="1"/>
  <c r="B729" i="1"/>
  <c r="B900" i="1"/>
  <c r="C1340" i="1"/>
  <c r="C2037" i="1"/>
  <c r="D1191" i="1"/>
  <c r="F1398" i="1"/>
  <c r="C1490" i="1"/>
  <c r="B1470" i="1"/>
  <c r="F407" i="2"/>
  <c r="C810" i="2"/>
  <c r="D1702" i="1"/>
  <c r="E2382" i="1"/>
  <c r="D1811" i="1"/>
  <c r="E1308" i="1"/>
  <c r="B1460" i="1"/>
  <c r="B1057" i="1"/>
  <c r="D2052" i="1"/>
  <c r="C1946" i="1"/>
  <c r="E1763" i="1"/>
  <c r="B2050" i="1"/>
  <c r="C1334" i="1"/>
  <c r="A888" i="1"/>
  <c r="D1239" i="1"/>
  <c r="E883" i="1"/>
  <c r="C1730" i="1"/>
  <c r="A1181" i="1"/>
  <c r="F523" i="1"/>
  <c r="C1745" i="1"/>
  <c r="C483" i="1"/>
  <c r="E2403" i="1"/>
  <c r="A243" i="1"/>
  <c r="C1412" i="1"/>
  <c r="D1116" i="1"/>
  <c r="A1559" i="1"/>
  <c r="C1382" i="1"/>
  <c r="B1078" i="1"/>
  <c r="E1006" i="1"/>
  <c r="E441" i="1"/>
  <c r="A2225" i="1"/>
  <c r="D1920" i="1"/>
  <c r="F1401" i="1"/>
  <c r="B1272" i="1"/>
  <c r="D1838" i="1"/>
  <c r="E1878" i="1"/>
  <c r="E604" i="1"/>
  <c r="D863" i="1"/>
  <c r="F1989" i="1"/>
  <c r="C1359" i="1"/>
  <c r="D1197" i="1"/>
  <c r="F2305" i="1"/>
  <c r="A1499" i="1"/>
  <c r="E140" i="1"/>
  <c r="C1349" i="1"/>
  <c r="C1921" i="1"/>
  <c r="C1832" i="1"/>
  <c r="F640" i="1"/>
  <c r="A1435" i="1"/>
  <c r="A145" i="1"/>
  <c r="E891" i="1"/>
  <c r="C466" i="1"/>
  <c r="A1684" i="1"/>
  <c r="D1448" i="1"/>
  <c r="B1126" i="1"/>
  <c r="D1551" i="1"/>
  <c r="A2490" i="1"/>
  <c r="F1062" i="1"/>
  <c r="D1251" i="1"/>
  <c r="D1791" i="1"/>
  <c r="E660" i="1"/>
  <c r="C1303" i="1"/>
  <c r="C409" i="1"/>
  <c r="C1343" i="1"/>
  <c r="D1637" i="1"/>
  <c r="A709" i="1"/>
  <c r="A1251" i="1"/>
  <c r="B2382" i="1"/>
  <c r="C1405" i="1"/>
  <c r="B1175" i="1"/>
  <c r="C1679" i="1"/>
  <c r="F1540" i="1"/>
  <c r="C448" i="1"/>
  <c r="E700" i="1"/>
  <c r="D1663" i="1"/>
  <c r="C1006" i="1"/>
  <c r="C1404" i="1"/>
  <c r="E1630" i="1"/>
  <c r="E307" i="2"/>
  <c r="A696" i="1"/>
  <c r="A144" i="1"/>
  <c r="B275" i="1"/>
  <c r="B1898" i="1"/>
  <c r="E2217" i="1"/>
  <c r="B960" i="2"/>
  <c r="C1294" i="1"/>
  <c r="E925" i="1"/>
  <c r="F634" i="1"/>
  <c r="B49" i="1"/>
  <c r="E967" i="1"/>
  <c r="A2016" i="1"/>
  <c r="E1450" i="1"/>
  <c r="F1227" i="1"/>
  <c r="A852" i="1"/>
  <c r="C756" i="1"/>
  <c r="E1419" i="1"/>
  <c r="A2464" i="1"/>
  <c r="A1309" i="1"/>
  <c r="B1027" i="1"/>
  <c r="A1510" i="1"/>
  <c r="B1472" i="1"/>
  <c r="C1915" i="1"/>
  <c r="D533" i="1"/>
  <c r="C1358" i="1"/>
  <c r="F898" i="1"/>
  <c r="B1181" i="1"/>
  <c r="B876" i="1"/>
  <c r="E938" i="1"/>
  <c r="E1813" i="1"/>
  <c r="D919" i="1"/>
  <c r="C65" i="1"/>
  <c r="C724" i="1"/>
  <c r="C445" i="1"/>
  <c r="D880" i="1"/>
  <c r="B586" i="1"/>
  <c r="C137" i="2"/>
  <c r="D1904" i="1"/>
  <c r="E417" i="1"/>
  <c r="A711" i="1"/>
  <c r="E254" i="1"/>
  <c r="A737" i="1"/>
  <c r="E465" i="1"/>
  <c r="E2311" i="1"/>
  <c r="C1176" i="1"/>
  <c r="C1496" i="1"/>
  <c r="A2511" i="1"/>
  <c r="D1144" i="1"/>
  <c r="A1353" i="1"/>
  <c r="D1086" i="1"/>
  <c r="C203" i="1"/>
  <c r="B1794" i="1"/>
  <c r="E363" i="1"/>
  <c r="A1592" i="1"/>
  <c r="C1812" i="1"/>
  <c r="F1497" i="1"/>
  <c r="A1930" i="1"/>
  <c r="C799" i="1"/>
  <c r="E529" i="1"/>
  <c r="F1376" i="1"/>
  <c r="F1396" i="1"/>
  <c r="D1351" i="1"/>
  <c r="A1225" i="1"/>
  <c r="A1464" i="1"/>
  <c r="A223" i="1"/>
  <c r="B458" i="1"/>
  <c r="E1255" i="1"/>
  <c r="B1683" i="1"/>
  <c r="F843" i="1"/>
  <c r="F1438" i="1"/>
  <c r="E1078" i="1"/>
  <c r="A769" i="1"/>
  <c r="E92" i="1"/>
  <c r="C307" i="1"/>
  <c r="C866" i="1"/>
  <c r="B834" i="2"/>
  <c r="A1175" i="1"/>
  <c r="B1203" i="1"/>
  <c r="D1332" i="1"/>
  <c r="F1694" i="1"/>
  <c r="A1477" i="1"/>
  <c r="C766" i="1"/>
  <c r="D1257" i="1"/>
  <c r="F1007" i="1"/>
  <c r="E472" i="1"/>
  <c r="D452" i="1"/>
  <c r="B1415" i="1"/>
  <c r="C809" i="1"/>
  <c r="D70" i="1"/>
  <c r="A707" i="1"/>
  <c r="F1017" i="1"/>
  <c r="F1214" i="1"/>
  <c r="F1821" i="1"/>
  <c r="A998" i="1"/>
  <c r="B400" i="1"/>
  <c r="D878" i="1"/>
  <c r="B642" i="1"/>
  <c r="D62" i="1"/>
  <c r="E952" i="1"/>
  <c r="F2077" i="1"/>
  <c r="B1700" i="1"/>
  <c r="D1884" i="1"/>
  <c r="F874" i="1"/>
  <c r="D126" i="1"/>
  <c r="F106" i="1"/>
  <c r="A1318" i="1"/>
  <c r="E130" i="1"/>
  <c r="F631" i="2"/>
  <c r="F2004" i="1"/>
  <c r="F1978" i="1"/>
  <c r="D1312" i="1"/>
  <c r="B2034" i="1"/>
  <c r="E1184" i="1"/>
  <c r="C1765" i="1"/>
  <c r="E1027" i="1"/>
  <c r="B880" i="1"/>
  <c r="A788" i="1"/>
  <c r="C905" i="1"/>
  <c r="A1704" i="1"/>
  <c r="C1101" i="1"/>
  <c r="C577" i="1"/>
  <c r="D588" i="1"/>
  <c r="A190" i="1"/>
  <c r="B261" i="2"/>
  <c r="F2200" i="1"/>
  <c r="B1488" i="1"/>
  <c r="F1520" i="1"/>
  <c r="F1358" i="1"/>
  <c r="F310" i="1"/>
  <c r="A886" i="1"/>
  <c r="B152" i="1"/>
  <c r="B960" i="1"/>
  <c r="D2353" i="1"/>
  <c r="B1184" i="1"/>
  <c r="F343" i="1"/>
  <c r="C300" i="1"/>
  <c r="C174" i="2"/>
  <c r="C1554" i="1"/>
  <c r="D1569" i="1"/>
  <c r="E1714" i="1"/>
  <c r="B901" i="1"/>
  <c r="C1369" i="1"/>
  <c r="C1701" i="1"/>
  <c r="D545" i="1"/>
  <c r="D591" i="1"/>
  <c r="C93" i="1"/>
  <c r="A694" i="1"/>
  <c r="B934" i="1"/>
  <c r="D769" i="1"/>
  <c r="C1719" i="1"/>
  <c r="A259" i="1"/>
  <c r="E134" i="1"/>
  <c r="C1187" i="1"/>
  <c r="C602" i="1"/>
  <c r="B679" i="1"/>
  <c r="B780" i="1"/>
  <c r="A34" i="1"/>
  <c r="F2086" i="1"/>
  <c r="C69" i="1"/>
  <c r="D760" i="1"/>
  <c r="F218" i="1"/>
  <c r="E744" i="1"/>
  <c r="F324" i="1"/>
  <c r="E857" i="1"/>
  <c r="A1672" i="1"/>
  <c r="A971" i="1"/>
  <c r="E796" i="1"/>
  <c r="D186" i="1"/>
  <c r="D1310" i="1"/>
  <c r="E1683" i="1"/>
  <c r="C1568" i="1"/>
  <c r="E1619" i="1"/>
  <c r="B2101" i="1"/>
  <c r="B1490" i="1"/>
  <c r="A1795" i="1"/>
  <c r="B1401" i="1"/>
  <c r="B1964" i="1"/>
  <c r="D128" i="1"/>
  <c r="D765" i="1"/>
  <c r="B1720" i="1"/>
  <c r="A1199" i="1"/>
  <c r="A526" i="1"/>
  <c r="C573" i="1"/>
  <c r="A1154" i="1"/>
  <c r="F723" i="1"/>
  <c r="C420" i="1"/>
  <c r="E450" i="1"/>
  <c r="F1799" i="1"/>
  <c r="C1472" i="1"/>
  <c r="F832" i="1"/>
  <c r="F178" i="1"/>
  <c r="E40" i="1"/>
  <c r="D78" i="1"/>
  <c r="B499" i="1"/>
  <c r="A168" i="1"/>
  <c r="E927" i="1"/>
  <c r="D1703" i="1"/>
  <c r="A1100" i="1"/>
  <c r="C1618" i="1"/>
  <c r="F1344" i="1"/>
  <c r="E1317" i="1"/>
  <c r="C1982" i="1"/>
  <c r="D262" i="2"/>
  <c r="B1249" i="1"/>
  <c r="D1136" i="1"/>
  <c r="A802" i="1"/>
  <c r="D943" i="1"/>
  <c r="E1079" i="1"/>
  <c r="E2047" i="1"/>
  <c r="D1627" i="1"/>
  <c r="F1668" i="1"/>
  <c r="D659" i="1"/>
  <c r="F911" i="1"/>
  <c r="B1592" i="1"/>
  <c r="F1621" i="1"/>
  <c r="F1282" i="1"/>
  <c r="F981" i="1"/>
  <c r="C275" i="1"/>
  <c r="D1506" i="1"/>
  <c r="C793" i="1"/>
  <c r="D1491" i="1"/>
  <c r="B1287" i="1"/>
  <c r="A1992" i="1"/>
  <c r="F1247" i="1"/>
  <c r="F2209" i="1"/>
  <c r="A1319" i="1"/>
  <c r="F864" i="1"/>
  <c r="A897" i="1"/>
  <c r="B989" i="1"/>
  <c r="A295" i="1"/>
  <c r="E1232" i="1"/>
  <c r="D426" i="1"/>
  <c r="D451" i="1"/>
  <c r="E968" i="1"/>
  <c r="E500" i="2"/>
  <c r="F2466" i="1"/>
  <c r="D924" i="1"/>
  <c r="B2204" i="1"/>
  <c r="D1150" i="1"/>
  <c r="E1247" i="1"/>
  <c r="F1242" i="1"/>
  <c r="D802" i="1"/>
  <c r="A333" i="1"/>
  <c r="A616" i="1"/>
  <c r="A2261" i="1"/>
  <c r="F2184" i="1"/>
  <c r="E798" i="1"/>
  <c r="D1059" i="1"/>
  <c r="E956" i="1"/>
  <c r="E1999" i="1"/>
  <c r="A651" i="1"/>
  <c r="C1213" i="1"/>
  <c r="D755" i="1"/>
  <c r="A997" i="1"/>
  <c r="E815" i="1"/>
  <c r="B192" i="1"/>
  <c r="C601" i="1"/>
  <c r="B506" i="1"/>
  <c r="A488" i="1"/>
  <c r="A532" i="1"/>
  <c r="D65" i="1"/>
  <c r="C939" i="1"/>
  <c r="F162" i="2"/>
  <c r="D2487" i="1"/>
  <c r="F702" i="1"/>
  <c r="E258" i="1"/>
  <c r="B385" i="1"/>
  <c r="C240" i="1"/>
  <c r="D292" i="1"/>
  <c r="F36" i="1"/>
  <c r="D964" i="1"/>
  <c r="B1129" i="1"/>
  <c r="E138" i="1"/>
  <c r="B249" i="1"/>
  <c r="A1812" i="1"/>
  <c r="A1427" i="1"/>
  <c r="A577" i="1"/>
  <c r="E2084" i="1"/>
  <c r="A1185" i="1"/>
  <c r="A537" i="1"/>
  <c r="A385" i="1"/>
  <c r="B309" i="1"/>
  <c r="F1003" i="1"/>
  <c r="A1110" i="1"/>
  <c r="F1783" i="1"/>
  <c r="F1101" i="1"/>
  <c r="B1042" i="1"/>
  <c r="C37" i="1"/>
  <c r="D690" i="1"/>
  <c r="F228" i="1"/>
  <c r="B1992" i="1"/>
  <c r="D2024" i="1"/>
  <c r="B1835" i="1"/>
  <c r="F1462" i="1"/>
  <c r="D1495" i="1"/>
  <c r="D1278" i="1"/>
  <c r="B1102" i="1"/>
  <c r="A883" i="1"/>
  <c r="A1683" i="1"/>
  <c r="D2163" i="1"/>
  <c r="D2040" i="1"/>
  <c r="E1026" i="1"/>
  <c r="A1732" i="1"/>
  <c r="E1443" i="1"/>
  <c r="C999" i="1"/>
  <c r="E735" i="1"/>
  <c r="A1102" i="1"/>
  <c r="A1193" i="1"/>
  <c r="B828" i="1"/>
  <c r="A1067" i="1"/>
  <c r="F707" i="1"/>
  <c r="A582" i="1"/>
  <c r="A1120" i="1"/>
  <c r="E676" i="1"/>
  <c r="C499" i="1"/>
  <c r="F7" i="1"/>
  <c r="E770" i="1"/>
  <c r="D747" i="1"/>
  <c r="F449" i="1"/>
  <c r="C288" i="1"/>
  <c r="F785" i="1"/>
  <c r="E297" i="1"/>
  <c r="F648" i="1"/>
  <c r="B487" i="1"/>
  <c r="B833" i="1"/>
  <c r="C398" i="1"/>
  <c r="A540" i="1"/>
  <c r="C1470" i="1"/>
  <c r="A301" i="1"/>
  <c r="A1123" i="1"/>
  <c r="A219" i="1"/>
  <c r="D249" i="1"/>
  <c r="A67" i="1"/>
  <c r="A204" i="1"/>
  <c r="F292" i="1"/>
  <c r="F186" i="1"/>
  <c r="A490" i="1"/>
  <c r="B1229" i="1"/>
  <c r="C249" i="1"/>
  <c r="F577" i="1"/>
  <c r="B380" i="1"/>
  <c r="B1050" i="1"/>
  <c r="B12" i="1"/>
  <c r="C209" i="1"/>
  <c r="F25" i="1"/>
  <c r="B369" i="1"/>
  <c r="A1811" i="1"/>
  <c r="F201" i="1"/>
  <c r="C20" i="1"/>
  <c r="C517" i="1"/>
  <c r="E221" i="1"/>
  <c r="D156" i="1"/>
  <c r="B326" i="1"/>
  <c r="B1293" i="1"/>
  <c r="B201" i="1"/>
  <c r="E678" i="1"/>
  <c r="A670" i="1"/>
  <c r="A726" i="1"/>
  <c r="F433" i="1"/>
  <c r="A866" i="1"/>
  <c r="E2199" i="1"/>
  <c r="F210" i="1"/>
  <c r="F1138" i="1"/>
  <c r="C192" i="1"/>
  <c r="D986" i="1"/>
  <c r="B928" i="1"/>
  <c r="D713" i="1"/>
  <c r="B336" i="1"/>
  <c r="C1365" i="1"/>
  <c r="E1025" i="1"/>
  <c r="E814" i="1"/>
  <c r="A1722" i="1"/>
  <c r="E861" i="1"/>
  <c r="F1345" i="1"/>
  <c r="A953" i="1"/>
  <c r="C389" i="1"/>
  <c r="E464" i="1"/>
  <c r="D1628" i="1"/>
  <c r="C599" i="1"/>
  <c r="C176" i="1"/>
  <c r="E860" i="1"/>
  <c r="E437" i="1"/>
  <c r="B616" i="1"/>
  <c r="C33" i="1"/>
  <c r="D1508" i="1"/>
  <c r="B279" i="1"/>
  <c r="C166" i="1"/>
  <c r="B1429" i="1"/>
  <c r="F1012" i="1"/>
  <c r="B359" i="1"/>
  <c r="C843" i="1"/>
  <c r="E99" i="1"/>
  <c r="F135" i="1"/>
  <c r="D762" i="1"/>
  <c r="E1324" i="1"/>
  <c r="F1022" i="1"/>
  <c r="F164" i="1"/>
  <c r="D724" i="1"/>
  <c r="E79" i="1"/>
  <c r="C594" i="1"/>
  <c r="D109" i="1"/>
  <c r="A338" i="1"/>
  <c r="B686" i="1"/>
  <c r="F547" i="1"/>
  <c r="A261" i="1"/>
  <c r="D205" i="1"/>
  <c r="F997" i="1"/>
  <c r="D957" i="1"/>
  <c r="E34" i="1"/>
  <c r="C832" i="1"/>
  <c r="D615" i="1"/>
  <c r="E713" i="1"/>
  <c r="D814" i="1"/>
  <c r="C130" i="1"/>
  <c r="E788" i="2"/>
  <c r="C1939" i="1"/>
  <c r="B1613" i="1"/>
  <c r="B1846" i="1"/>
  <c r="F1993" i="1"/>
  <c r="A2174" i="1"/>
  <c r="E552" i="1"/>
  <c r="B1778" i="1"/>
  <c r="D391" i="2"/>
  <c r="F2255" i="1"/>
  <c r="F1881" i="1"/>
  <c r="F1823" i="1"/>
  <c r="D1183" i="1"/>
  <c r="F2123" i="1"/>
  <c r="B2062" i="1"/>
  <c r="E2210" i="1"/>
  <c r="E1965" i="1"/>
  <c r="B1353" i="1"/>
  <c r="E1904" i="1"/>
  <c r="C1656" i="1"/>
  <c r="B671" i="2"/>
  <c r="B1734" i="1"/>
  <c r="E241" i="2"/>
  <c r="D2003" i="1"/>
  <c r="A863" i="1"/>
  <c r="A816" i="1"/>
  <c r="A1947" i="1"/>
  <c r="D1165" i="1"/>
  <c r="E1819" i="1"/>
  <c r="D1272" i="1"/>
  <c r="D2173" i="1"/>
  <c r="F2347" i="1"/>
  <c r="E1380" i="1"/>
  <c r="F1482" i="1"/>
  <c r="D121" i="2"/>
  <c r="E1153" i="1"/>
  <c r="C859" i="1"/>
  <c r="F281" i="2"/>
  <c r="B655" i="1"/>
  <c r="F1566" i="1"/>
  <c r="B2424" i="1"/>
  <c r="E1399" i="1"/>
  <c r="D1532" i="1"/>
  <c r="D1468" i="1"/>
  <c r="B1096" i="1"/>
  <c r="B749" i="1"/>
  <c r="A1315" i="1"/>
  <c r="D2107" i="1"/>
  <c r="B2097" i="1"/>
  <c r="C1105" i="1"/>
  <c r="E1473" i="1"/>
  <c r="F1491" i="1"/>
  <c r="C1895" i="1"/>
  <c r="B1806" i="1"/>
  <c r="A1502" i="1"/>
  <c r="D2508" i="1"/>
  <c r="B1033" i="1"/>
  <c r="E267" i="1"/>
  <c r="C728" i="1"/>
  <c r="E2378" i="1"/>
  <c r="D1276" i="2"/>
  <c r="E2333" i="1"/>
  <c r="F950" i="1"/>
  <c r="B1562" i="1"/>
  <c r="C2017" i="1"/>
  <c r="E1037" i="1"/>
  <c r="B1435" i="1"/>
  <c r="A1286" i="1"/>
  <c r="B822" i="1"/>
  <c r="D1123" i="1"/>
  <c r="F1622" i="1"/>
  <c r="E224" i="1"/>
  <c r="B1139" i="1"/>
  <c r="F507" i="1"/>
  <c r="D1027" i="1"/>
  <c r="D259" i="1"/>
  <c r="C1647" i="1"/>
  <c r="F995" i="1"/>
  <c r="F2177" i="1"/>
  <c r="E167" i="1"/>
  <c r="C714" i="1"/>
  <c r="E89" i="1"/>
  <c r="A1208" i="1"/>
  <c r="E345" i="1"/>
  <c r="B909" i="1"/>
  <c r="D826" i="1"/>
  <c r="A1252" i="1"/>
  <c r="C1617" i="1"/>
  <c r="F1674" i="1"/>
  <c r="A1370" i="1"/>
  <c r="B1199" i="1"/>
  <c r="F651" i="1"/>
  <c r="D1652" i="1"/>
  <c r="C881" i="1"/>
  <c r="C1475" i="1"/>
  <c r="B523" i="1"/>
  <c r="B984" i="1"/>
  <c r="B617" i="1"/>
  <c r="E724" i="1"/>
  <c r="D379" i="1"/>
  <c r="D2458" i="1"/>
  <c r="F1447" i="1"/>
  <c r="E1828" i="1"/>
  <c r="E414" i="1"/>
  <c r="A454" i="1"/>
  <c r="F411" i="1"/>
  <c r="B78" i="1"/>
  <c r="B702" i="1"/>
  <c r="B1820" i="1"/>
  <c r="D918" i="1"/>
  <c r="D1263" i="1"/>
  <c r="D75" i="1"/>
  <c r="E1984" i="1"/>
  <c r="D1443" i="1"/>
  <c r="B1209" i="1"/>
  <c r="E1022" i="1"/>
  <c r="A1598" i="1"/>
  <c r="D1104" i="1"/>
  <c r="E1216" i="1"/>
  <c r="E922" i="1"/>
  <c r="F2056" i="1"/>
  <c r="B2083" i="1"/>
  <c r="D1650" i="1"/>
  <c r="D1841" i="1"/>
  <c r="D745" i="1"/>
  <c r="E1391" i="1"/>
  <c r="D1179" i="1"/>
  <c r="D1716" i="1"/>
  <c r="D1422" i="1"/>
  <c r="B919" i="1"/>
  <c r="A1307" i="1"/>
  <c r="E1036" i="1"/>
  <c r="A70" i="1"/>
  <c r="D781" i="1"/>
  <c r="D1736" i="1"/>
  <c r="D2108" i="1"/>
  <c r="D849" i="1"/>
  <c r="D264" i="1"/>
  <c r="D1214" i="1"/>
  <c r="D1594" i="1"/>
  <c r="C1968" i="1"/>
  <c r="F2058" i="1"/>
  <c r="C1525" i="1"/>
  <c r="E726" i="1"/>
  <c r="D1519" i="1"/>
  <c r="F1744" i="1"/>
  <c r="A595" i="1"/>
  <c r="E475" i="1"/>
  <c r="F1362" i="2"/>
  <c r="E1849" i="1"/>
  <c r="E1437" i="1"/>
  <c r="D238" i="1"/>
  <c r="E583" i="1"/>
  <c r="E928" i="1"/>
  <c r="D443" i="1"/>
  <c r="A380" i="1"/>
  <c r="D1361" i="1"/>
  <c r="B1260" i="1"/>
  <c r="B932" i="1"/>
  <c r="A374" i="1"/>
  <c r="D784" i="1"/>
  <c r="F447" i="1"/>
  <c r="E36" i="1"/>
  <c r="C757" i="1"/>
  <c r="E1202" i="1"/>
  <c r="B940" i="1"/>
  <c r="D1296" i="1"/>
  <c r="A657" i="1"/>
  <c r="D976" i="1"/>
  <c r="E252" i="1"/>
  <c r="B274" i="1"/>
  <c r="E349" i="1"/>
  <c r="D1706" i="1"/>
  <c r="B1040" i="1"/>
  <c r="C1252" i="1"/>
  <c r="C924" i="1"/>
  <c r="E836" i="1"/>
  <c r="B3" i="2"/>
  <c r="A2328" i="1"/>
  <c r="B2162" i="1"/>
  <c r="D834" i="1"/>
  <c r="F1720" i="1"/>
  <c r="A749" i="1"/>
  <c r="B855" i="1"/>
  <c r="E1414" i="1"/>
  <c r="D1398" i="1"/>
  <c r="F1087" i="1"/>
  <c r="A805" i="1"/>
  <c r="A714" i="1"/>
  <c r="E1758" i="1"/>
  <c r="C1420" i="1"/>
  <c r="D1439" i="1"/>
  <c r="D1178" i="1"/>
  <c r="A604" i="1"/>
  <c r="C474" i="1"/>
  <c r="F1338" i="1"/>
  <c r="E2116" i="1"/>
  <c r="B1463" i="1"/>
  <c r="B1082" i="1"/>
  <c r="F2357" i="1"/>
  <c r="E460" i="1"/>
  <c r="F1288" i="1"/>
  <c r="E1123" i="1"/>
  <c r="F2193" i="1"/>
  <c r="F1678" i="1"/>
  <c r="C182" i="1"/>
  <c r="A2456" i="1"/>
  <c r="A1184" i="1"/>
  <c r="A1412" i="1"/>
  <c r="A1076" i="1"/>
  <c r="D283" i="1"/>
  <c r="C829" i="1"/>
  <c r="A1554" i="1"/>
  <c r="C1199" i="1"/>
  <c r="F463" i="1"/>
  <c r="E1204" i="1"/>
  <c r="B516" i="1"/>
  <c r="A669" i="1"/>
  <c r="C488" i="1"/>
  <c r="C344" i="1"/>
  <c r="A2167" i="1"/>
  <c r="F1969" i="1"/>
  <c r="D1119" i="1"/>
  <c r="D346" i="1"/>
  <c r="A442" i="1"/>
  <c r="D51" i="1"/>
  <c r="A192" i="1"/>
  <c r="E376" i="1"/>
  <c r="E998" i="1"/>
  <c r="D1127" i="1"/>
  <c r="D726" i="1"/>
  <c r="A209" i="1"/>
  <c r="B48" i="1"/>
  <c r="E1041" i="1"/>
  <c r="D753" i="1"/>
  <c r="C1664" i="1"/>
  <c r="E1231" i="1"/>
  <c r="D1328" i="1"/>
  <c r="D1017" i="1"/>
  <c r="C1246" i="1"/>
  <c r="F1101" i="2"/>
  <c r="A1166" i="1"/>
  <c r="D869" i="1"/>
  <c r="D2093" i="1"/>
  <c r="A1936" i="1"/>
  <c r="F1528" i="1"/>
  <c r="C762" i="1"/>
  <c r="D1958" i="1"/>
  <c r="F2015" i="1"/>
  <c r="A872" i="1"/>
  <c r="C616" i="1"/>
  <c r="D1526" i="1"/>
  <c r="C934" i="1"/>
  <c r="E1304" i="1"/>
  <c r="D2190" i="1"/>
  <c r="A1952" i="1"/>
  <c r="A1330" i="1"/>
  <c r="F578" i="1"/>
  <c r="A800" i="1"/>
  <c r="B1164" i="1"/>
  <c r="B237" i="1"/>
  <c r="C23" i="1"/>
  <c r="D1262" i="1"/>
  <c r="D1075" i="1"/>
  <c r="C811" i="1"/>
  <c r="B1507" i="1"/>
  <c r="A949" i="1"/>
  <c r="A1960" i="1"/>
  <c r="B2257" i="1"/>
  <c r="F860" i="2"/>
  <c r="D1503" i="1"/>
  <c r="E1303" i="1"/>
  <c r="F1169" i="1"/>
  <c r="B1093" i="1"/>
  <c r="A835" i="1"/>
  <c r="E832" i="1"/>
  <c r="E783" i="1"/>
  <c r="D676" i="1"/>
  <c r="B1113" i="1"/>
  <c r="B1430" i="1"/>
  <c r="A687" i="1"/>
  <c r="A275" i="1"/>
  <c r="F163" i="1"/>
  <c r="B856" i="1"/>
  <c r="F1913" i="1"/>
  <c r="A1501" i="1"/>
  <c r="E1940" i="1"/>
  <c r="D1243" i="1"/>
  <c r="F502" i="1"/>
  <c r="E1638" i="1"/>
  <c r="F1146" i="1"/>
  <c r="A731" i="1"/>
  <c r="D945" i="1"/>
  <c r="D595" i="1"/>
  <c r="C269" i="1"/>
  <c r="B1834" i="1"/>
  <c r="C1773" i="1"/>
  <c r="B54" i="1"/>
  <c r="E693" i="1"/>
  <c r="B286" i="1"/>
  <c r="A111" i="1"/>
  <c r="E335" i="1"/>
  <c r="E161" i="1"/>
  <c r="E936" i="1"/>
  <c r="E430" i="1"/>
  <c r="D631" i="1"/>
  <c r="F149" i="1"/>
  <c r="F38" i="1"/>
  <c r="F226" i="1"/>
  <c r="F448" i="1"/>
  <c r="C236" i="1"/>
  <c r="F712" i="1"/>
  <c r="B973" i="1"/>
  <c r="D546" i="1"/>
  <c r="C777" i="1"/>
  <c r="F1702" i="1"/>
  <c r="C655" i="1"/>
  <c r="B2061" i="1"/>
  <c r="B1397" i="1"/>
  <c r="C536" i="1"/>
  <c r="E133" i="1"/>
  <c r="A428" i="1"/>
  <c r="C477" i="1"/>
  <c r="C2031" i="1"/>
  <c r="E1595" i="1"/>
  <c r="E1502" i="1"/>
  <c r="C1102" i="1"/>
  <c r="B581" i="2"/>
  <c r="F1189" i="1"/>
  <c r="B1599" i="1"/>
  <c r="E1129" i="1"/>
  <c r="C1003" i="2"/>
  <c r="B1633" i="1"/>
  <c r="F2092" i="1"/>
  <c r="E1725" i="1"/>
  <c r="B1342" i="1"/>
  <c r="F1736" i="1"/>
  <c r="E1874" i="1"/>
  <c r="D741" i="1"/>
  <c r="E1689" i="1"/>
  <c r="C2246" i="1"/>
  <c r="B2030" i="1"/>
  <c r="A1650" i="1"/>
  <c r="F1182" i="1"/>
  <c r="D610" i="1"/>
  <c r="B1348" i="1"/>
  <c r="A1532" i="1"/>
  <c r="D2191" i="1"/>
  <c r="A1580" i="1"/>
  <c r="D1717" i="1"/>
  <c r="C1152" i="1"/>
  <c r="D932" i="1"/>
  <c r="E80" i="1"/>
  <c r="E428" i="1"/>
  <c r="B827" i="1"/>
  <c r="C1143" i="1"/>
  <c r="B2459" i="1"/>
  <c r="B1801" i="1"/>
  <c r="A1544" i="1"/>
  <c r="D1359" i="1"/>
  <c r="B774" i="1"/>
  <c r="C183" i="1"/>
  <c r="E1139" i="1"/>
  <c r="B1002" i="2"/>
  <c r="C2026" i="1"/>
  <c r="E1441" i="1"/>
  <c r="C543" i="1"/>
  <c r="C1418" i="1"/>
  <c r="A761" i="1"/>
  <c r="D335" i="1"/>
  <c r="E1658" i="1"/>
  <c r="F1404" i="1"/>
  <c r="F1790" i="1"/>
  <c r="F1554" i="1"/>
  <c r="E1482" i="1"/>
  <c r="E1162" i="1"/>
  <c r="B1003" i="1"/>
  <c r="F82" i="1"/>
  <c r="A921" i="1"/>
  <c r="C1497" i="1"/>
  <c r="F1161" i="1"/>
  <c r="D1591" i="1"/>
  <c r="F742" i="1"/>
  <c r="E1512" i="1"/>
  <c r="C73" i="1"/>
  <c r="C733" i="1"/>
  <c r="F23" i="1"/>
  <c r="A1255" i="1"/>
  <c r="F1755" i="1"/>
  <c r="A1518" i="1"/>
  <c r="B1473" i="1"/>
  <c r="C1512" i="1"/>
  <c r="E1515" i="1"/>
  <c r="E1611" i="1"/>
  <c r="E1213" i="1"/>
  <c r="C56" i="2"/>
  <c r="A2057" i="1"/>
  <c r="B1585" i="1"/>
  <c r="E1694" i="1"/>
  <c r="E199" i="1"/>
  <c r="B1145" i="1"/>
  <c r="F957" i="1"/>
  <c r="A2097" i="1"/>
  <c r="D858" i="1"/>
  <c r="C932" i="1"/>
  <c r="F1072" i="1"/>
  <c r="F1084" i="1"/>
  <c r="F515" i="1"/>
  <c r="A2187" i="1"/>
  <c r="B1064" i="1"/>
  <c r="E1605" i="1"/>
  <c r="F649" i="1"/>
  <c r="F1459" i="1"/>
  <c r="A163" i="1"/>
  <c r="C613" i="1"/>
  <c r="F195" i="1"/>
  <c r="F650" i="1"/>
  <c r="F72" i="1"/>
  <c r="E506" i="1"/>
  <c r="F129" i="1"/>
  <c r="D41" i="1"/>
  <c r="B1037" i="1"/>
  <c r="C451" i="1"/>
  <c r="C855" i="1"/>
  <c r="E1748" i="1"/>
  <c r="D256" i="1"/>
  <c r="A146" i="1"/>
  <c r="C759" i="1"/>
  <c r="E948" i="1"/>
  <c r="C179" i="1"/>
  <c r="E7" i="1"/>
  <c r="E858" i="1"/>
  <c r="D362" i="1"/>
  <c r="B399" i="1"/>
  <c r="E1296" i="1"/>
  <c r="C201" i="1"/>
  <c r="C544" i="1"/>
  <c r="F747" i="1"/>
  <c r="D942" i="1"/>
  <c r="D782" i="1"/>
  <c r="A314" i="1"/>
  <c r="B584" i="1"/>
  <c r="B1658" i="1"/>
  <c r="A976" i="1"/>
  <c r="D498" i="1"/>
  <c r="E462" i="1"/>
  <c r="E205" i="1"/>
  <c r="D1159" i="1"/>
  <c r="D1419" i="1"/>
  <c r="C128" i="1"/>
  <c r="A684" i="1"/>
  <c r="A31" i="1"/>
  <c r="A25" i="1"/>
  <c r="D861" i="1"/>
  <c r="A468" i="1"/>
  <c r="A966" i="1"/>
  <c r="D462" i="1"/>
  <c r="F1357" i="1"/>
  <c r="E109" i="1"/>
  <c r="F348" i="1"/>
  <c r="E356" i="1"/>
  <c r="F2463" i="1"/>
  <c r="E2397" i="1"/>
  <c r="F1743" i="1"/>
  <c r="A2013" i="1"/>
  <c r="F1103" i="1"/>
  <c r="E2079" i="1"/>
  <c r="F1768" i="1"/>
  <c r="F990" i="1"/>
  <c r="F1152" i="1"/>
  <c r="D1098" i="1"/>
  <c r="D1962" i="1"/>
  <c r="B652" i="1"/>
  <c r="A1111" i="1"/>
  <c r="D118" i="1"/>
  <c r="B1091" i="1"/>
  <c r="D1012" i="1"/>
  <c r="A197" i="1"/>
  <c r="E467" i="1"/>
  <c r="E83" i="1"/>
  <c r="D212" i="1"/>
  <c r="B779" i="1"/>
  <c r="C227" i="1"/>
  <c r="F788" i="1"/>
  <c r="C492" i="1"/>
  <c r="D531" i="1"/>
  <c r="A121" i="1"/>
  <c r="C5" i="1"/>
  <c r="A400" i="1"/>
  <c r="A794" i="1"/>
  <c r="C364" i="1"/>
  <c r="A1342" i="1"/>
  <c r="C1150" i="1"/>
  <c r="E775" i="1"/>
  <c r="E68" i="1"/>
  <c r="C591" i="1"/>
  <c r="E966" i="1"/>
  <c r="B772" i="1"/>
  <c r="C805" i="1"/>
  <c r="A429" i="1"/>
  <c r="D872" i="1"/>
  <c r="D177" i="1"/>
  <c r="A457" i="1"/>
  <c r="D9" i="1"/>
  <c r="F93" i="1"/>
  <c r="A267" i="1"/>
  <c r="D921" i="1"/>
  <c r="D743" i="1"/>
  <c r="B1449" i="1"/>
  <c r="A562" i="1"/>
  <c r="A184" i="1"/>
  <c r="C2119" i="1"/>
  <c r="F2321" i="1"/>
  <c r="D1639" i="1"/>
  <c r="C800" i="1"/>
  <c r="F2156" i="1"/>
  <c r="E1220" i="1"/>
  <c r="E1648" i="1"/>
  <c r="D766" i="1"/>
  <c r="A2370" i="1"/>
  <c r="A1156" i="1"/>
  <c r="B2059" i="1"/>
  <c r="C2507" i="1"/>
  <c r="A2036" i="1"/>
  <c r="C2378" i="1"/>
  <c r="F2271" i="1"/>
  <c r="E1361" i="2"/>
  <c r="D1855" i="1"/>
  <c r="E876" i="1"/>
  <c r="E2261" i="1"/>
  <c r="C1167" i="1"/>
  <c r="D937" i="2"/>
  <c r="D1638" i="1"/>
  <c r="D1463" i="1"/>
  <c r="B1455" i="1"/>
  <c r="E1478" i="1"/>
  <c r="D1135" i="1"/>
  <c r="D2461" i="1"/>
  <c r="E1249" i="1"/>
  <c r="F2495" i="1"/>
  <c r="B1695" i="1"/>
  <c r="C1183" i="1"/>
  <c r="B1277" i="1"/>
  <c r="F1750" i="1"/>
  <c r="F1272" i="1"/>
  <c r="F2281" i="1"/>
  <c r="E1315" i="1"/>
  <c r="B993" i="1"/>
  <c r="B2224" i="1"/>
  <c r="F2008" i="1"/>
  <c r="D1611" i="1"/>
  <c r="A2503" i="1"/>
  <c r="D1520" i="1"/>
  <c r="D2100" i="1"/>
  <c r="A1815" i="1"/>
  <c r="F1201" i="2"/>
  <c r="C1937" i="1"/>
  <c r="A1144" i="1"/>
  <c r="E1320" i="1"/>
  <c r="B2045" i="1"/>
  <c r="C798" i="1"/>
  <c r="A630" i="1"/>
  <c r="F1076" i="1"/>
  <c r="E2390" i="1"/>
  <c r="B2151" i="1"/>
  <c r="D1455" i="1"/>
  <c r="D1050" i="1"/>
  <c r="E1646" i="1"/>
  <c r="A1101" i="1"/>
  <c r="B882" i="1"/>
  <c r="C1311" i="1"/>
  <c r="F2322" i="1"/>
  <c r="C786" i="1"/>
  <c r="D853" i="1"/>
  <c r="E1463" i="1"/>
  <c r="A1487" i="1"/>
  <c r="F972" i="1"/>
  <c r="D1343" i="1"/>
  <c r="E497" i="1"/>
  <c r="E1455" i="1"/>
  <c r="F676" i="1"/>
  <c r="C1114" i="1"/>
  <c r="C1093" i="1"/>
  <c r="C2225" i="1"/>
  <c r="C641" i="1"/>
  <c r="C1770" i="1"/>
  <c r="E445" i="1"/>
  <c r="C2186" i="1"/>
  <c r="F1785" i="1"/>
  <c r="A1151" i="1"/>
  <c r="E1756" i="1"/>
  <c r="F724" i="1"/>
  <c r="B1295" i="1"/>
  <c r="F837" i="1"/>
  <c r="B496" i="1"/>
  <c r="D1057" i="1"/>
  <c r="F1098" i="1"/>
  <c r="C952" i="1"/>
  <c r="B1235" i="1"/>
  <c r="E1000" i="1"/>
  <c r="E2059" i="1"/>
  <c r="F687" i="2"/>
  <c r="B765" i="1"/>
  <c r="C1084" i="1"/>
  <c r="B168" i="1"/>
  <c r="A1214" i="1"/>
  <c r="A1923" i="1"/>
  <c r="B1350" i="1"/>
  <c r="B354" i="1"/>
  <c r="A383" i="1"/>
  <c r="D1587" i="1"/>
  <c r="E923" i="1"/>
  <c r="B906" i="1"/>
  <c r="D1061" i="1"/>
  <c r="D1268" i="1"/>
  <c r="B120" i="2"/>
  <c r="D2042" i="1"/>
  <c r="B1378" i="1"/>
  <c r="D559" i="1"/>
  <c r="E418" i="1"/>
  <c r="D1005" i="1"/>
  <c r="A330" i="1"/>
  <c r="A960" i="1"/>
  <c r="D816" i="1"/>
  <c r="D357" i="1"/>
  <c r="B246" i="1"/>
  <c r="C841" i="1"/>
  <c r="E716" i="1"/>
  <c r="C528" i="1"/>
  <c r="D856" i="1"/>
  <c r="B1595" i="1"/>
  <c r="D1032" i="1"/>
  <c r="D891" i="1"/>
  <c r="C333" i="1"/>
  <c r="F687" i="1"/>
  <c r="D666" i="1"/>
  <c r="B497" i="1"/>
  <c r="F1246" i="1"/>
  <c r="C730" i="1"/>
  <c r="D560" i="1"/>
  <c r="F125" i="1"/>
  <c r="F96" i="1"/>
  <c r="B1182" i="1"/>
  <c r="A2282" i="1"/>
  <c r="C1732" i="1"/>
  <c r="E1418" i="1"/>
  <c r="F1026" i="1"/>
  <c r="B397" i="1"/>
  <c r="F946" i="1"/>
  <c r="A1170" i="1"/>
  <c r="E1841" i="1"/>
  <c r="D1952" i="1"/>
  <c r="D903" i="2"/>
  <c r="F1308" i="1"/>
  <c r="B1387" i="1"/>
  <c r="E849" i="1"/>
  <c r="C1569" i="1"/>
  <c r="E187" i="1"/>
  <c r="F903" i="1"/>
  <c r="F1043" i="1"/>
  <c r="B826" i="1"/>
  <c r="C1463" i="1"/>
  <c r="A938" i="1"/>
  <c r="A901" i="1"/>
  <c r="A554" i="1"/>
  <c r="C1039" i="1"/>
  <c r="D1314" i="1"/>
  <c r="F784" i="1"/>
  <c r="E973" i="1"/>
  <c r="F1014" i="1"/>
  <c r="B1174" i="1"/>
  <c r="B1486" i="1"/>
  <c r="E488" i="1"/>
  <c r="C347" i="1"/>
  <c r="D1737" i="1"/>
  <c r="A1794" i="1"/>
  <c r="A918" i="1"/>
  <c r="A1758" i="1"/>
  <c r="C1136" i="1"/>
  <c r="C1370" i="1"/>
  <c r="F1693" i="1"/>
  <c r="E941" i="1"/>
  <c r="C895" i="1"/>
  <c r="A765" i="1"/>
  <c r="C394" i="1"/>
  <c r="B676" i="1"/>
  <c r="C1704" i="1"/>
  <c r="C1830" i="1"/>
  <c r="A432" i="1"/>
  <c r="C721" i="1"/>
  <c r="E526" i="1"/>
  <c r="B110" i="1"/>
  <c r="E151" i="1"/>
  <c r="A1596" i="1"/>
  <c r="D1842" i="1"/>
  <c r="C1828" i="1"/>
  <c r="E1114" i="1"/>
  <c r="F877" i="1"/>
  <c r="E328" i="1"/>
  <c r="E533" i="1"/>
  <c r="E699" i="1"/>
  <c r="B460" i="1"/>
  <c r="E218" i="1"/>
  <c r="E1152" i="1"/>
  <c r="E362" i="1"/>
  <c r="C619" i="1"/>
  <c r="A1303" i="1"/>
  <c r="A1868" i="1"/>
  <c r="D1410" i="1"/>
  <c r="B1288" i="1"/>
  <c r="D534" i="1"/>
  <c r="E957" i="1"/>
  <c r="E1264" i="1"/>
  <c r="C441" i="1"/>
  <c r="E843" i="1"/>
  <c r="F909" i="2"/>
  <c r="C1485" i="1"/>
  <c r="A1371" i="1"/>
  <c r="D1701" i="1"/>
  <c r="B1668" i="1"/>
  <c r="B1775" i="1"/>
  <c r="E1476" i="1"/>
  <c r="D93" i="1"/>
  <c r="D1188" i="1"/>
  <c r="D1588" i="1"/>
  <c r="A316" i="1"/>
  <c r="A678" i="1"/>
  <c r="E239" i="1"/>
  <c r="B448" i="1"/>
  <c r="B124" i="1"/>
  <c r="D1986" i="1"/>
  <c r="C1823" i="1"/>
  <c r="F1504" i="1"/>
  <c r="F806" i="1"/>
  <c r="D1031" i="1"/>
  <c r="A1141" i="1"/>
  <c r="F2493" i="1"/>
  <c r="E1690" i="1"/>
  <c r="B38" i="1"/>
  <c r="A422" i="1"/>
  <c r="E930" i="1"/>
  <c r="E692" i="1"/>
  <c r="F454" i="1"/>
  <c r="F291" i="1"/>
  <c r="E1168" i="1"/>
  <c r="D1247" i="1"/>
  <c r="B724" i="1"/>
  <c r="F384" i="1"/>
  <c r="D342" i="1"/>
  <c r="C1318" i="1"/>
  <c r="D1039" i="1"/>
  <c r="A1224" i="1"/>
  <c r="B874" i="1"/>
  <c r="B645" i="1"/>
  <c r="D349" i="1"/>
  <c r="F925" i="1"/>
  <c r="D474" i="1"/>
  <c r="E35" i="1"/>
  <c r="C1203" i="1"/>
  <c r="D31" i="1"/>
  <c r="F691" i="1"/>
  <c r="E193" i="1"/>
  <c r="D1605" i="1"/>
  <c r="C1691" i="1"/>
  <c r="E2087" i="1"/>
  <c r="B1602" i="1"/>
  <c r="B1791" i="1"/>
  <c r="E518" i="1"/>
  <c r="E132" i="1"/>
  <c r="A1354" i="1"/>
  <c r="A995" i="1"/>
  <c r="E276" i="2"/>
  <c r="A1655" i="1"/>
  <c r="D1516" i="1"/>
  <c r="F177" i="1"/>
  <c r="B409" i="1"/>
  <c r="D328" i="1"/>
  <c r="B493" i="1"/>
  <c r="E2287" i="1"/>
  <c r="B2261" i="1"/>
  <c r="B1558" i="1"/>
  <c r="F1931" i="1"/>
  <c r="A1714" i="1"/>
  <c r="A1264" i="1"/>
  <c r="C237" i="1"/>
  <c r="F200" i="1"/>
  <c r="C1723" i="1"/>
  <c r="F1427" i="1"/>
  <c r="F267" i="1"/>
  <c r="F1950" i="1"/>
  <c r="A182" i="1"/>
  <c r="E538" i="1"/>
  <c r="F89" i="1"/>
  <c r="A804" i="1"/>
  <c r="D1139" i="2"/>
  <c r="B1542" i="1"/>
  <c r="B1445" i="1"/>
  <c r="A1776" i="1"/>
  <c r="D113" i="1"/>
  <c r="D564" i="1"/>
  <c r="E530" i="1"/>
  <c r="D408" i="1"/>
  <c r="B1514" i="1"/>
  <c r="E2512" i="1"/>
  <c r="F2043" i="1"/>
  <c r="D1626" i="1"/>
  <c r="B995" i="1"/>
  <c r="D1130" i="1"/>
  <c r="F1516" i="1"/>
  <c r="B1262" i="1"/>
  <c r="A1690" i="1"/>
  <c r="F1600" i="1"/>
  <c r="E1633" i="1"/>
  <c r="A829" i="1"/>
  <c r="E991" i="1"/>
  <c r="F361" i="1"/>
  <c r="D1450" i="1"/>
  <c r="B806" i="1"/>
  <c r="E1250" i="1"/>
  <c r="F2161" i="1"/>
  <c r="A1450" i="1"/>
  <c r="D817" i="1"/>
  <c r="C1421" i="1"/>
  <c r="E686" i="1"/>
  <c r="E189" i="1"/>
  <c r="B39" i="1"/>
  <c r="D1754" i="1"/>
  <c r="C1066" i="1"/>
  <c r="E2478" i="1"/>
  <c r="A752" i="1"/>
  <c r="A1375" i="1"/>
  <c r="B615" i="1"/>
  <c r="D639" i="1"/>
  <c r="C1001" i="1"/>
  <c r="A1277" i="1"/>
  <c r="B1395" i="1"/>
  <c r="C201" i="2"/>
  <c r="C725" i="1"/>
  <c r="C698" i="1"/>
  <c r="F1047" i="1"/>
  <c r="D1335" i="1"/>
  <c r="A1453" i="1"/>
  <c r="F756" i="2"/>
  <c r="F1827" i="1"/>
  <c r="F1317" i="1"/>
  <c r="E1188" i="1"/>
  <c r="E965" i="1"/>
  <c r="D1426" i="1"/>
  <c r="C1594" i="1"/>
  <c r="F380" i="1"/>
  <c r="E47" i="1"/>
  <c r="E862" i="1"/>
  <c r="C1916" i="1"/>
  <c r="F913" i="1"/>
  <c r="E1342" i="1"/>
  <c r="B682" i="1"/>
  <c r="D136" i="1"/>
  <c r="C345" i="1"/>
  <c r="E824" i="1"/>
  <c r="B1146" i="1"/>
  <c r="E1571" i="1"/>
  <c r="A135" i="1"/>
  <c r="F434" i="1"/>
  <c r="D374" i="1"/>
  <c r="D476" i="1"/>
  <c r="D430" i="1"/>
  <c r="E1246" i="1"/>
  <c r="D1505" i="1"/>
  <c r="D1684" i="1"/>
  <c r="E1544" i="1"/>
  <c r="F1036" i="1"/>
  <c r="A679" i="1"/>
  <c r="D393" i="1"/>
  <c r="C744" i="1"/>
  <c r="C122" i="1"/>
  <c r="B830" i="1"/>
  <c r="F1183" i="1"/>
  <c r="E1561" i="1"/>
  <c r="C298" i="1"/>
  <c r="D948" i="1"/>
  <c r="B37" i="1"/>
  <c r="E757" i="1"/>
  <c r="A889" i="1"/>
  <c r="E1271" i="1"/>
  <c r="F551" i="1"/>
  <c r="E243" i="1"/>
  <c r="E846" i="1"/>
  <c r="F392" i="1"/>
  <c r="B728" i="1"/>
  <c r="C588" i="1"/>
  <c r="E1460" i="1"/>
  <c r="C547" i="1"/>
  <c r="B1363" i="1"/>
  <c r="A1118" i="1"/>
  <c r="B108" i="1"/>
  <c r="F371" i="1"/>
  <c r="E515" i="1"/>
  <c r="C211" i="1"/>
  <c r="D1301" i="1"/>
  <c r="B2408" i="1"/>
  <c r="D1743" i="1"/>
  <c r="E1407" i="1"/>
  <c r="B1377" i="1"/>
  <c r="B1741" i="1"/>
  <c r="A1029" i="1"/>
  <c r="D955" i="1"/>
  <c r="C357" i="2"/>
  <c r="A1927" i="1"/>
  <c r="E1692" i="1"/>
  <c r="E1326" i="1"/>
  <c r="F167" i="1"/>
  <c r="C1026" i="1"/>
  <c r="B254" i="1"/>
  <c r="C1506" i="1"/>
  <c r="B451" i="1"/>
  <c r="C960" i="1"/>
  <c r="C997" i="1"/>
  <c r="B467" i="1"/>
  <c r="B129" i="1"/>
  <c r="D1283" i="1"/>
  <c r="A1121" i="1"/>
  <c r="C690" i="1"/>
  <c r="B265" i="1"/>
  <c r="C1283" i="1"/>
  <c r="A308" i="1"/>
  <c r="F1752" i="1"/>
  <c r="B560" i="1"/>
  <c r="A1734" i="1"/>
  <c r="C696" i="1"/>
  <c r="D110" i="1"/>
  <c r="A389" i="1"/>
  <c r="E57" i="1"/>
  <c r="D1030" i="1"/>
  <c r="C456" i="1"/>
  <c r="A103" i="1"/>
  <c r="C687" i="1"/>
  <c r="B346" i="1"/>
  <c r="B266" i="1"/>
  <c r="F222" i="1"/>
  <c r="C896" i="1"/>
  <c r="D1618" i="1"/>
  <c r="B558" i="1"/>
  <c r="C656" i="1"/>
  <c r="E196" i="1"/>
  <c r="F599" i="1"/>
  <c r="D175" i="1"/>
  <c r="C340" i="1"/>
  <c r="F486" i="1"/>
  <c r="F697" i="1"/>
  <c r="B585" i="1"/>
  <c r="C506" i="1"/>
  <c r="A250" i="1"/>
  <c r="F240" i="1"/>
  <c r="C194" i="1"/>
  <c r="A254" i="1"/>
  <c r="B618" i="1"/>
  <c r="B264" i="1"/>
  <c r="B2160" i="1"/>
  <c r="E113" i="1"/>
  <c r="E580" i="1"/>
  <c r="D830" i="1"/>
  <c r="C1223" i="1"/>
  <c r="F340" i="1"/>
  <c r="B187" i="1"/>
  <c r="B869" i="1"/>
  <c r="D396" i="1"/>
  <c r="F394" i="1"/>
  <c r="F293" i="1"/>
  <c r="B306" i="1"/>
  <c r="C718" i="1"/>
  <c r="F530" i="1"/>
  <c r="E409" i="1"/>
  <c r="D1053" i="2"/>
  <c r="F1166" i="1"/>
  <c r="B1371" i="1"/>
  <c r="E1496" i="1"/>
  <c r="D1364" i="1"/>
  <c r="B1549" i="1"/>
  <c r="E920" i="1"/>
  <c r="D947" i="1"/>
  <c r="B1697" i="1"/>
  <c r="F1320" i="1"/>
  <c r="F1070" i="1"/>
  <c r="C211" i="2"/>
  <c r="E593" i="1"/>
  <c r="B844" i="1"/>
  <c r="F92" i="1"/>
  <c r="F423" i="1"/>
  <c r="E1004" i="1"/>
  <c r="C1079" i="1"/>
  <c r="A117" i="1"/>
  <c r="D569" i="1"/>
  <c r="F91" i="1"/>
  <c r="B816" i="1"/>
  <c r="F638" i="1"/>
  <c r="E1248" i="1"/>
  <c r="B119" i="1"/>
  <c r="F647" i="1"/>
  <c r="B25" i="1"/>
  <c r="F301" i="1"/>
  <c r="D250" i="1"/>
  <c r="D603" i="1"/>
  <c r="A501" i="1"/>
  <c r="B340" i="1"/>
  <c r="A110" i="1"/>
  <c r="E403" i="1"/>
  <c r="F341" i="1"/>
  <c r="E241" i="1"/>
  <c r="F692" i="1"/>
  <c r="C568" i="1"/>
  <c r="F508" i="1"/>
  <c r="D966" i="1"/>
  <c r="D91" i="1"/>
  <c r="A1919" i="1"/>
  <c r="D260" i="1"/>
  <c r="A290" i="1"/>
  <c r="B236" i="1"/>
  <c r="A1050" i="1"/>
  <c r="C686" i="1"/>
  <c r="A379" i="1"/>
  <c r="A504" i="1"/>
  <c r="E14" i="1"/>
  <c r="A1799" i="1"/>
  <c r="F1928" i="1"/>
  <c r="E1808" i="1"/>
  <c r="F970" i="1"/>
  <c r="F1957" i="1"/>
  <c r="D716" i="1"/>
  <c r="F1885" i="1"/>
  <c r="C570" i="1"/>
  <c r="A1691" i="1"/>
  <c r="D1542" i="1"/>
  <c r="D1553" i="1"/>
  <c r="E1396" i="1"/>
  <c r="B1726" i="1"/>
  <c r="F1704" i="1"/>
  <c r="E2073" i="1"/>
  <c r="B2115" i="1"/>
  <c r="B1667" i="1"/>
  <c r="A1367" i="1"/>
  <c r="B1622" i="1"/>
  <c r="F1424" i="1"/>
  <c r="F2290" i="1"/>
  <c r="E546" i="2"/>
  <c r="E755" i="1"/>
  <c r="C707" i="1"/>
  <c r="C1129" i="1"/>
  <c r="D733" i="1"/>
  <c r="D1795" i="1"/>
  <c r="B794" i="1"/>
  <c r="F2165" i="1"/>
  <c r="C1301" i="1"/>
  <c r="F1114" i="1"/>
  <c r="D825" i="1"/>
  <c r="B1341" i="1"/>
  <c r="D822" i="1"/>
  <c r="C1957" i="1"/>
  <c r="D934" i="1"/>
  <c r="D521" i="1"/>
  <c r="D1092" i="1"/>
  <c r="D1539" i="1"/>
  <c r="C668" i="1"/>
  <c r="F2237" i="1"/>
  <c r="F1612" i="1"/>
  <c r="C1367" i="1"/>
  <c r="E41" i="1"/>
  <c r="F109" i="2"/>
  <c r="C1417" i="1"/>
  <c r="D1157" i="1"/>
  <c r="A1635" i="1"/>
  <c r="F772" i="1"/>
  <c r="F1930" i="1"/>
  <c r="E1576" i="1"/>
  <c r="D1322" i="1"/>
  <c r="F1628" i="1"/>
  <c r="C2106" i="1"/>
  <c r="E1881" i="1"/>
  <c r="A1352" i="1"/>
  <c r="D1561" i="1"/>
  <c r="F34" i="2"/>
  <c r="B1346" i="1"/>
  <c r="F1388" i="1"/>
  <c r="E819" i="1"/>
  <c r="B1002" i="1"/>
  <c r="E1726" i="1"/>
  <c r="D1358" i="1"/>
  <c r="A1784" i="1"/>
  <c r="D1162" i="1"/>
  <c r="B1283" i="1"/>
  <c r="C663" i="1"/>
  <c r="D1465" i="1"/>
  <c r="C1293" i="1"/>
  <c r="D1089" i="1"/>
  <c r="B482" i="1"/>
  <c r="B1848" i="1"/>
  <c r="D380" i="1"/>
  <c r="E2191" i="1"/>
  <c r="D77" i="1"/>
  <c r="E110" i="2"/>
  <c r="F2471" i="1"/>
  <c r="E845" i="1"/>
  <c r="E201" i="1"/>
  <c r="B432" i="1"/>
  <c r="C752" i="1"/>
  <c r="C138" i="1"/>
  <c r="F721" i="1"/>
  <c r="F817" i="1"/>
  <c r="C341" i="1"/>
  <c r="D1700" i="1"/>
  <c r="F755" i="1"/>
  <c r="C984" i="2"/>
  <c r="D771" i="1"/>
  <c r="B799" i="1"/>
  <c r="B678" i="1"/>
  <c r="F409" i="1"/>
  <c r="A620" i="1"/>
  <c r="B534" i="1"/>
  <c r="D620" i="1"/>
  <c r="B565" i="1"/>
  <c r="E283" i="1"/>
  <c r="B373" i="1"/>
  <c r="B1709" i="1"/>
  <c r="D1720" i="1"/>
  <c r="A1751" i="1"/>
  <c r="C833" i="1"/>
  <c r="B1052" i="1"/>
  <c r="B368" i="1"/>
  <c r="B468" i="1"/>
  <c r="D160" i="1"/>
  <c r="D2050" i="1"/>
  <c r="D1080" i="1"/>
  <c r="A1266" i="1"/>
  <c r="E837" i="1"/>
  <c r="C772" i="1"/>
  <c r="C49" i="2"/>
  <c r="A1190" i="1"/>
  <c r="E311" i="1"/>
  <c r="B2064" i="1"/>
  <c r="A1841" i="1"/>
  <c r="B175" i="2"/>
  <c r="F1414" i="1"/>
  <c r="C1054" i="1"/>
  <c r="B1197" i="1"/>
  <c r="D1386" i="1"/>
  <c r="B1167" i="1"/>
  <c r="A1080" i="1"/>
  <c r="B1196" i="1"/>
  <c r="A1882" i="1"/>
  <c r="E1367" i="1"/>
  <c r="F2190" i="1"/>
  <c r="A416" i="1"/>
  <c r="C748" i="1"/>
  <c r="C693" i="1"/>
  <c r="D1279" i="1"/>
  <c r="C888" i="1"/>
  <c r="A1514" i="1"/>
  <c r="C621" i="1"/>
  <c r="F1304" i="1"/>
  <c r="C649" i="1"/>
  <c r="F194" i="1"/>
  <c r="B640" i="1"/>
  <c r="E1481" i="1"/>
  <c r="B1513" i="1"/>
  <c r="E594" i="2"/>
  <c r="D1228" i="1"/>
  <c r="F2383" i="1"/>
  <c r="A1272" i="1"/>
  <c r="C736" i="1"/>
  <c r="E672" i="1"/>
  <c r="B351" i="1"/>
  <c r="F775" i="1"/>
  <c r="F728" i="1"/>
  <c r="A973" i="1"/>
  <c r="C1386" i="1"/>
  <c r="B664" i="1"/>
  <c r="F1220" i="1"/>
  <c r="B289" i="1"/>
  <c r="E661" i="1"/>
  <c r="F741" i="1"/>
  <c r="C2063" i="1"/>
  <c r="B1691" i="1"/>
  <c r="B602" i="1"/>
  <c r="A519" i="1"/>
  <c r="D541" i="1"/>
  <c r="A398" i="1"/>
  <c r="A2239" i="1"/>
  <c r="D1807" i="1"/>
  <c r="A1471" i="1"/>
  <c r="E1012" i="1"/>
  <c r="F862" i="1"/>
  <c r="E391" i="1"/>
  <c r="D525" i="1"/>
  <c r="C52" i="1"/>
  <c r="D1087" i="2"/>
  <c r="E2055" i="1"/>
  <c r="E1926" i="1"/>
  <c r="C1978" i="1"/>
  <c r="B673" i="1"/>
  <c r="F1294" i="1"/>
  <c r="D1208" i="1"/>
  <c r="B1309" i="1"/>
  <c r="C2050" i="1"/>
  <c r="B1693" i="1"/>
  <c r="B2431" i="1"/>
  <c r="B1300" i="1"/>
  <c r="B2166" i="1"/>
  <c r="C713" i="1"/>
  <c r="D475" i="1"/>
  <c r="D890" i="1"/>
  <c r="C1074" i="1"/>
  <c r="D1190" i="1"/>
  <c r="A2045" i="1"/>
  <c r="B802" i="1"/>
  <c r="F1471" i="1"/>
  <c r="D343" i="1"/>
  <c r="A287" i="1"/>
  <c r="F40" i="1"/>
  <c r="F1586" i="1"/>
  <c r="B1735" i="1"/>
  <c r="A1551" i="1"/>
  <c r="D608" i="1"/>
  <c r="C723" i="1"/>
  <c r="F552" i="1"/>
  <c r="E158" i="1"/>
  <c r="B695" i="1"/>
  <c r="F1929" i="1"/>
  <c r="D408" i="2"/>
  <c r="F1983" i="1"/>
  <c r="C1345" i="1"/>
  <c r="C1669" i="1"/>
  <c r="C1266" i="1"/>
  <c r="A200" i="1"/>
  <c r="B660" i="1"/>
  <c r="C867" i="1"/>
  <c r="F1705" i="1"/>
  <c r="F213" i="1"/>
  <c r="B675" i="1"/>
  <c r="A671" i="1"/>
  <c r="A1234" i="1"/>
  <c r="C208" i="1"/>
  <c r="C107" i="1"/>
  <c r="F1503" i="1"/>
  <c r="C1469" i="1"/>
  <c r="F1648" i="1"/>
  <c r="F1686" i="1"/>
  <c r="B1112" i="1"/>
  <c r="D604" i="1"/>
  <c r="D535" i="1"/>
  <c r="B644" i="1"/>
  <c r="C1859" i="1"/>
  <c r="C1364" i="1"/>
  <c r="B1457" i="1"/>
  <c r="A882" i="1"/>
  <c r="C962" i="1"/>
  <c r="F2160" i="1"/>
  <c r="D147" i="1"/>
  <c r="D221" i="1"/>
  <c r="D605" i="2"/>
  <c r="C1903" i="1"/>
  <c r="F1808" i="1"/>
  <c r="A1155" i="1"/>
  <c r="A594" i="1"/>
  <c r="C442" i="1"/>
  <c r="D601" i="1"/>
  <c r="F207" i="1"/>
  <c r="A1259" i="1"/>
  <c r="F1735" i="1"/>
  <c r="A1207" i="1"/>
  <c r="E777" i="1"/>
  <c r="A1423" i="1"/>
  <c r="D1040" i="1"/>
  <c r="E725" i="1"/>
  <c r="F873" i="1"/>
  <c r="C1052" i="1"/>
  <c r="A1987" i="1"/>
  <c r="B1575" i="1"/>
  <c r="C849" i="1"/>
  <c r="D1042" i="1"/>
  <c r="C516" i="1"/>
  <c r="A10" i="1"/>
  <c r="B907" i="1"/>
  <c r="F1223" i="1"/>
  <c r="D1041" i="1"/>
  <c r="F825" i="1"/>
  <c r="A615" i="1"/>
  <c r="F700" i="1"/>
  <c r="A987" i="1"/>
  <c r="B231" i="1"/>
  <c r="D1111" i="1"/>
  <c r="D1741" i="1"/>
  <c r="D1896" i="1"/>
  <c r="F1291" i="1"/>
  <c r="F1310" i="1"/>
  <c r="D870" i="1"/>
  <c r="B922" i="1"/>
  <c r="D2250" i="1"/>
  <c r="D377" i="1"/>
  <c r="F682" i="1"/>
  <c r="B570" i="1"/>
  <c r="A1057" i="1"/>
  <c r="C1195" i="1"/>
  <c r="A1311" i="1"/>
  <c r="C235" i="1"/>
  <c r="E186" i="1"/>
  <c r="C74" i="1"/>
  <c r="C1900" i="1"/>
  <c r="F1346" i="1"/>
  <c r="E1517" i="1"/>
  <c r="A1556" i="1"/>
  <c r="C783" i="1"/>
  <c r="A94" i="1"/>
  <c r="C986" i="1"/>
  <c r="F509" i="1"/>
  <c r="A1186" i="1"/>
  <c r="F1533" i="1"/>
  <c r="C1961" i="1"/>
  <c r="A661" i="1"/>
  <c r="A1678" i="1"/>
  <c r="B1689" i="1"/>
  <c r="D1418" i="1"/>
  <c r="C1628" i="1"/>
  <c r="B1598" i="1"/>
  <c r="D1087" i="1"/>
  <c r="D597" i="1"/>
  <c r="C476" i="1"/>
  <c r="C230" i="1"/>
  <c r="C354" i="1"/>
  <c r="A756" i="1"/>
  <c r="C284" i="1"/>
  <c r="F916" i="1"/>
  <c r="E1785" i="1"/>
  <c r="C790" i="1"/>
  <c r="A1436" i="1"/>
  <c r="F989" i="1"/>
  <c r="F574" i="1"/>
  <c r="E264" i="1"/>
  <c r="B1178" i="1"/>
  <c r="C1743" i="1"/>
  <c r="A1566" i="1"/>
  <c r="C2471" i="1"/>
  <c r="C26" i="1"/>
  <c r="D664" i="1"/>
  <c r="B270" i="1"/>
  <c r="A935" i="1"/>
  <c r="C976" i="1"/>
  <c r="C1403" i="1"/>
  <c r="A1114" i="1"/>
  <c r="D854" i="1"/>
  <c r="E171" i="1"/>
  <c r="A1935" i="1"/>
  <c r="B1532" i="1"/>
  <c r="F1534" i="1"/>
  <c r="A1511" i="1"/>
  <c r="D529" i="2"/>
  <c r="B2014" i="1"/>
  <c r="A1792" i="1"/>
  <c r="A1482" i="1"/>
  <c r="C1855" i="1"/>
  <c r="E917" i="1"/>
  <c r="B1010" i="1"/>
  <c r="E599" i="1"/>
  <c r="E491" i="1"/>
  <c r="D708" i="1"/>
  <c r="B1349" i="1"/>
  <c r="A703" i="1"/>
  <c r="E708" i="1"/>
  <c r="D672" i="1"/>
  <c r="D626" i="1"/>
  <c r="F339" i="1"/>
  <c r="F926" i="1"/>
  <c r="E989" i="1"/>
  <c r="C449" i="2"/>
  <c r="E101" i="1"/>
  <c r="B564" i="1"/>
  <c r="C813" i="1"/>
  <c r="E2219" i="1"/>
  <c r="D1483" i="1"/>
  <c r="F1295" i="1"/>
  <c r="D1158" i="1"/>
  <c r="C1394" i="1"/>
  <c r="F1641" i="1"/>
  <c r="A1294" i="1"/>
  <c r="F1425" i="1"/>
  <c r="A1003" i="1"/>
  <c r="D1233" i="1"/>
  <c r="B1594" i="1"/>
  <c r="B741" i="1"/>
  <c r="F1113" i="1"/>
  <c r="C1012" i="1"/>
  <c r="F1580" i="1"/>
  <c r="A878" i="1"/>
  <c r="D421" i="1"/>
  <c r="E319" i="1"/>
  <c r="B530" i="1"/>
  <c r="B483" i="1"/>
  <c r="D499" i="1"/>
  <c r="D449" i="1"/>
  <c r="E1870" i="1"/>
  <c r="D1000" i="1"/>
  <c r="A1422" i="1"/>
  <c r="C673" i="1"/>
  <c r="E1301" i="1"/>
  <c r="E905" i="1"/>
  <c r="F1335" i="1"/>
  <c r="A1314" i="1"/>
  <c r="C1335" i="1"/>
  <c r="E762" i="1"/>
  <c r="F1466" i="1"/>
  <c r="E1256" i="1"/>
  <c r="A1817" i="1"/>
  <c r="A1645" i="1"/>
  <c r="D1677" i="1"/>
  <c r="B1536" i="1"/>
  <c r="F942" i="1"/>
  <c r="D32" i="1"/>
  <c r="E351" i="1"/>
  <c r="B164" i="1"/>
  <c r="E1627" i="1"/>
  <c r="E1972" i="1"/>
  <c r="D697" i="2"/>
  <c r="B1906" i="1"/>
  <c r="B377" i="1"/>
  <c r="B392" i="1"/>
  <c r="D92" i="1"/>
  <c r="B1571" i="1"/>
  <c r="F1303" i="1"/>
  <c r="D1264" i="1"/>
  <c r="F1853" i="1"/>
  <c r="C796" i="1"/>
  <c r="B1572" i="1"/>
  <c r="E826" i="1"/>
  <c r="F988" i="1"/>
  <c r="F6" i="1"/>
  <c r="F1158" i="1"/>
  <c r="B1800" i="1"/>
  <c r="F98" i="1"/>
  <c r="F750" i="1"/>
  <c r="A370" i="1"/>
  <c r="F363" i="1"/>
  <c r="A693" i="1"/>
  <c r="F813" i="1"/>
  <c r="F217" i="1"/>
  <c r="E658" i="1"/>
  <c r="E623" i="1"/>
  <c r="D90" i="1"/>
  <c r="F496" i="1"/>
  <c r="F83" i="1"/>
  <c r="D704" i="1"/>
  <c r="C283" i="1"/>
  <c r="E1011" i="1"/>
  <c r="C6" i="1"/>
  <c r="D542" i="1"/>
  <c r="B598" i="1"/>
  <c r="B440" i="1"/>
  <c r="A499" i="1"/>
  <c r="D583" i="1"/>
  <c r="A1174" i="1"/>
  <c r="F314" i="1"/>
  <c r="E527" i="1"/>
  <c r="B360" i="1"/>
  <c r="C76" i="1"/>
  <c r="D1004" i="1"/>
  <c r="F417" i="1"/>
  <c r="F764" i="1"/>
  <c r="B148" i="1"/>
  <c r="E587" i="1"/>
  <c r="B388" i="1"/>
  <c r="A367" i="1"/>
  <c r="B15" i="1"/>
  <c r="F1646" i="1"/>
  <c r="B328" i="1"/>
  <c r="E985" i="1"/>
  <c r="C1363" i="1"/>
  <c r="B726" i="1"/>
  <c r="D488" i="1"/>
  <c r="E1469" i="1"/>
  <c r="F290" i="1"/>
  <c r="F206" i="1"/>
  <c r="E4" i="1"/>
  <c r="F397" i="1"/>
  <c r="B1202" i="1"/>
  <c r="F3" i="1"/>
  <c r="C371" i="1"/>
  <c r="A1440" i="1"/>
  <c r="F883" i="1"/>
  <c r="F1284" i="1"/>
  <c r="C2509" i="1"/>
  <c r="B1499" i="1"/>
  <c r="E1201" i="1"/>
  <c r="A990" i="1"/>
  <c r="E143" i="1"/>
  <c r="F935" i="2"/>
  <c r="D1709" i="1"/>
  <c r="F1982" i="1"/>
  <c r="B1688" i="1"/>
  <c r="C2452" i="1"/>
  <c r="E691" i="1"/>
  <c r="F726" i="1"/>
  <c r="E844" i="1"/>
  <c r="B951" i="1"/>
  <c r="A891" i="1"/>
  <c r="B452" i="1"/>
  <c r="B284" i="1"/>
  <c r="D688" i="1"/>
  <c r="F20" i="1"/>
  <c r="E388" i="1"/>
  <c r="C337" i="1"/>
  <c r="A724" i="1"/>
  <c r="D492" i="1"/>
  <c r="C9" i="1"/>
  <c r="C496" i="1"/>
  <c r="C245" i="1"/>
  <c r="E629" i="1"/>
  <c r="A228" i="1"/>
  <c r="E649" i="1"/>
  <c r="F838" i="1"/>
  <c r="F499" i="1"/>
  <c r="A1008" i="1"/>
  <c r="C842" i="1"/>
  <c r="E960" i="1"/>
  <c r="D404" i="1"/>
  <c r="D991" i="1"/>
  <c r="D58" i="1"/>
  <c r="E911" i="1"/>
  <c r="C1287" i="1"/>
  <c r="A79" i="1"/>
  <c r="C878" i="1"/>
  <c r="B463" i="1"/>
  <c r="C146" i="1"/>
  <c r="D1073" i="1"/>
  <c r="C365" i="1"/>
  <c r="B550" i="1"/>
  <c r="E720" i="2"/>
  <c r="F1706" i="1"/>
  <c r="C1993" i="1"/>
  <c r="D729" i="1"/>
  <c r="C1724" i="1"/>
  <c r="D1699" i="1"/>
  <c r="D1181" i="1"/>
  <c r="E1325" i="1"/>
  <c r="B839" i="1"/>
  <c r="E850" i="1"/>
  <c r="E873" i="1"/>
  <c r="F1487" i="1"/>
  <c r="E1608" i="1"/>
  <c r="C885" i="1"/>
  <c r="E436" i="1"/>
  <c r="B1437" i="1"/>
  <c r="D805" i="1"/>
  <c r="C787" i="1"/>
  <c r="B1716" i="1"/>
  <c r="F1486" i="1"/>
  <c r="F1191" i="1"/>
  <c r="C1697" i="1"/>
  <c r="E1486" i="1"/>
  <c r="B716" i="1"/>
  <c r="E498" i="1"/>
  <c r="B776" i="1"/>
  <c r="A1345" i="1"/>
  <c r="C1769" i="1"/>
  <c r="F1129" i="1"/>
  <c r="F162" i="1"/>
  <c r="E2281" i="1"/>
  <c r="D794" i="1"/>
  <c r="C1200" i="1"/>
  <c r="C299" i="1"/>
  <c r="E449" i="1"/>
  <c r="D914" i="1"/>
  <c r="B488" i="1"/>
  <c r="A213" i="1"/>
  <c r="E1524" i="1"/>
  <c r="E549" i="2"/>
  <c r="F1944" i="1"/>
  <c r="D979" i="1"/>
  <c r="C987" i="1"/>
  <c r="D574" i="1"/>
  <c r="B1474" i="1"/>
  <c r="B138" i="1"/>
  <c r="A2392" i="1"/>
  <c r="A1459" i="1"/>
  <c r="D1856" i="1"/>
  <c r="E614" i="1"/>
  <c r="B1143" i="1"/>
  <c r="D1015" i="1"/>
  <c r="B792" i="1"/>
  <c r="A471" i="1"/>
  <c r="D1727" i="1"/>
  <c r="B634" i="1"/>
  <c r="B2041" i="1"/>
  <c r="C1088" i="1"/>
  <c r="F2210" i="1"/>
  <c r="F849" i="1"/>
  <c r="E1033" i="1"/>
  <c r="A412" i="1"/>
  <c r="B1764" i="1"/>
  <c r="D998" i="1"/>
  <c r="A894" i="1"/>
  <c r="E108" i="1"/>
  <c r="D801" i="1"/>
  <c r="F374" i="1"/>
  <c r="B1607" i="1"/>
  <c r="B53" i="1"/>
  <c r="D2091" i="1"/>
  <c r="E2308" i="1"/>
  <c r="C1138" i="1"/>
  <c r="F259" i="1"/>
  <c r="B1404" i="1"/>
  <c r="E1425" i="1"/>
  <c r="C911" i="1"/>
  <c r="A857" i="1"/>
  <c r="F786" i="1"/>
  <c r="A742" i="1"/>
  <c r="D761" i="1"/>
  <c r="B435" i="1"/>
  <c r="D540" i="1"/>
  <c r="A509" i="1"/>
  <c r="E105" i="1"/>
  <c r="B578" i="1"/>
  <c r="F322" i="1"/>
  <c r="B567" i="1"/>
  <c r="F1892" i="1"/>
  <c r="B1657" i="1"/>
  <c r="F718" i="1"/>
  <c r="E1793" i="1"/>
  <c r="E1140" i="1"/>
  <c r="D190" i="1"/>
  <c r="B949" i="1"/>
  <c r="F330" i="1"/>
  <c r="B300" i="1"/>
  <c r="C705" i="1"/>
  <c r="A1007" i="1"/>
  <c r="C274" i="1"/>
  <c r="D303" i="1"/>
  <c r="F1024" i="1"/>
  <c r="B429" i="1"/>
  <c r="B1201" i="1"/>
  <c r="C884" i="1"/>
  <c r="B155" i="1"/>
  <c r="E112" i="1"/>
  <c r="E118" i="1"/>
  <c r="C42" i="1"/>
  <c r="C316" i="1"/>
  <c r="D927" i="1"/>
  <c r="A1192" i="1"/>
  <c r="D236" i="1"/>
  <c r="F453" i="1"/>
  <c r="B795" i="1"/>
  <c r="C416" i="1"/>
  <c r="F1740" i="1"/>
  <c r="B173" i="1"/>
  <c r="D910" i="1"/>
  <c r="E173" i="1"/>
  <c r="F270" i="1"/>
  <c r="B490" i="1"/>
  <c r="E955" i="1"/>
  <c r="C1901" i="1"/>
  <c r="F833" i="1"/>
  <c r="D1815" i="1"/>
  <c r="E1272" i="1"/>
  <c r="E1998" i="1"/>
  <c r="B662" i="1"/>
  <c r="F2141" i="1"/>
  <c r="B788" i="1"/>
  <c r="D1357" i="1"/>
  <c r="B1014" i="1"/>
  <c r="B1388" i="1"/>
  <c r="F112" i="1"/>
  <c r="E854" i="1"/>
  <c r="E1797" i="1"/>
  <c r="C222" i="1"/>
  <c r="B183" i="1"/>
  <c r="A214" i="1"/>
  <c r="C850" i="1"/>
  <c r="B751" i="1"/>
  <c r="D85" i="1"/>
  <c r="D450" i="1"/>
  <c r="B580" i="1"/>
  <c r="C289" i="1"/>
  <c r="A169" i="1"/>
  <c r="B115" i="1"/>
  <c r="A544" i="1"/>
  <c r="F355" i="1"/>
  <c r="A375" i="1"/>
  <c r="B720" i="1"/>
  <c r="E53" i="1"/>
  <c r="B1699" i="1"/>
  <c r="E46" i="1"/>
  <c r="E55" i="1"/>
  <c r="B142" i="1"/>
  <c r="E147" i="1"/>
  <c r="D152" i="1"/>
  <c r="C667" i="1"/>
  <c r="F1638" i="1"/>
  <c r="F992" i="1"/>
  <c r="B139" i="1"/>
  <c r="E766" i="1"/>
  <c r="E375" i="1"/>
  <c r="E553" i="1"/>
  <c r="B276" i="1"/>
  <c r="B899" i="1"/>
  <c r="C624" i="1"/>
  <c r="A377" i="1"/>
  <c r="B308" i="1"/>
  <c r="C367" i="1"/>
  <c r="B81" i="1"/>
  <c r="D613" i="1"/>
  <c r="A474" i="1"/>
  <c r="C699" i="2"/>
  <c r="C1510" i="1"/>
  <c r="F58" i="1"/>
  <c r="A974" i="1"/>
  <c r="C1600" i="1"/>
  <c r="C1313" i="1"/>
  <c r="B849" i="1"/>
  <c r="B5" i="1"/>
  <c r="A2050" i="1"/>
  <c r="A444" i="1"/>
  <c r="F963" i="1"/>
  <c r="B875" i="1"/>
  <c r="E1617" i="1"/>
  <c r="D1614" i="1"/>
  <c r="C1028" i="1"/>
  <c r="B1495" i="1"/>
  <c r="F793" i="1"/>
  <c r="F130" i="1"/>
  <c r="B845" i="1"/>
  <c r="B116" i="1"/>
  <c r="D352" i="1"/>
  <c r="D519" i="1"/>
  <c r="D656" i="1"/>
  <c r="C1146" i="1"/>
  <c r="A951" i="1"/>
  <c r="D15" i="1"/>
  <c r="A609" i="1"/>
  <c r="F760" i="1"/>
  <c r="C989" i="1"/>
  <c r="A632" i="1"/>
  <c r="F1153" i="1"/>
  <c r="A1451" i="1"/>
  <c r="F514" i="1"/>
  <c r="B93" i="1"/>
  <c r="F234" i="1"/>
  <c r="E25" i="1"/>
  <c r="A238" i="1"/>
  <c r="D116" i="1"/>
  <c r="D327" i="1"/>
  <c r="D268" i="1"/>
  <c r="A1056" i="1"/>
  <c r="B812" i="1"/>
  <c r="B860" i="1"/>
  <c r="C548" i="1"/>
  <c r="A134" i="1"/>
  <c r="A105" i="1"/>
  <c r="D836" i="1"/>
  <c r="C113" i="1"/>
  <c r="C502" i="1"/>
  <c r="A369" i="1"/>
  <c r="B92" i="1"/>
  <c r="D255" i="1"/>
  <c r="B348" i="1"/>
  <c r="E1532" i="1"/>
  <c r="B99" i="2"/>
  <c r="A1671" i="1"/>
  <c r="D893" i="1"/>
  <c r="F2294" i="1"/>
  <c r="B1731" i="1"/>
  <c r="D1299" i="1"/>
  <c r="C1342" i="1"/>
  <c r="D1620" i="1"/>
  <c r="A148" i="1"/>
  <c r="A1143" i="1"/>
  <c r="A1130" i="1"/>
  <c r="C1056" i="1"/>
  <c r="A810" i="1"/>
  <c r="F1519" i="1"/>
  <c r="C92" i="1"/>
  <c r="D993" i="1"/>
  <c r="F131" i="1"/>
  <c r="A880" i="1"/>
  <c r="A176" i="1"/>
  <c r="D1747" i="1"/>
  <c r="F300" i="1"/>
  <c r="A758" i="1"/>
  <c r="A807" i="1"/>
  <c r="E45" i="1"/>
  <c r="A453" i="1"/>
  <c r="A808" i="1"/>
  <c r="F101" i="1"/>
  <c r="C149" i="1"/>
  <c r="E208" i="1"/>
  <c r="E974" i="1"/>
  <c r="A221" i="1"/>
  <c r="F165" i="1"/>
  <c r="B411" i="1"/>
  <c r="F563" i="1"/>
  <c r="F605" i="1"/>
  <c r="E669" i="1"/>
  <c r="C184" i="1"/>
  <c r="C178" i="1"/>
  <c r="B263" i="1"/>
  <c r="F51" i="1"/>
  <c r="D111" i="1"/>
  <c r="B171" i="1"/>
  <c r="F477" i="1"/>
  <c r="A733" i="1"/>
  <c r="D1548" i="1"/>
  <c r="F199" i="1"/>
  <c r="C285" i="1"/>
  <c r="A345" i="1"/>
  <c r="C428" i="1"/>
  <c r="B946" i="1"/>
  <c r="F481" i="1"/>
  <c r="F819" i="1"/>
  <c r="A274" i="1"/>
  <c r="D489" i="1"/>
  <c r="F237" i="1"/>
  <c r="A916" i="1"/>
  <c r="E1040" i="1"/>
  <c r="D888" i="1"/>
  <c r="F590" i="1"/>
  <c r="B771" i="1"/>
  <c r="E1260" i="1"/>
  <c r="C46" i="1"/>
  <c r="E586" i="1"/>
  <c r="E1629" i="1"/>
  <c r="C626" i="1"/>
  <c r="B544" i="1"/>
  <c r="A909" i="1"/>
  <c r="A1230" i="1"/>
  <c r="F1866" i="1"/>
  <c r="A114" i="1"/>
  <c r="B700" i="1"/>
  <c r="F1670" i="1"/>
  <c r="E234" i="1"/>
  <c r="D1557" i="1"/>
  <c r="E677" i="1"/>
  <c r="B1038" i="1"/>
  <c r="B1117" i="1"/>
  <c r="A449" i="1"/>
  <c r="D432" i="1"/>
  <c r="B895" i="1"/>
  <c r="E214" i="1"/>
  <c r="F401" i="1"/>
  <c r="D313" i="1"/>
  <c r="A133" i="1"/>
  <c r="E510" i="1"/>
  <c r="E742" i="1"/>
  <c r="E146" i="1"/>
  <c r="F593" i="1"/>
  <c r="D529" i="1"/>
  <c r="D8" i="1"/>
  <c r="D461" i="1"/>
  <c r="B592" i="1"/>
  <c r="E466" i="1"/>
  <c r="F880" i="1"/>
  <c r="A234" i="1"/>
  <c r="D19" i="1"/>
  <c r="F1429" i="1"/>
  <c r="E722" i="1"/>
  <c r="F74" i="1"/>
  <c r="A280" i="1"/>
  <c r="F444" i="1"/>
  <c r="C978" i="1"/>
  <c r="A588" i="1"/>
  <c r="D49" i="1"/>
  <c r="C607" i="1"/>
  <c r="E385" i="1"/>
  <c r="D173" i="1"/>
  <c r="B181" i="1"/>
  <c r="F28" i="1"/>
  <c r="A139" i="1"/>
  <c r="F672" i="1"/>
  <c r="E387" i="1"/>
  <c r="C825" i="1"/>
  <c r="B131" i="1"/>
  <c r="B582" i="1"/>
  <c r="F776" i="1"/>
  <c r="A352" i="1"/>
  <c r="B146" i="1"/>
  <c r="C387" i="1"/>
  <c r="F209" i="1"/>
  <c r="E1056" i="1"/>
  <c r="B63" i="1"/>
  <c r="D710" i="1"/>
  <c r="F968" i="1"/>
  <c r="D418" i="1"/>
  <c r="F261" i="1"/>
  <c r="B2285" i="1"/>
  <c r="E1745" i="1"/>
  <c r="B1421" i="1"/>
  <c r="B1173" i="1"/>
  <c r="E762" i="2"/>
  <c r="D1428" i="1"/>
  <c r="F1470" i="1"/>
  <c r="E763" i="1"/>
  <c r="A1173" i="1"/>
  <c r="C1231" i="1"/>
  <c r="D1367" i="1"/>
  <c r="B69" i="1"/>
  <c r="C458" i="2"/>
  <c r="F1546" i="1"/>
  <c r="A1591" i="1"/>
  <c r="A792" i="1"/>
  <c r="A530" i="1"/>
  <c r="C369" i="1"/>
  <c r="A413" i="1"/>
  <c r="B1428" i="1"/>
  <c r="B1418" i="1"/>
  <c r="A653" i="1"/>
  <c r="D182" i="1"/>
  <c r="E217" i="1"/>
  <c r="C3" i="1"/>
  <c r="A11" i="1"/>
  <c r="D658" i="1"/>
  <c r="D931" i="1"/>
  <c r="C889" i="1"/>
  <c r="A505" i="1"/>
  <c r="B1587" i="1"/>
  <c r="D104" i="1"/>
  <c r="D410" i="1"/>
  <c r="F757" i="1"/>
  <c r="E294" i="1"/>
  <c r="D609" i="1"/>
  <c r="D55" i="1"/>
  <c r="E207" i="1"/>
  <c r="F27" i="1"/>
  <c r="A152" i="1"/>
  <c r="E107" i="1"/>
  <c r="E81" i="1"/>
  <c r="A837" i="1"/>
  <c r="A1009" i="1"/>
  <c r="A600" i="1"/>
  <c r="B434" i="1"/>
  <c r="B1660" i="1"/>
  <c r="A132" i="1"/>
  <c r="B604" i="1"/>
  <c r="B541" i="1"/>
  <c r="E154" i="1"/>
  <c r="A93" i="1"/>
  <c r="C16" i="1"/>
  <c r="F66" i="1"/>
  <c r="A981" i="1"/>
  <c r="F395" i="1"/>
  <c r="F152" i="1"/>
  <c r="C98" i="1"/>
  <c r="E338" i="1"/>
  <c r="B178" i="1"/>
  <c r="F283" i="1"/>
  <c r="D302" i="1"/>
  <c r="A140" i="1"/>
  <c r="D200" i="1"/>
  <c r="D607" i="1"/>
  <c r="D997" i="1"/>
  <c r="E394" i="1"/>
  <c r="F45" i="1"/>
  <c r="D230" i="1"/>
  <c r="D319" i="1"/>
  <c r="A637" i="1"/>
  <c r="D388" i="1"/>
  <c r="B167" i="1"/>
  <c r="C443" i="1"/>
  <c r="A356" i="1"/>
  <c r="F347" i="1"/>
  <c r="C320" i="1"/>
  <c r="B1095" i="1"/>
  <c r="D52" i="1"/>
  <c r="B787" i="1"/>
  <c r="F1372" i="1"/>
  <c r="E1430" i="1"/>
  <c r="F1558" i="1"/>
  <c r="A1642" i="1"/>
  <c r="C812" i="1"/>
  <c r="C396" i="1"/>
  <c r="B211" i="1"/>
  <c r="A874" i="1"/>
  <c r="A327" i="1"/>
  <c r="F478" i="1"/>
  <c r="B1031" i="1"/>
  <c r="A649" i="1"/>
  <c r="D223" i="1"/>
  <c r="E492" i="1"/>
  <c r="F39" i="1"/>
  <c r="D606" i="1"/>
  <c r="B44" i="1"/>
  <c r="F214" i="1"/>
  <c r="C59" i="1"/>
  <c r="F405" i="1"/>
  <c r="A564" i="1"/>
  <c r="F710" i="1"/>
  <c r="B1461" i="1"/>
  <c r="D29" i="1"/>
  <c r="D66" i="1"/>
  <c r="A644" i="1"/>
  <c r="B1001" i="1"/>
  <c r="C79" i="1"/>
  <c r="A112" i="1"/>
  <c r="F639" i="1"/>
  <c r="B11" i="1"/>
  <c r="E301" i="1"/>
  <c r="C425" i="1"/>
  <c r="A256" i="1"/>
  <c r="B101" i="1"/>
  <c r="C40" i="1"/>
  <c r="E58" i="1"/>
  <c r="D821" i="1"/>
  <c r="C834" i="1"/>
  <c r="A56" i="1"/>
  <c r="D60" i="1"/>
  <c r="A624" i="1"/>
  <c r="A273" i="1"/>
  <c r="F19" i="1"/>
  <c r="E256" i="1"/>
  <c r="C1850" i="1"/>
  <c r="F1456" i="1"/>
  <c r="D1013" i="1"/>
  <c r="E619" i="1"/>
  <c r="C947" i="1"/>
  <c r="F138" i="1"/>
  <c r="E903" i="1"/>
  <c r="F673" i="2"/>
  <c r="C1494" i="1"/>
  <c r="D2030" i="1"/>
  <c r="F1206" i="1"/>
  <c r="F1416" i="1"/>
  <c r="A1973" i="1"/>
  <c r="A1335" i="1"/>
  <c r="E1150" i="1"/>
  <c r="A1391" i="1"/>
  <c r="B1479" i="1"/>
  <c r="A1297" i="1"/>
  <c r="B1335" i="1"/>
  <c r="E752" i="1"/>
  <c r="D120" i="1"/>
  <c r="F1603" i="1"/>
  <c r="D2213" i="1"/>
  <c r="E931" i="1"/>
  <c r="F655" i="1"/>
  <c r="D1780" i="1"/>
  <c r="F581" i="1"/>
  <c r="A418" i="1"/>
  <c r="C1523" i="1"/>
  <c r="E1111" i="1"/>
  <c r="A3" i="1"/>
  <c r="D392" i="1"/>
  <c r="B165" i="1"/>
  <c r="B1305" i="1"/>
  <c r="A599" i="1"/>
  <c r="F1255" i="1"/>
  <c r="A1602" i="1"/>
  <c r="A2181" i="1"/>
  <c r="B552" i="1"/>
  <c r="C1258" i="1"/>
  <c r="E1099" i="1"/>
  <c r="A1394" i="1"/>
  <c r="D127" i="1"/>
  <c r="C186" i="1"/>
  <c r="B835" i="1"/>
  <c r="E1449" i="1"/>
  <c r="A705" i="1"/>
  <c r="F219" i="2"/>
  <c r="B1318" i="1"/>
  <c r="D1206" i="1"/>
  <c r="C45" i="1"/>
  <c r="B2072" i="1"/>
  <c r="E809" i="1"/>
  <c r="A2325" i="1"/>
  <c r="A2309" i="1"/>
  <c r="F1000" i="1"/>
  <c r="A97" i="1"/>
  <c r="E1287" i="1"/>
  <c r="E381" i="1"/>
  <c r="D1991" i="1"/>
  <c r="E1072" i="1"/>
  <c r="A1045" i="1"/>
  <c r="E1294" i="1"/>
  <c r="E1915" i="1"/>
  <c r="A1042" i="1"/>
  <c r="B1269" i="1"/>
  <c r="D339" i="1"/>
  <c r="A1026" i="1"/>
  <c r="B661" i="1"/>
  <c r="E1222" i="1"/>
  <c r="F349" i="1"/>
  <c r="C586" i="1"/>
  <c r="F610" i="1"/>
  <c r="C1087" i="1"/>
  <c r="E348" i="1"/>
  <c r="E1477" i="1"/>
  <c r="A958" i="1"/>
  <c r="E1740" i="1"/>
  <c r="A1688" i="1"/>
  <c r="B818" i="2"/>
  <c r="B64" i="1"/>
  <c r="D2270" i="1"/>
  <c r="A873" i="1"/>
  <c r="A529" i="1"/>
  <c r="C580" i="1"/>
  <c r="F579" i="1"/>
  <c r="B335" i="1"/>
  <c r="D179" i="1"/>
  <c r="C134" i="1"/>
  <c r="D459" i="1"/>
  <c r="E1077" i="1"/>
  <c r="C355" i="1"/>
  <c r="F284" i="1"/>
  <c r="E746" i="1"/>
  <c r="F490" i="1"/>
  <c r="C520" i="1"/>
  <c r="F856" i="1"/>
  <c r="E1458" i="1"/>
  <c r="A831" i="1"/>
  <c r="E1875" i="1"/>
  <c r="E310" i="1"/>
  <c r="C634" i="1"/>
  <c r="E350" i="1"/>
  <c r="A900" i="1"/>
  <c r="B784" i="1"/>
  <c r="D1187" i="1"/>
  <c r="E455" i="1"/>
  <c r="A125" i="1"/>
  <c r="C995" i="1"/>
  <c r="D280" i="1"/>
  <c r="C2172" i="1"/>
  <c r="A227" i="1"/>
  <c r="D1001" i="1"/>
  <c r="D904" i="1"/>
  <c r="B147" i="1"/>
  <c r="A407" i="1"/>
  <c r="D169" i="1"/>
  <c r="D1175" i="1"/>
  <c r="A461" i="1"/>
  <c r="D444" i="1"/>
  <c r="E219" i="1"/>
  <c r="C325" i="1"/>
  <c r="A151" i="1"/>
  <c r="E632" i="1"/>
  <c r="E175" i="1"/>
  <c r="E1558" i="1"/>
  <c r="B705" i="1"/>
  <c r="A1288" i="1"/>
  <c r="D1718" i="1"/>
  <c r="A550" i="1"/>
  <c r="B981" i="1"/>
  <c r="D959" i="1"/>
  <c r="A590" i="1"/>
  <c r="F1001" i="1"/>
  <c r="E1490" i="1"/>
  <c r="E1462" i="1"/>
  <c r="B1141" i="1"/>
  <c r="E1408" i="1"/>
  <c r="E121" i="1"/>
  <c r="E128" i="1"/>
  <c r="D215" i="1"/>
  <c r="D908" i="1"/>
  <c r="F626" i="1"/>
  <c r="D189" i="1"/>
  <c r="C262" i="1"/>
  <c r="C595" i="1"/>
  <c r="A555" i="1"/>
  <c r="F506" i="1"/>
  <c r="C622" i="1"/>
  <c r="E37" i="1"/>
  <c r="F87" i="1"/>
  <c r="C12" i="1"/>
  <c r="A716" i="1"/>
  <c r="F961" i="1"/>
  <c r="E122" i="1"/>
  <c r="C919" i="1"/>
  <c r="C225" i="1"/>
  <c r="B240" i="1"/>
  <c r="A944" i="1"/>
  <c r="C459" i="1"/>
  <c r="D920" i="1"/>
  <c r="A181" i="1"/>
  <c r="B16" i="1"/>
  <c r="C119" i="1"/>
  <c r="F299" i="1"/>
  <c r="E719" i="1"/>
  <c r="B1725" i="1"/>
  <c r="A553" i="1"/>
  <c r="D518" i="1"/>
  <c r="D594" i="1"/>
  <c r="F118" i="1"/>
  <c r="C280" i="1"/>
  <c r="B583" i="1"/>
  <c r="A60" i="1"/>
  <c r="A500" i="1"/>
  <c r="A617" i="1"/>
  <c r="F288" i="1"/>
  <c r="E382" i="1"/>
  <c r="A528" i="1"/>
  <c r="B670" i="1"/>
  <c r="B786" i="1"/>
  <c r="E838" i="1"/>
  <c r="C279" i="1"/>
  <c r="E801" i="1"/>
  <c r="F1963" i="1"/>
  <c r="D458" i="1"/>
  <c r="B364" i="1"/>
  <c r="F1044" i="1"/>
  <c r="D1252" i="1"/>
  <c r="A1228" i="1"/>
  <c r="B1379" i="1"/>
  <c r="F869" i="1"/>
  <c r="A1134" i="1"/>
  <c r="A8" i="1"/>
  <c r="F1649" i="1"/>
  <c r="D1383" i="1"/>
  <c r="B1291" i="1"/>
  <c r="C263" i="1"/>
  <c r="A116" i="1"/>
  <c r="E606" i="1"/>
  <c r="A126" i="1"/>
  <c r="B166" i="1"/>
  <c r="F663" i="1"/>
  <c r="D547" i="1"/>
  <c r="F406" i="1"/>
  <c r="D590" i="1"/>
  <c r="D1285" i="1"/>
  <c r="B943" i="1"/>
  <c r="F674" i="1"/>
  <c r="C10" i="1"/>
  <c r="F915" i="1"/>
  <c r="F589" i="1"/>
  <c r="C708" i="1"/>
  <c r="A539" i="1"/>
  <c r="B622" i="1"/>
  <c r="F635" i="1"/>
  <c r="C342" i="1"/>
  <c r="C972" i="1"/>
  <c r="F76" i="1"/>
  <c r="F187" i="1"/>
  <c r="B1265" i="1"/>
  <c r="B426" i="1"/>
  <c r="B624" i="1"/>
  <c r="B519" i="1"/>
  <c r="E937" i="1"/>
  <c r="A288" i="1"/>
  <c r="B98" i="1"/>
  <c r="B647" i="1"/>
  <c r="F452" i="1"/>
  <c r="B297" i="1"/>
  <c r="E106" i="1"/>
  <c r="E163" i="1"/>
  <c r="C24" i="1"/>
  <c r="F139" i="1"/>
  <c r="A13" i="1"/>
  <c r="A2068" i="1"/>
  <c r="B521" i="1"/>
  <c r="C1082" i="1"/>
  <c r="E483" i="1"/>
  <c r="E2420" i="1"/>
  <c r="C1524" i="1"/>
  <c r="B894" i="1"/>
  <c r="C913" i="1"/>
  <c r="E1172" i="1"/>
  <c r="D650" i="1"/>
  <c r="B578" i="2"/>
  <c r="B554" i="1"/>
  <c r="A1576" i="1"/>
  <c r="F1260" i="1"/>
  <c r="D1379" i="1"/>
  <c r="E984" i="1"/>
  <c r="F882" i="1"/>
  <c r="B67" i="1"/>
  <c r="A72" i="1"/>
  <c r="C951" i="1"/>
  <c r="A748" i="1"/>
  <c r="F90" i="1"/>
  <c r="F316" i="1"/>
  <c r="D670" i="1"/>
  <c r="D697" i="1"/>
  <c r="C360" i="1"/>
  <c r="E246" i="1"/>
  <c r="B405" i="1"/>
  <c r="C587" i="1"/>
  <c r="E370" i="1"/>
  <c r="A483" i="1"/>
  <c r="E737" i="1"/>
  <c r="B689" i="1"/>
  <c r="A101" i="1"/>
  <c r="F521" i="1"/>
  <c r="B445" i="1"/>
  <c r="E48" i="1"/>
  <c r="A1292" i="1"/>
  <c r="D94" i="1"/>
  <c r="C578" i="1"/>
  <c r="F636" i="1"/>
  <c r="C384" i="1"/>
  <c r="D433" i="1"/>
  <c r="E354" i="1"/>
  <c r="A855" i="1"/>
  <c r="C661" i="1"/>
  <c r="D341" i="1"/>
  <c r="F48" i="1"/>
  <c r="A4" i="1"/>
  <c r="E339" i="1"/>
  <c r="B703" i="1"/>
  <c r="E407" i="1"/>
  <c r="E539" i="1"/>
  <c r="E228" i="1"/>
  <c r="E521" i="1"/>
  <c r="A47" i="1"/>
  <c r="F504" i="1"/>
  <c r="C424" i="1"/>
  <c r="C142" i="1"/>
  <c r="A946" i="1"/>
  <c r="E195" i="1"/>
  <c r="B10" i="1"/>
  <c r="D775" i="1"/>
  <c r="B216" i="1"/>
  <c r="C1615" i="1"/>
  <c r="E1375" i="1"/>
  <c r="B1608" i="1"/>
  <c r="F295" i="1"/>
  <c r="C1310" i="1"/>
  <c r="A1524" i="1"/>
  <c r="D1488" i="1"/>
  <c r="E507" i="1"/>
  <c r="C1277" i="1"/>
  <c r="B717" i="1"/>
  <c r="B1118" i="1"/>
  <c r="A86" i="1"/>
  <c r="A1582" i="1"/>
  <c r="F802" i="1"/>
  <c r="B163" i="1"/>
  <c r="C139" i="1"/>
  <c r="D515" i="1"/>
  <c r="C890" i="1"/>
  <c r="B258" i="1"/>
  <c r="D684" i="1"/>
  <c r="A782" i="1"/>
  <c r="B969" i="1"/>
  <c r="D329" i="1"/>
  <c r="D1715" i="1"/>
  <c r="B123" i="1"/>
  <c r="F255" i="1"/>
  <c r="E229" i="1"/>
  <c r="A90" i="1"/>
  <c r="D1106" i="1"/>
  <c r="D131" i="1"/>
  <c r="F745" i="1"/>
  <c r="C745" i="1"/>
  <c r="C259" i="1"/>
  <c r="E247" i="1"/>
  <c r="D427" i="1"/>
  <c r="D668" i="1"/>
  <c r="B316" i="1"/>
  <c r="A138" i="1"/>
  <c r="D307" i="1"/>
  <c r="F557" i="1"/>
  <c r="F654" i="1"/>
  <c r="D193" i="1"/>
  <c r="A580" i="1"/>
  <c r="A382" i="1"/>
  <c r="E739" i="1"/>
  <c r="D552" i="1"/>
  <c r="D121" i="1"/>
  <c r="D158" i="1"/>
  <c r="A178" i="1"/>
  <c r="A1298" i="1"/>
  <c r="D344" i="1"/>
  <c r="A586" i="1"/>
  <c r="E434" i="1"/>
  <c r="A2040" i="1"/>
  <c r="A235" i="1"/>
  <c r="F224" i="1"/>
  <c r="D284" i="1"/>
  <c r="F501" i="1"/>
  <c r="F955" i="1"/>
  <c r="F432" i="1"/>
  <c r="A559" i="1"/>
  <c r="B871" i="1"/>
  <c r="B832" i="1"/>
  <c r="F1725" i="1"/>
  <c r="D750" i="1"/>
  <c r="B1712" i="1"/>
  <c r="B681" i="1"/>
  <c r="E1147" i="1"/>
  <c r="F1167" i="1"/>
  <c r="F1032" i="1"/>
  <c r="E502" i="1"/>
  <c r="E908" i="1"/>
  <c r="E833" i="1"/>
  <c r="D1858" i="1"/>
  <c r="D322" i="1"/>
  <c r="A1575" i="1"/>
  <c r="F1211" i="1"/>
  <c r="C1328" i="1"/>
  <c r="A654" i="1"/>
  <c r="A157" i="1"/>
  <c r="F389" i="1"/>
  <c r="D146" i="1"/>
  <c r="F127" i="1"/>
  <c r="F289" i="1"/>
  <c r="E77" i="1"/>
  <c r="F150" i="1"/>
  <c r="F918" i="1"/>
  <c r="B22" i="1"/>
  <c r="F47" i="1"/>
  <c r="F540" i="1"/>
  <c r="B186" i="1"/>
  <c r="B841" i="1"/>
  <c r="D279" i="1"/>
  <c r="D969" i="1"/>
  <c r="F933" i="1"/>
  <c r="A155" i="1"/>
  <c r="D112" i="1"/>
  <c r="E305" i="1"/>
  <c r="C51" i="1"/>
  <c r="B1026" i="1"/>
  <c r="A478" i="1"/>
  <c r="E444" i="1"/>
  <c r="C323" i="1"/>
  <c r="D926" i="1"/>
  <c r="E177" i="2"/>
  <c r="D800" i="1"/>
  <c r="F41" i="1"/>
  <c r="B1644" i="1"/>
  <c r="A1043" i="1"/>
  <c r="D270" i="1"/>
  <c r="B977" i="1"/>
  <c r="C970" i="1"/>
  <c r="B206" i="1"/>
  <c r="D132" i="1"/>
  <c r="F280" i="1"/>
  <c r="A970" i="1"/>
  <c r="D114" i="1"/>
  <c r="B76" i="1"/>
  <c r="D181" i="1"/>
  <c r="F828" i="1"/>
  <c r="C949" i="1"/>
  <c r="F75" i="1"/>
  <c r="F562" i="1"/>
  <c r="E1054" i="1"/>
  <c r="D1109" i="1"/>
  <c r="F1683" i="1"/>
  <c r="D1859" i="1"/>
  <c r="E854" i="2"/>
  <c r="A2026" i="1"/>
  <c r="A1384" i="1"/>
  <c r="D1772" i="1"/>
  <c r="B1727" i="1"/>
  <c r="F370" i="2"/>
  <c r="C647" i="1"/>
  <c r="E470" i="1"/>
  <c r="F278" i="1"/>
  <c r="A1093" i="1"/>
  <c r="A336" i="1"/>
  <c r="B35" i="1"/>
  <c r="C1337" i="1"/>
  <c r="D1309" i="1"/>
  <c r="C637" i="1"/>
  <c r="E2014" i="1"/>
  <c r="E715" i="1"/>
  <c r="C741" i="1"/>
  <c r="A284" i="1"/>
  <c r="B26" i="1"/>
  <c r="F1108" i="1"/>
  <c r="E576" i="1"/>
  <c r="D261" i="1"/>
  <c r="B1068" i="1"/>
  <c r="D1877" i="1"/>
  <c r="A324" i="1"/>
  <c r="C1538" i="1"/>
  <c r="B526" i="1"/>
  <c r="C2151" i="1"/>
  <c r="A1836" i="1"/>
  <c r="E997" i="1"/>
  <c r="B33" i="1"/>
  <c r="E929" i="1"/>
  <c r="D453" i="1"/>
  <c r="D744" i="1"/>
  <c r="B2105" i="1"/>
  <c r="F1082" i="1"/>
  <c r="F2494" i="1"/>
  <c r="A1949" i="1"/>
  <c r="A822" i="1"/>
  <c r="C614" i="1"/>
  <c r="E261" i="1"/>
  <c r="E1179" i="1"/>
  <c r="A759" i="1"/>
  <c r="E1829" i="1"/>
  <c r="A1999" i="1"/>
  <c r="C1117" i="1"/>
  <c r="C868" i="1"/>
  <c r="E1016" i="1"/>
  <c r="F1005" i="1"/>
  <c r="E576" i="2"/>
  <c r="E1651" i="1"/>
  <c r="A914" i="1"/>
  <c r="A941" i="1"/>
  <c r="C627" i="1"/>
  <c r="E924" i="1"/>
  <c r="E1906" i="1"/>
  <c r="B966" i="1"/>
  <c r="C1677" i="1"/>
  <c r="E288" i="1"/>
  <c r="D469" i="1"/>
  <c r="C350" i="1"/>
  <c r="F1411" i="1"/>
  <c r="F266" i="1"/>
  <c r="E262" i="1"/>
  <c r="C185" i="1"/>
  <c r="A1735" i="1"/>
  <c r="C115" i="1"/>
  <c r="C1448" i="1"/>
  <c r="F748" i="1"/>
  <c r="E1677" i="1"/>
  <c r="F586" i="1"/>
  <c r="E1777" i="1"/>
  <c r="D508" i="1"/>
  <c r="E1178" i="1"/>
  <c r="A245" i="1"/>
  <c r="F1498" i="1"/>
  <c r="E639" i="1"/>
  <c r="E451" i="1"/>
  <c r="C776" i="1"/>
  <c r="C930" i="1"/>
  <c r="E1176" i="1"/>
  <c r="B859" i="1"/>
  <c r="B1400" i="1"/>
  <c r="A464" i="1"/>
  <c r="B1828" i="1"/>
  <c r="B2121" i="1"/>
  <c r="B1090" i="1"/>
  <c r="C461" i="1"/>
  <c r="C197" i="1"/>
  <c r="F584" i="1"/>
  <c r="C351" i="1"/>
  <c r="D26" i="1"/>
  <c r="F666" i="1"/>
  <c r="F629" i="1"/>
  <c r="D163" i="1"/>
  <c r="E95" i="1"/>
  <c r="A1788" i="1"/>
  <c r="C328" i="1"/>
  <c r="F894" i="1"/>
  <c r="A813" i="1"/>
  <c r="F503" i="1"/>
  <c r="F146" i="1"/>
  <c r="E231" i="1"/>
  <c r="C373" i="1"/>
  <c r="B421" i="1"/>
  <c r="E142" i="1"/>
  <c r="D220" i="1"/>
  <c r="C1552" i="1"/>
  <c r="D1433" i="1"/>
  <c r="D133" i="1"/>
  <c r="B299" i="1"/>
  <c r="D1245" i="1"/>
  <c r="E790" i="1"/>
  <c r="B480" i="1"/>
  <c r="D1416" i="1"/>
  <c r="B1273" i="1"/>
  <c r="F425" i="1"/>
  <c r="D1762" i="1"/>
  <c r="A262" i="1"/>
  <c r="D864" i="1"/>
  <c r="D1554" i="2"/>
  <c r="C71" i="1"/>
  <c r="C1171" i="1"/>
  <c r="F439" i="1"/>
  <c r="F1490" i="1"/>
  <c r="A1096" i="1"/>
  <c r="B2159" i="1"/>
  <c r="C453" i="1"/>
  <c r="A520" i="1"/>
  <c r="A339" i="1"/>
  <c r="D887" i="1"/>
  <c r="B553" i="1"/>
  <c r="F1441" i="1"/>
  <c r="C188" i="1"/>
  <c r="B393" i="1"/>
  <c r="B1480" i="1"/>
  <c r="E1007" i="1"/>
  <c r="E120" i="1"/>
  <c r="E471" i="1"/>
  <c r="B28" i="1"/>
  <c r="D1445" i="1"/>
  <c r="E958" i="1"/>
  <c r="A720" i="1"/>
  <c r="F307" i="1"/>
  <c r="D803" i="1"/>
  <c r="F459" i="1"/>
  <c r="F548" i="1"/>
  <c r="C207" i="1"/>
  <c r="B358" i="1"/>
  <c r="E797" i="1"/>
  <c r="D254" i="1"/>
  <c r="F699" i="1"/>
  <c r="B863" i="1"/>
  <c r="A35" i="1"/>
  <c r="C610" i="1"/>
  <c r="D977" i="1"/>
  <c r="E78" i="1"/>
  <c r="E1372" i="1"/>
  <c r="B987" i="1"/>
  <c r="A1310" i="1"/>
  <c r="A713" i="1"/>
  <c r="F188" i="1"/>
  <c r="D689" i="1"/>
  <c r="B470" i="1"/>
  <c r="A1305" i="1"/>
  <c r="C553" i="1"/>
  <c r="E1136" i="1"/>
  <c r="E273" i="1"/>
  <c r="B747" i="1"/>
  <c r="E102" i="1"/>
  <c r="F327" i="1"/>
  <c r="F815" i="1"/>
  <c r="E232" i="2"/>
  <c r="F1201" i="1"/>
  <c r="C1215" i="1"/>
  <c r="A20" i="1"/>
  <c r="D1356" i="1"/>
  <c r="E51" i="1"/>
  <c r="A1534" i="1"/>
  <c r="B172" i="1"/>
  <c r="A2428" i="1"/>
  <c r="A59" i="1"/>
  <c r="D1541" i="1"/>
  <c r="E269" i="1"/>
  <c r="E804" i="1"/>
  <c r="F1034" i="1"/>
  <c r="C1280" i="1"/>
  <c r="A983" i="1"/>
  <c r="A1385" i="1"/>
  <c r="D776" i="1"/>
  <c r="A88" i="1"/>
  <c r="D441" i="1"/>
  <c r="B287" i="1"/>
  <c r="B893" i="1"/>
  <c r="E710" i="1"/>
  <c r="D162" i="1"/>
  <c r="E501" i="1"/>
  <c r="E155" i="1"/>
  <c r="F442" i="1"/>
  <c r="D310" i="1"/>
  <c r="C950" i="1"/>
  <c r="B635" i="1"/>
  <c r="E990" i="1"/>
  <c r="A557" i="1"/>
  <c r="B568" i="1"/>
  <c r="F102" i="1"/>
  <c r="C213" i="1"/>
  <c r="B589" i="1"/>
  <c r="E156" i="1"/>
  <c r="C433" i="1"/>
  <c r="C1326" i="1"/>
  <c r="C206" i="1"/>
  <c r="B614" i="1"/>
  <c r="A247" i="1"/>
  <c r="B371" i="1"/>
  <c r="A421" i="1"/>
  <c r="C404" i="1"/>
  <c r="C296" i="1"/>
  <c r="E2" i="1"/>
  <c r="D1071" i="1"/>
  <c r="F243" i="1"/>
  <c r="B395" i="1"/>
  <c r="E10" i="1"/>
  <c r="C81" i="1"/>
  <c r="D372" i="1"/>
  <c r="E1187" i="1"/>
  <c r="E268" i="1"/>
  <c r="D1467" i="1"/>
  <c r="E204" i="1"/>
  <c r="A1605" i="1"/>
  <c r="D1266" i="1"/>
  <c r="B1760" i="1"/>
  <c r="D898" i="1"/>
  <c r="B1784" i="1"/>
  <c r="F823" i="1"/>
  <c r="B929" i="1"/>
  <c r="D400" i="1"/>
  <c r="D767" i="1"/>
  <c r="A1348" i="1"/>
  <c r="C1950" i="1"/>
  <c r="B992" i="1"/>
  <c r="B905" i="1"/>
  <c r="A62" i="1"/>
  <c r="B657" i="1"/>
  <c r="F302" i="1"/>
  <c r="A113" i="1"/>
  <c r="E1442" i="1"/>
  <c r="E61" i="1"/>
  <c r="B958" i="1"/>
  <c r="A282" i="1"/>
  <c r="D295" i="1"/>
  <c r="E457" i="1"/>
  <c r="F258" i="1"/>
  <c r="C1288" i="1"/>
  <c r="B813" i="1"/>
  <c r="C706" i="1"/>
  <c r="F1458" i="1"/>
  <c r="E90" i="1"/>
  <c r="D916" i="1"/>
  <c r="B531" i="1"/>
  <c r="A712" i="1"/>
  <c r="E760" i="1"/>
  <c r="F1650" i="1"/>
  <c r="F119" i="1"/>
  <c r="F117" i="1"/>
  <c r="B659" i="1"/>
  <c r="A430" i="1"/>
  <c r="D680" i="1"/>
  <c r="D772" i="1"/>
  <c r="D423" i="1"/>
  <c r="A240" i="1"/>
  <c r="F197" i="1"/>
  <c r="E290" i="1"/>
  <c r="F797" i="1"/>
  <c r="C795" i="1"/>
  <c r="E835" i="1"/>
  <c r="D331" i="1"/>
  <c r="A961" i="1"/>
  <c r="E365" i="1"/>
  <c r="C202" i="1"/>
  <c r="E383" i="1"/>
  <c r="E681" i="1"/>
  <c r="C376" i="1"/>
  <c r="E706" i="1"/>
  <c r="F1116" i="1"/>
  <c r="D333" i="1"/>
  <c r="D318" i="1"/>
  <c r="F263" i="1"/>
  <c r="D312" i="1"/>
  <c r="D1601" i="1"/>
  <c r="A1901" i="1"/>
  <c r="E286" i="1"/>
  <c r="D11" i="1"/>
  <c r="D1133" i="1"/>
  <c r="B597" i="1"/>
  <c r="A1728" i="1"/>
  <c r="B478" i="1"/>
  <c r="A1712" i="1"/>
  <c r="C167" i="1"/>
  <c r="F831" i="1"/>
  <c r="B134" i="1"/>
  <c r="E1892" i="1"/>
  <c r="D1065" i="1"/>
  <c r="A779" i="1"/>
  <c r="C200" i="1"/>
  <c r="B273" i="1"/>
  <c r="C346" i="1"/>
  <c r="A790" i="1"/>
  <c r="E197" i="1"/>
  <c r="D852" i="1"/>
  <c r="A394" i="1"/>
  <c r="B651" i="1"/>
  <c r="A496" i="1"/>
  <c r="F464" i="1"/>
  <c r="C82" i="1"/>
  <c r="E732" i="1"/>
  <c r="C437" i="1"/>
  <c r="A387" i="1"/>
  <c r="A516" i="1"/>
  <c r="F2439" i="1"/>
  <c r="B374" i="1"/>
  <c r="D228" i="1"/>
  <c r="D216" i="1"/>
  <c r="D845" i="1"/>
  <c r="F585" i="1"/>
  <c r="C362" i="1"/>
  <c r="F1118" i="1"/>
  <c r="C19" i="1"/>
  <c r="F879" i="1"/>
  <c r="D134" i="1"/>
  <c r="F622" i="1"/>
  <c r="C1446" i="1"/>
  <c r="C589" i="1"/>
  <c r="B884" i="1"/>
  <c r="F428" i="1"/>
  <c r="C105" i="1"/>
  <c r="F275" i="1"/>
  <c r="E569" i="1"/>
  <c r="D530" i="1"/>
  <c r="D960" i="1"/>
  <c r="F1008" i="1"/>
  <c r="F595" i="1"/>
  <c r="E701" i="1"/>
  <c r="B66" i="1"/>
  <c r="D161" i="1"/>
  <c r="D262" i="1"/>
  <c r="F328" i="1"/>
  <c r="C540" i="1"/>
  <c r="F510" i="1"/>
  <c r="D80" i="1"/>
  <c r="F100" i="1"/>
  <c r="A828" i="1"/>
  <c r="A1978" i="1"/>
  <c r="E899" i="1"/>
  <c r="C531" i="1"/>
  <c r="E75" i="1"/>
  <c r="F391" i="1"/>
  <c r="F1313" i="1"/>
  <c r="B629" i="1"/>
  <c r="B417" i="1"/>
  <c r="D460" i="1"/>
  <c r="B628" i="1"/>
  <c r="B438" i="1"/>
  <c r="E528" i="1"/>
  <c r="B671" i="1"/>
  <c r="C2339" i="1"/>
  <c r="B127" i="1"/>
  <c r="A1928" i="1"/>
  <c r="A81" i="1"/>
  <c r="A271" i="1"/>
  <c r="D46" i="1"/>
  <c r="F271" i="1"/>
  <c r="F272" i="1"/>
  <c r="B88" i="1"/>
  <c r="D273" i="1"/>
  <c r="B1433" i="1"/>
  <c r="D1317" i="1"/>
  <c r="C407" i="1"/>
  <c r="C78" i="1"/>
  <c r="F431" i="1"/>
  <c r="B331" i="1"/>
  <c r="F774" i="1"/>
  <c r="C1607" i="1"/>
  <c r="A511" i="1"/>
  <c r="B486" i="1"/>
  <c r="D354" i="1"/>
  <c r="F81" i="1"/>
  <c r="E423" i="1"/>
  <c r="F337" i="1"/>
  <c r="C450" i="1"/>
  <c r="D63" i="1"/>
  <c r="F418" i="1"/>
  <c r="C159" i="1"/>
  <c r="D239" i="1"/>
  <c r="B75" i="1"/>
  <c r="E682" i="1"/>
  <c r="A233" i="1"/>
  <c r="F260" i="1"/>
  <c r="B736" i="1"/>
  <c r="A137" i="1"/>
  <c r="B649" i="1"/>
  <c r="B566" i="1"/>
  <c r="F385" i="1"/>
  <c r="F947" i="1"/>
  <c r="F778" i="1"/>
  <c r="B1004" i="1"/>
  <c r="F446" i="1"/>
  <c r="F225" i="1"/>
  <c r="E169" i="1"/>
  <c r="D706" i="1"/>
  <c r="D371" i="1"/>
  <c r="B620" i="1"/>
  <c r="D933" i="1"/>
  <c r="C1562" i="1"/>
  <c r="D984" i="1"/>
  <c r="E309" i="1"/>
  <c r="C510" i="1"/>
  <c r="D602" i="1"/>
  <c r="F311" i="1"/>
  <c r="E137" i="1"/>
  <c r="F693" i="1"/>
  <c r="E119" i="1"/>
  <c r="C157" i="1"/>
  <c r="B656" i="1"/>
  <c r="C1278" i="1"/>
  <c r="A371" i="1"/>
  <c r="C434" i="1"/>
  <c r="A1373" i="1"/>
  <c r="B141" i="1"/>
  <c r="A331" i="1"/>
  <c r="F422" i="1"/>
  <c r="B95" i="1"/>
  <c r="E159" i="1"/>
  <c r="B1485" i="1"/>
  <c r="D1441" i="1"/>
  <c r="A109" i="1"/>
  <c r="C392" i="1"/>
  <c r="F881" i="1"/>
  <c r="E1156" i="1"/>
  <c r="F262" i="1"/>
  <c r="E330" i="1"/>
  <c r="B84" i="1"/>
  <c r="D294" i="1"/>
  <c r="E114" i="1"/>
  <c r="F49" i="1"/>
  <c r="A384" i="1"/>
  <c r="C436" i="1"/>
  <c r="A898" i="1"/>
  <c r="C38" i="1"/>
  <c r="F730" i="1"/>
  <c r="A32" i="1"/>
  <c r="B18" i="1"/>
  <c r="E618" i="1"/>
  <c r="B416" i="1"/>
  <c r="B154" i="1"/>
  <c r="B1956" i="1"/>
  <c r="B256" i="1"/>
  <c r="B157" i="1"/>
  <c r="C700" i="1"/>
  <c r="D201" i="1"/>
  <c r="A1800" i="1"/>
  <c r="B62" i="1"/>
  <c r="F891" i="1"/>
  <c r="F376" i="1"/>
  <c r="A354" i="1"/>
  <c r="E1674" i="1"/>
  <c r="F184" i="1"/>
  <c r="C401" i="1"/>
  <c r="E312" i="1"/>
  <c r="F85" i="1"/>
  <c r="D549" i="1"/>
  <c r="E723" i="1"/>
  <c r="C670" i="1"/>
  <c r="A541" i="1"/>
  <c r="F37" i="1"/>
  <c r="B1515" i="1"/>
  <c r="C313" i="1"/>
  <c r="F871" i="1"/>
  <c r="F426" i="1"/>
  <c r="A861" i="1"/>
  <c r="D387" i="1"/>
  <c r="D101" i="1"/>
  <c r="E805" i="1"/>
  <c r="E6" i="1"/>
  <c r="D199" i="1"/>
  <c r="D652" i="1"/>
  <c r="B118" i="1"/>
  <c r="C682" i="1"/>
  <c r="D88" i="1"/>
  <c r="C473" i="1"/>
  <c r="A313" i="1"/>
  <c r="B473" i="1"/>
  <c r="B706" i="1"/>
  <c r="A378" i="1"/>
  <c r="B469" i="1"/>
  <c r="F1522" i="1"/>
  <c r="F956" i="1"/>
  <c r="F556" i="1"/>
  <c r="D663" i="1"/>
  <c r="F249" i="1"/>
  <c r="C537" i="1"/>
  <c r="B204" i="1"/>
  <c r="C101" i="1"/>
  <c r="F901" i="1"/>
  <c r="E291" i="1"/>
  <c r="F627" i="1"/>
  <c r="B504" i="1"/>
  <c r="B330" i="1"/>
  <c r="A1898" i="1"/>
  <c r="E2082" i="1"/>
  <c r="F488" i="2"/>
  <c r="C1672" i="1"/>
  <c r="A1540" i="1"/>
  <c r="D1746" i="1"/>
  <c r="B46" i="1"/>
  <c r="F1737" i="1"/>
  <c r="E1641" i="1"/>
  <c r="D1088" i="1"/>
  <c r="E326" i="1"/>
  <c r="E1388" i="1"/>
  <c r="C127" i="1"/>
  <c r="C221" i="1"/>
  <c r="A1492" i="1"/>
  <c r="D1753" i="1"/>
  <c r="D367" i="1"/>
  <c r="E584" i="1"/>
  <c r="D431" i="1"/>
  <c r="E721" i="1"/>
  <c r="F73" i="1"/>
  <c r="A484" i="1"/>
  <c r="F994" i="1"/>
  <c r="E683" i="1"/>
  <c r="A1113" i="1"/>
  <c r="F24" i="1"/>
  <c r="D1307" i="1"/>
  <c r="C503" i="1"/>
  <c r="E1504" i="1"/>
  <c r="B1840" i="1"/>
  <c r="C1616" i="1"/>
  <c r="B241" i="1"/>
  <c r="C779" i="1"/>
  <c r="E433" i="1"/>
  <c r="B924" i="1"/>
  <c r="F71" i="1"/>
  <c r="B304" i="2"/>
  <c r="A63" i="1"/>
  <c r="B978" i="1"/>
  <c r="A533" i="1"/>
  <c r="B1116" i="1"/>
  <c r="F543" i="1"/>
  <c r="D1575" i="1"/>
  <c r="B317" i="1"/>
  <c r="C1089" i="1"/>
  <c r="C487" i="1"/>
  <c r="A1663" i="1"/>
  <c r="C1400" i="1"/>
  <c r="C472" i="1"/>
  <c r="A903" i="1"/>
  <c r="C549" i="1"/>
  <c r="E405" i="1"/>
  <c r="E1765" i="1"/>
  <c r="E1343" i="1"/>
  <c r="E1665" i="1"/>
  <c r="A890" i="1"/>
  <c r="D1011" i="1"/>
  <c r="C638" i="1"/>
  <c r="C1526" i="1"/>
  <c r="D197" i="1"/>
  <c r="E664" i="1"/>
  <c r="D622" i="1"/>
  <c r="F1236" i="1"/>
  <c r="C1100" i="1"/>
  <c r="D922" i="1"/>
  <c r="C1106" i="1"/>
  <c r="C788" i="1"/>
  <c r="C963" i="1"/>
  <c r="B1246" i="1"/>
  <c r="D323" i="1"/>
  <c r="C1094" i="1"/>
  <c r="A722" i="1"/>
  <c r="B1456" i="1"/>
  <c r="F759" i="1"/>
  <c r="A567" i="1"/>
  <c r="A536" i="1"/>
  <c r="B836" i="1"/>
  <c r="F378" i="1"/>
  <c r="D2177" i="1"/>
  <c r="B362" i="1"/>
  <c r="D164" i="1"/>
  <c r="B247" i="1"/>
  <c r="A608" i="1"/>
  <c r="D384" i="1"/>
  <c r="F400" i="1"/>
  <c r="D568" i="1"/>
  <c r="A527" i="1"/>
  <c r="A166" i="1"/>
  <c r="C1120" i="1"/>
  <c r="B1315" i="1"/>
  <c r="A663" i="1"/>
  <c r="C2198" i="1"/>
  <c r="C1262" i="1"/>
  <c r="E519" i="1"/>
  <c r="E646" i="1"/>
  <c r="D586" i="1"/>
  <c r="F1453" i="1"/>
  <c r="E274" i="1"/>
  <c r="C39" i="1"/>
  <c r="D1773" i="1"/>
  <c r="E565" i="1"/>
  <c r="C590" i="1"/>
  <c r="E892" i="1"/>
  <c r="C1740" i="1"/>
  <c r="F181" i="1"/>
  <c r="F13" i="1"/>
  <c r="C343" i="1"/>
  <c r="A195" i="1"/>
  <c r="A688" i="1"/>
  <c r="A1382" i="1"/>
  <c r="C1385" i="1"/>
  <c r="B783" i="1"/>
  <c r="D293" i="1"/>
  <c r="C1299" i="1"/>
  <c r="E230" i="1"/>
  <c r="D252" i="2"/>
  <c r="A1508" i="1"/>
  <c r="F734" i="1"/>
  <c r="A1135" i="1"/>
  <c r="F1178" i="1"/>
  <c r="A642" i="1"/>
  <c r="A1488" i="1"/>
  <c r="E11" i="1"/>
  <c r="E1585" i="1"/>
  <c r="D305" i="1"/>
  <c r="D648" i="2"/>
  <c r="C418" i="1"/>
  <c r="F1279" i="1"/>
  <c r="C1205" i="1"/>
  <c r="C179" i="2"/>
  <c r="B601" i="1"/>
  <c r="A441" i="1"/>
  <c r="E124" i="1"/>
  <c r="A1106" i="1"/>
  <c r="A36" i="1"/>
  <c r="D311" i="1"/>
  <c r="A991" i="1"/>
  <c r="E736" i="1"/>
  <c r="C983" i="1"/>
  <c r="C1567" i="1"/>
  <c r="C1058" i="1"/>
  <c r="F559" i="1"/>
  <c r="A215" i="1"/>
  <c r="C204" i="1"/>
  <c r="F945" i="1"/>
  <c r="B159" i="1"/>
  <c r="E597" i="1"/>
  <c r="A21" i="1"/>
  <c r="F358" i="1"/>
  <c r="B133" i="1"/>
  <c r="D520" i="1"/>
  <c r="D833" i="1"/>
  <c r="B709" i="1"/>
  <c r="F320" i="1"/>
  <c r="E727" i="1"/>
  <c r="C117" i="1"/>
  <c r="C831" i="1"/>
  <c r="A1455" i="1"/>
  <c r="E631" i="1"/>
  <c r="C255" i="1"/>
  <c r="D938" i="1"/>
  <c r="D226" i="1"/>
  <c r="E62" i="1"/>
  <c r="E595" i="1"/>
  <c r="B24" i="1"/>
  <c r="D572" i="1"/>
  <c r="E16" i="1"/>
  <c r="C514" i="1"/>
  <c r="B883" i="1"/>
  <c r="B272" i="1"/>
  <c r="D13" i="1"/>
  <c r="B217" i="1"/>
  <c r="A773" i="1"/>
  <c r="D912" i="1"/>
  <c r="E872" i="1"/>
  <c r="B2107" i="1"/>
  <c r="C975" i="1"/>
  <c r="E808" i="1"/>
  <c r="A721" i="1"/>
  <c r="F357" i="1"/>
  <c r="A924" i="1"/>
  <c r="F668" i="1"/>
  <c r="A979" i="1"/>
  <c r="A1004" i="1"/>
  <c r="A373" i="1"/>
  <c r="A542" i="1"/>
  <c r="D79" i="1"/>
  <c r="A2158" i="1"/>
  <c r="E1379" i="1"/>
  <c r="B1222" i="1"/>
  <c r="D905" i="1"/>
  <c r="F10" i="1"/>
  <c r="C190" i="1"/>
  <c r="E531" i="1"/>
  <c r="E1158" i="1"/>
  <c r="F1613" i="1"/>
  <c r="C44" i="1"/>
  <c r="B239" i="1"/>
  <c r="F546" i="1"/>
  <c r="D394" i="1"/>
  <c r="F334" i="1"/>
  <c r="A640" i="1"/>
  <c r="B386" i="1"/>
  <c r="F379" i="1"/>
  <c r="B1280" i="1"/>
  <c r="C648" i="1"/>
  <c r="D320" i="1"/>
  <c r="A77" i="1"/>
  <c r="B112" i="1"/>
  <c r="F512" i="1"/>
  <c r="E1044" i="1"/>
  <c r="C290" i="1"/>
  <c r="E750" i="1"/>
  <c r="C1307" i="1"/>
  <c r="A263" i="1"/>
  <c r="B636" i="1"/>
  <c r="F403" i="1"/>
  <c r="F1015" i="1"/>
  <c r="F365" i="1"/>
  <c r="C2245" i="1"/>
  <c r="C1709" i="1"/>
  <c r="F673" i="1"/>
  <c r="E512" i="1"/>
  <c r="F22" i="1"/>
  <c r="C155" i="1"/>
  <c r="D987" i="1"/>
  <c r="F142" i="1"/>
  <c r="B505" i="1"/>
  <c r="E1735" i="1"/>
  <c r="D141" i="1"/>
  <c r="F628" i="1"/>
  <c r="B94" i="1"/>
  <c r="E1278" i="1"/>
  <c r="D1609" i="1"/>
  <c r="E1499" i="1"/>
  <c r="A252" i="1"/>
  <c r="E1383" i="1"/>
  <c r="E685" i="1"/>
  <c r="D1094" i="1"/>
  <c r="A772" i="1"/>
  <c r="E183" i="1"/>
  <c r="B1690" i="1"/>
  <c r="C1645" i="1"/>
  <c r="A692" i="1"/>
  <c r="A625" i="1"/>
  <c r="E379" i="1"/>
  <c r="C876" i="1"/>
  <c r="F884" i="1"/>
  <c r="E282" i="1"/>
  <c r="F229" i="1"/>
  <c r="D149" i="1"/>
  <c r="B687" i="1"/>
  <c r="A246" i="1"/>
  <c r="A118" i="1"/>
  <c r="F713" i="1"/>
  <c r="F483" i="1"/>
  <c r="F345" i="1"/>
  <c r="B447" i="1"/>
  <c r="C1175" i="1"/>
  <c r="E395" i="1"/>
  <c r="A1182" i="1"/>
  <c r="A592" i="1"/>
  <c r="B227" i="1"/>
  <c r="C709" i="1"/>
  <c r="B222" i="1"/>
  <c r="F1493" i="1"/>
  <c r="D1083" i="1"/>
  <c r="C628" i="1"/>
  <c r="E279" i="1"/>
  <c r="D248" i="1"/>
  <c r="B285" i="1"/>
  <c r="F652" i="1"/>
  <c r="A346" i="1"/>
  <c r="E1368" i="1"/>
  <c r="B484" i="1"/>
  <c r="D315" i="1"/>
  <c r="B517" i="1"/>
  <c r="A78" i="1"/>
  <c r="E1288" i="1"/>
  <c r="D671" i="1"/>
  <c r="A269" i="1"/>
  <c r="E477" i="1"/>
  <c r="D108" i="1"/>
  <c r="B120" i="1"/>
  <c r="C746" i="1"/>
  <c r="C322" i="1"/>
  <c r="E452" i="1"/>
  <c r="A820" i="1"/>
  <c r="D195" i="1"/>
  <c r="D902" i="1"/>
  <c r="A122" i="1"/>
  <c r="A71" i="1"/>
  <c r="A1206" i="1"/>
  <c r="B315" i="1"/>
  <c r="B59" i="1"/>
  <c r="F779" i="1"/>
  <c r="E1670" i="1"/>
  <c r="F821" i="1"/>
  <c r="D1459" i="1"/>
  <c r="B1897" i="1"/>
  <c r="A989" i="1"/>
  <c r="B1077" i="1"/>
  <c r="D2051" i="1"/>
  <c r="E964" i="1"/>
  <c r="B704" i="1"/>
  <c r="E743" i="1"/>
  <c r="C338" i="1"/>
  <c r="C1999" i="1"/>
  <c r="C1229" i="1"/>
  <c r="F241" i="1"/>
  <c r="A230" i="1"/>
  <c r="B699" i="1"/>
  <c r="D537" i="1"/>
  <c r="C410" i="1"/>
  <c r="F338" i="1"/>
  <c r="A360" i="1"/>
  <c r="C380" i="1"/>
  <c r="A818" i="1"/>
  <c r="C564" i="1"/>
  <c r="E293" i="1"/>
  <c r="E907" i="1"/>
  <c r="E674" i="1"/>
  <c r="A570" i="1"/>
  <c r="C108" i="1"/>
  <c r="C306" i="1"/>
  <c r="F570" i="1"/>
  <c r="D627" i="1"/>
  <c r="D828" i="1"/>
  <c r="A279" i="1"/>
  <c r="E69" i="1"/>
  <c r="F114" i="1"/>
  <c r="A1484" i="1"/>
  <c r="D971" i="1"/>
  <c r="F313" i="1"/>
  <c r="F451" i="1"/>
  <c r="C35" i="1"/>
  <c r="A854" i="1"/>
  <c r="E446" i="1"/>
  <c r="B831" i="1"/>
  <c r="E1003" i="1"/>
  <c r="C265" i="1"/>
  <c r="B548" i="1"/>
  <c r="D570" i="1"/>
  <c r="A607" i="1"/>
  <c r="F60" i="1"/>
  <c r="D130" i="1"/>
  <c r="D210" i="1"/>
  <c r="C321" i="1"/>
  <c r="C353" i="1"/>
  <c r="D556" i="1"/>
  <c r="B74" i="1"/>
  <c r="E656" i="1"/>
  <c r="A5" i="1"/>
  <c r="B318" i="1"/>
  <c r="E422" i="1"/>
  <c r="E1626" i="1"/>
  <c r="E39" i="1"/>
  <c r="A1414" i="1"/>
  <c r="A2" i="1"/>
  <c r="C62" i="1"/>
  <c r="C1450" i="1"/>
  <c r="E866" i="1"/>
  <c r="E255" i="1"/>
  <c r="F969" i="1"/>
  <c r="B436" i="1"/>
  <c r="E980" i="1"/>
  <c r="F845" i="1"/>
  <c r="E44" i="1"/>
  <c r="F1786" i="1"/>
  <c r="B2075" i="1"/>
  <c r="A1429" i="1"/>
  <c r="C874" i="1"/>
  <c r="E308" i="1"/>
  <c r="F965" i="1"/>
  <c r="B425" i="1"/>
  <c r="E131" i="1"/>
  <c r="D185" i="1"/>
  <c r="B20" i="1"/>
  <c r="E429" i="1"/>
  <c r="C327" i="1"/>
  <c r="E181" i="1"/>
  <c r="E359" i="1"/>
  <c r="E473" i="1"/>
  <c r="D636" i="1"/>
  <c r="B539" i="1"/>
  <c r="C1265" i="1"/>
  <c r="E643" i="1"/>
  <c r="B199" i="1"/>
  <c r="C233" i="1"/>
  <c r="E271" i="1"/>
  <c r="F247" i="1"/>
  <c r="B347" i="1"/>
  <c r="B964" i="1"/>
  <c r="E416" i="1"/>
  <c r="E313" i="1"/>
  <c r="F171" i="1"/>
  <c r="C94" i="1"/>
  <c r="E1104" i="1"/>
  <c r="D442" i="1"/>
  <c r="F701" i="1"/>
  <c r="D1232" i="1"/>
  <c r="F727" i="1"/>
  <c r="C858" i="1"/>
  <c r="B1360" i="1"/>
  <c r="F205" i="1"/>
  <c r="F678" i="1"/>
  <c r="B808" i="1"/>
  <c r="D495" i="1"/>
  <c r="B57" i="1"/>
  <c r="F145" i="1"/>
  <c r="C507" i="1"/>
  <c r="F54" i="1"/>
  <c r="D376" i="1"/>
  <c r="E126" i="1"/>
  <c r="A578" i="1"/>
  <c r="A1211" i="1"/>
  <c r="B1916" i="1"/>
  <c r="E645" i="1"/>
  <c r="F619" i="1"/>
  <c r="B1015" i="1"/>
  <c r="A676" i="1"/>
  <c r="F319" i="1"/>
  <c r="C177" i="1"/>
  <c r="E1002" i="1"/>
  <c r="B189" i="1"/>
  <c r="E164" i="1"/>
  <c r="B967" i="1"/>
  <c r="C405" i="1"/>
  <c r="D1107" i="1"/>
  <c r="F136" i="1"/>
  <c r="C271" i="1"/>
  <c r="D198" i="1"/>
  <c r="D2140" i="1"/>
  <c r="A569" i="1"/>
  <c r="B307" i="1"/>
  <c r="C1086" i="1"/>
  <c r="B931" i="1"/>
  <c r="A928" i="1"/>
  <c r="F115" i="1"/>
  <c r="F137" i="1"/>
  <c r="A291" i="1"/>
  <c r="C357" i="1"/>
  <c r="C13" i="1"/>
  <c r="F173" i="1"/>
  <c r="B135" i="1"/>
  <c r="B325" i="1"/>
  <c r="B244" i="1"/>
  <c r="B410" i="1"/>
  <c r="C635" i="1"/>
  <c r="E820" i="1"/>
  <c r="A1262" i="1"/>
  <c r="D638" i="1"/>
  <c r="B121" i="1"/>
  <c r="A1332" i="1"/>
  <c r="B21" i="1"/>
  <c r="D97" i="1"/>
  <c r="C490" i="1"/>
  <c r="B575" i="1"/>
  <c r="B528" i="1"/>
  <c r="A689" i="1"/>
  <c r="B668" i="1"/>
  <c r="D792" i="1"/>
  <c r="B412" i="1"/>
  <c r="C910" i="1"/>
  <c r="B109" i="1"/>
  <c r="F1173" i="1"/>
  <c r="C1257" i="1"/>
  <c r="B6" i="1"/>
  <c r="E994" i="1"/>
  <c r="B2127" i="1"/>
  <c r="B353" i="1"/>
  <c r="F893" i="1"/>
  <c r="A576" i="1"/>
  <c r="A1140" i="1"/>
  <c r="E400" i="1"/>
  <c r="C1319" i="1"/>
  <c r="F1933" i="1"/>
  <c r="D1698" i="1"/>
  <c r="F1400" i="1"/>
  <c r="B1845" i="1"/>
  <c r="D2109" i="1"/>
  <c r="F694" i="1"/>
  <c r="A1359" i="1"/>
  <c r="D1635" i="1"/>
  <c r="C335" i="1"/>
  <c r="B851" i="1"/>
  <c r="A164" i="1"/>
  <c r="B838" i="1"/>
  <c r="F1816" i="1"/>
  <c r="F461" i="1"/>
  <c r="C1444" i="1"/>
  <c r="D740" i="1"/>
  <c r="B683" i="1"/>
  <c r="D1735" i="1"/>
  <c r="C140" i="1"/>
  <c r="A538" i="1"/>
  <c r="B1396" i="1"/>
  <c r="C848" i="1"/>
  <c r="A1620" i="1"/>
  <c r="D1725" i="1"/>
  <c r="C1037" i="1"/>
  <c r="D1556" i="1"/>
  <c r="F15" i="1"/>
  <c r="B815" i="1"/>
  <c r="F1035" i="1"/>
  <c r="C646" i="1"/>
  <c r="D103" i="1"/>
  <c r="F1696" i="1"/>
  <c r="F1676" i="1"/>
  <c r="D728" i="1"/>
  <c r="B867" i="1"/>
  <c r="C631" i="1"/>
  <c r="D686" i="1"/>
  <c r="B970" i="1"/>
  <c r="F179" i="1"/>
  <c r="C30" i="2"/>
  <c r="B1621" i="1"/>
  <c r="D954" i="1"/>
  <c r="C609" i="1"/>
  <c r="D779" i="1"/>
  <c r="F309" i="1"/>
  <c r="E344" i="1"/>
  <c r="E1947" i="1"/>
  <c r="D1671" i="1"/>
  <c r="D995" i="1"/>
  <c r="D975" i="1"/>
  <c r="E986" i="1"/>
  <c r="D252" i="1"/>
  <c r="B1384" i="1"/>
  <c r="C1789" i="1"/>
  <c r="E634" i="1"/>
  <c r="A1187" i="1"/>
  <c r="C865" i="1"/>
  <c r="A469" i="1"/>
  <c r="F1290" i="1"/>
  <c r="D1781" i="1"/>
  <c r="A150" i="1"/>
  <c r="D178" i="1"/>
  <c r="C1670" i="1"/>
  <c r="F859" i="1"/>
  <c r="C719" i="1"/>
  <c r="E574" i="1"/>
  <c r="A344" i="1"/>
  <c r="B422" i="1"/>
  <c r="C642" i="1"/>
  <c r="A551" i="1"/>
  <c r="D1453" i="1"/>
  <c r="F1525" i="1"/>
  <c r="F1102" i="1"/>
  <c r="C1424" i="1"/>
  <c r="E893" i="1"/>
  <c r="D222" i="1"/>
  <c r="B464" i="1"/>
  <c r="D288" i="1"/>
  <c r="C1095" i="1"/>
  <c r="A6" i="1"/>
  <c r="F511" i="1"/>
  <c r="C822" i="1"/>
  <c r="D272" i="1"/>
  <c r="C1815" i="1"/>
  <c r="B295" i="1"/>
  <c r="A348" i="1"/>
  <c r="D166" i="1"/>
  <c r="E165" i="1"/>
  <c r="D446" i="1"/>
  <c r="A1036" i="1"/>
  <c r="D1603" i="1"/>
  <c r="F516" i="1"/>
  <c r="D707" i="1"/>
  <c r="E19" i="1"/>
  <c r="E919" i="1"/>
  <c r="E659" i="1"/>
  <c r="A80" i="1"/>
  <c r="E679" i="1"/>
  <c r="E303" i="1"/>
  <c r="D188" i="1"/>
  <c r="C935" i="1"/>
  <c r="D168" i="1"/>
  <c r="F77" i="1"/>
  <c r="F679" i="1"/>
  <c r="F455" i="1"/>
  <c r="F568" i="1"/>
  <c r="C58" i="1"/>
  <c r="D885" i="1"/>
  <c r="B111" i="1"/>
  <c r="B796" i="1"/>
  <c r="E1300" i="1"/>
  <c r="A456" i="1"/>
  <c r="F373" i="1"/>
  <c r="F124" i="1"/>
  <c r="B1744" i="1"/>
  <c r="F2157" i="1"/>
  <c r="C1270" i="1"/>
  <c r="E1610" i="1"/>
  <c r="D1919" i="1"/>
  <c r="E570" i="1"/>
  <c r="B401" i="1"/>
  <c r="A766" i="1"/>
  <c r="E916" i="1"/>
  <c r="A1692" i="1"/>
  <c r="B365" i="1"/>
  <c r="E839" i="1"/>
  <c r="F978" i="1"/>
  <c r="D1826" i="1"/>
  <c r="E1575" i="1"/>
  <c r="A1895" i="1"/>
  <c r="A55" i="1"/>
  <c r="A1137" i="1"/>
  <c r="B870" i="1"/>
  <c r="F331" i="1"/>
  <c r="B23" i="1"/>
  <c r="C677" i="1"/>
  <c r="C277" i="1"/>
  <c r="F769" i="1"/>
  <c r="D398" i="1"/>
  <c r="C1355" i="1"/>
  <c r="E54" i="1"/>
  <c r="C77" i="1"/>
  <c r="B1365" i="1"/>
  <c r="D174" i="1"/>
  <c r="A410" i="1"/>
  <c r="A361" i="1"/>
  <c r="C518" i="1"/>
  <c r="F104" i="1"/>
  <c r="C66" i="1"/>
  <c r="E895" i="1"/>
  <c r="D314" i="1"/>
  <c r="E517" i="1"/>
  <c r="A319" i="1"/>
  <c r="D897" i="1"/>
  <c r="F296" i="1"/>
  <c r="A426" i="1"/>
  <c r="D640" i="1"/>
  <c r="E495" i="1"/>
  <c r="B536" i="1"/>
  <c r="E3" i="1"/>
  <c r="C1938" i="1"/>
  <c r="F174" i="1"/>
  <c r="B42" i="1"/>
  <c r="A270" i="1"/>
  <c r="F489" i="1"/>
  <c r="F544" i="1"/>
  <c r="F208" i="1"/>
  <c r="C156" i="1"/>
  <c r="D129" i="1"/>
  <c r="A647" i="1"/>
  <c r="B423" i="1"/>
  <c r="B637" i="1"/>
  <c r="A629" i="1"/>
  <c r="B459" i="1"/>
  <c r="C1912" i="1"/>
  <c r="F2291" i="1"/>
  <c r="C1918" i="1"/>
  <c r="C758" i="1"/>
  <c r="D360" i="1"/>
  <c r="D1346" i="1"/>
  <c r="C550" i="1"/>
  <c r="A877" i="1"/>
  <c r="D207" i="1"/>
  <c r="B2455" i="1"/>
  <c r="A211" i="1"/>
  <c r="C1327" i="1"/>
  <c r="F1775" i="1"/>
  <c r="D2317" i="1"/>
  <c r="E1173" i="1"/>
  <c r="B950" i="1"/>
  <c r="B862" i="1"/>
  <c r="A239" i="1"/>
  <c r="A232" i="1"/>
  <c r="C109" i="1"/>
  <c r="B175" i="1"/>
  <c r="E360" i="1"/>
  <c r="D16" i="1"/>
  <c r="C103" i="1"/>
  <c r="C1692" i="1"/>
  <c r="A153" i="1"/>
  <c r="F264" i="1"/>
  <c r="E22" i="1"/>
  <c r="F681" i="1"/>
  <c r="C694" i="1"/>
  <c r="B339" i="1"/>
  <c r="D1537" i="1"/>
  <c r="E397" i="1"/>
  <c r="E21" i="1"/>
  <c r="C688" i="1"/>
  <c r="C538" i="1"/>
  <c r="B3" i="1"/>
  <c r="A517" i="1"/>
  <c r="F906" i="1"/>
  <c r="F949" i="1"/>
  <c r="F603" i="1"/>
  <c r="F111" i="1"/>
  <c r="C464" i="1"/>
  <c r="C68" i="1"/>
  <c r="B391" i="1"/>
  <c r="F157" i="1"/>
  <c r="B130" i="1"/>
  <c r="F70" i="1"/>
  <c r="A143" i="1"/>
  <c r="B294" i="1"/>
  <c r="D76" i="1"/>
  <c r="B193" i="1"/>
  <c r="C164" i="1"/>
  <c r="D22" i="1"/>
  <c r="C1352" i="1"/>
  <c r="B846" i="1"/>
  <c r="F176" i="1"/>
  <c r="F1753" i="1"/>
  <c r="B1539" i="1"/>
  <c r="C1076" i="1"/>
  <c r="E1484" i="1"/>
  <c r="F2300" i="1"/>
  <c r="F1097" i="1"/>
  <c r="D1580" i="1"/>
  <c r="C1478" i="1"/>
  <c r="C1233" i="1"/>
  <c r="A268" i="1"/>
  <c r="D965" i="1"/>
  <c r="D1402" i="1"/>
  <c r="A825" i="1"/>
  <c r="D617" i="1"/>
  <c r="B86" i="1"/>
  <c r="F800" i="1"/>
  <c r="D187" i="1"/>
  <c r="B613" i="1"/>
  <c r="B619" i="1"/>
  <c r="C657" i="1"/>
  <c r="F812" i="1"/>
  <c r="D72" i="1"/>
  <c r="D804" i="1"/>
  <c r="C129" i="1"/>
  <c r="F141" i="1"/>
  <c r="C584" i="1"/>
  <c r="F657" i="1"/>
  <c r="A159" i="1"/>
  <c r="B1" i="1"/>
  <c r="A161" i="1"/>
  <c r="E438" i="1"/>
  <c r="D405" i="1"/>
  <c r="E486" i="1"/>
  <c r="F1465" i="1"/>
  <c r="A796" i="1"/>
  <c r="E136" i="1"/>
  <c r="C36" i="1"/>
  <c r="A44" i="1"/>
  <c r="A603" i="1"/>
  <c r="E287" i="1"/>
  <c r="F190" i="1"/>
  <c r="F427" i="1"/>
  <c r="E577" i="1"/>
  <c r="A1254" i="1"/>
  <c r="F31" i="1"/>
  <c r="C427" i="1"/>
  <c r="C15" i="1"/>
  <c r="C349" i="1"/>
  <c r="A732" i="1"/>
  <c r="C31" i="1"/>
  <c r="D6" i="1"/>
  <c r="B518" i="1"/>
  <c r="E1386" i="1"/>
  <c r="F367" i="1"/>
  <c r="B314" i="1"/>
  <c r="A443" i="1"/>
  <c r="D57" i="1"/>
  <c r="B253" i="1"/>
  <c r="C1025" i="1"/>
  <c r="A645" i="1"/>
  <c r="F1714" i="1"/>
  <c r="E1312" i="1"/>
  <c r="F1625" i="1"/>
  <c r="A294" i="1"/>
  <c r="A1738" i="1"/>
  <c r="C1059" i="1"/>
  <c r="B756" i="1"/>
  <c r="C1182" i="1"/>
  <c r="C593" i="2"/>
  <c r="D1372" i="1"/>
  <c r="D1827" i="1"/>
  <c r="C1165" i="1"/>
  <c r="E1363" i="1"/>
  <c r="F1395" i="1"/>
  <c r="C1207" i="1"/>
  <c r="B361" i="1"/>
  <c r="E612" i="1"/>
  <c r="D505" i="1"/>
  <c r="D89" i="1"/>
  <c r="D263" i="1"/>
  <c r="A318" i="1"/>
  <c r="E1" i="1"/>
  <c r="A403" i="1"/>
  <c r="E458" i="1"/>
  <c r="D42" i="1"/>
  <c r="B298" i="1"/>
  <c r="F144" i="1"/>
  <c r="A853" i="1"/>
  <c r="F369" i="1"/>
  <c r="C86" i="1"/>
  <c r="C871" i="1"/>
  <c r="A18" i="1"/>
  <c r="F533" i="1"/>
  <c r="A33" i="1"/>
  <c r="C807" i="1"/>
  <c r="F336" i="1"/>
  <c r="C971" i="1"/>
  <c r="B498" i="1"/>
  <c r="C311" i="1"/>
  <c r="A332" i="1"/>
  <c r="C523" i="1"/>
  <c r="F625" i="1"/>
  <c r="E13" i="1"/>
  <c r="C512" i="1"/>
  <c r="D224" i="1"/>
  <c r="B31" i="1"/>
  <c r="C974" i="1"/>
  <c r="E1564" i="1"/>
  <c r="C521" i="1"/>
  <c r="C1275" i="1"/>
  <c r="D99" i="1"/>
  <c r="C505" i="1"/>
  <c r="C500" i="1"/>
  <c r="C593" i="1"/>
  <c r="F661" i="1"/>
  <c r="A123" i="1"/>
  <c r="C205" i="1"/>
  <c r="F924" i="1"/>
  <c r="F231" i="1"/>
  <c r="C495" i="1"/>
  <c r="A237" i="1"/>
  <c r="A365" i="1"/>
  <c r="D409" i="1"/>
  <c r="B692" i="1"/>
  <c r="B941" i="1"/>
  <c r="E730" i="1"/>
  <c r="A1052" i="1"/>
  <c r="C861" i="1"/>
  <c r="A1968" i="1"/>
  <c r="C1142" i="1"/>
  <c r="D956" i="1"/>
  <c r="A1416" i="1"/>
  <c r="B834" i="1"/>
  <c r="E1082" i="1"/>
  <c r="A513" i="1"/>
  <c r="A777" i="1"/>
  <c r="F1780" i="1"/>
  <c r="B974" i="1"/>
  <c r="C957" i="1"/>
  <c r="E616" i="1"/>
  <c r="F744" i="1"/>
  <c r="C232" i="1"/>
  <c r="A510" i="1"/>
  <c r="F929" i="1"/>
  <c r="E1268" i="1"/>
  <c r="C695" i="1"/>
  <c r="D21" i="1"/>
  <c r="C750" i="1"/>
  <c r="F1071" i="1"/>
  <c r="E141" i="1"/>
  <c r="E484" i="1"/>
  <c r="F688" i="1"/>
  <c r="C196" i="1"/>
  <c r="D1002" i="1"/>
  <c r="E1957" i="1"/>
  <c r="A585" i="1"/>
  <c r="E38" i="1"/>
  <c r="C576" i="1"/>
  <c r="C1004" i="1"/>
  <c r="B143" i="1"/>
  <c r="B221" i="1"/>
  <c r="E665" i="1"/>
  <c r="B100" i="1"/>
  <c r="B40" i="1"/>
  <c r="E514" i="1"/>
  <c r="F65" i="1"/>
  <c r="C458" i="1"/>
  <c r="D968" i="1"/>
  <c r="E410" i="1"/>
  <c r="D416" i="1"/>
  <c r="F318" i="1"/>
  <c r="B208" i="1"/>
  <c r="E372" i="1"/>
  <c r="C382" i="1"/>
  <c r="E829" i="1"/>
  <c r="D137" i="1"/>
  <c r="A628" i="1"/>
  <c r="D467" i="1"/>
  <c r="C11" i="1"/>
  <c r="D148" i="1"/>
  <c r="B203" i="1"/>
  <c r="C336" i="1"/>
  <c r="E571" i="1"/>
  <c r="A154" i="1"/>
  <c r="A658" i="1"/>
  <c r="E1518" i="1"/>
  <c r="D438" i="1"/>
  <c r="A619" i="1"/>
  <c r="D527" i="1"/>
  <c r="F305" i="1"/>
  <c r="D71" i="1"/>
  <c r="A602" i="1"/>
  <c r="D780" i="1"/>
  <c r="E27" i="1"/>
  <c r="E602" i="1"/>
  <c r="F886" i="1"/>
  <c r="E1447" i="1"/>
  <c r="E266" i="1"/>
  <c r="D28" i="1"/>
  <c r="C894" i="1"/>
  <c r="B41" i="1"/>
  <c r="B345" i="1"/>
  <c r="B1005" i="1"/>
  <c r="C57" i="1"/>
  <c r="D131" i="2"/>
  <c r="B686" i="2"/>
  <c r="C794" i="1"/>
  <c r="E333" i="1"/>
  <c r="A561" i="1"/>
  <c r="A16" i="1"/>
  <c r="C1271" i="1"/>
  <c r="F97" i="1"/>
  <c r="E223" i="1"/>
  <c r="A597" i="1"/>
  <c r="C282" i="1"/>
  <c r="E490" i="1"/>
  <c r="F876" i="1"/>
  <c r="E244" i="1"/>
  <c r="E332" i="1"/>
  <c r="E150" i="1"/>
  <c r="A208" i="1"/>
  <c r="D715" i="1"/>
  <c r="A1048" i="1"/>
  <c r="B419" i="1"/>
  <c r="F294" i="1"/>
  <c r="B1232" i="1"/>
  <c r="F1941" i="1"/>
  <c r="D139" i="1"/>
  <c r="E785" i="1"/>
  <c r="F685" i="1"/>
  <c r="D611" i="1"/>
  <c r="F1136" i="1"/>
  <c r="A912" i="1"/>
  <c r="A583" i="1"/>
  <c r="B17" i="1"/>
  <c r="B1386" i="1"/>
  <c r="B356" i="1"/>
  <c r="B2505" i="1"/>
  <c r="F1718" i="1"/>
  <c r="A186" i="1"/>
  <c r="F1112" i="1"/>
  <c r="A725" i="1"/>
  <c r="E793" i="1"/>
  <c r="D194" i="1"/>
  <c r="C902" i="1"/>
  <c r="F360" i="1"/>
  <c r="C377" i="1"/>
  <c r="B90" i="1"/>
  <c r="B389" i="1"/>
  <c r="D1861" i="1"/>
  <c r="E1332" i="1"/>
  <c r="A1094" i="1"/>
  <c r="F46" i="1"/>
  <c r="A933" i="1"/>
  <c r="C315" i="1"/>
  <c r="A1831" i="1"/>
  <c r="A1785" i="1"/>
  <c r="A2246" i="1"/>
  <c r="E602" i="2"/>
  <c r="C1596" i="1"/>
  <c r="E1075" i="1"/>
  <c r="B1140" i="1"/>
  <c r="E1373" i="1"/>
  <c r="E532" i="1"/>
  <c r="E2085" i="1"/>
  <c r="F1262" i="1"/>
  <c r="D630" i="1"/>
  <c r="B2114" i="1"/>
  <c r="C1220" i="1"/>
  <c r="E772" i="1"/>
  <c r="D1147" i="1"/>
  <c r="E579" i="1"/>
  <c r="B2065" i="1"/>
  <c r="C1282" i="1"/>
  <c r="C406" i="1"/>
  <c r="F1081" i="1"/>
  <c r="E947" i="1"/>
  <c r="E592" i="1"/>
  <c r="A1527" i="1"/>
  <c r="F2397" i="1"/>
  <c r="A1641" i="1"/>
  <c r="D739" i="1"/>
  <c r="E135" i="1"/>
  <c r="B1070" i="1"/>
  <c r="B433" i="2"/>
  <c r="A343" i="1"/>
  <c r="D748" i="1"/>
  <c r="B1494" i="1"/>
  <c r="B1177" i="1"/>
  <c r="F281" i="1"/>
  <c r="A222" i="1"/>
  <c r="F1" i="1"/>
  <c r="F1347" i="1"/>
  <c r="F1127" i="1"/>
  <c r="C501" i="1"/>
  <c r="E2001" i="1"/>
  <c r="A1059" i="1"/>
  <c r="F1212" i="1"/>
  <c r="E352" i="1"/>
  <c r="F370" i="1"/>
  <c r="F922" i="1"/>
  <c r="D854" i="2"/>
  <c r="B1417" i="1"/>
  <c r="C1964" i="1"/>
  <c r="E611" i="1"/>
  <c r="F1176" i="1"/>
  <c r="C563" i="1"/>
  <c r="A917" i="1"/>
  <c r="E1252" i="1"/>
  <c r="D153" i="1"/>
  <c r="C1408" i="1"/>
  <c r="A1145" i="1"/>
  <c r="D711" i="1"/>
  <c r="E1434" i="1"/>
  <c r="B144" i="1"/>
  <c r="C498" i="1"/>
  <c r="F34" i="1"/>
  <c r="D1797" i="1"/>
  <c r="F983" i="1"/>
  <c r="B965" i="1"/>
  <c r="E935" i="1"/>
  <c r="D1769" i="1"/>
  <c r="A167" i="1"/>
  <c r="A376" i="1"/>
  <c r="A1889" i="1"/>
  <c r="C1192" i="1"/>
  <c r="D15" i="2"/>
  <c r="A1638" i="1"/>
  <c r="A1449" i="1"/>
  <c r="E1392" i="1"/>
  <c r="F810" i="1"/>
  <c r="A491" i="1"/>
  <c r="A763" i="1"/>
  <c r="F572" i="1"/>
  <c r="B70" i="1"/>
  <c r="E976" i="1"/>
  <c r="E97" i="1"/>
  <c r="E149" i="1"/>
  <c r="E480" i="1"/>
  <c r="D358" i="1"/>
  <c r="A58" i="1"/>
  <c r="C541" i="1"/>
  <c r="C891" i="1"/>
  <c r="D278" i="1"/>
  <c r="B996" i="1"/>
  <c r="F1606" i="1"/>
  <c r="F602" i="1"/>
  <c r="C727" i="1"/>
  <c r="D653" i="1"/>
  <c r="E718" i="1"/>
  <c r="F468" i="1"/>
  <c r="D83" i="1"/>
  <c r="E641" i="1"/>
  <c r="A359" i="1"/>
  <c r="F377" i="1"/>
  <c r="B819" i="1"/>
  <c r="D1199" i="1"/>
  <c r="B30" i="1"/>
  <c r="B1771" i="1"/>
  <c r="F1232" i="1"/>
  <c r="A347" i="1"/>
  <c r="A334" i="1"/>
  <c r="B281" i="1"/>
  <c r="C732" i="1"/>
  <c r="E627" i="1"/>
  <c r="C1733" i="1"/>
  <c r="E180" i="1"/>
  <c r="E206" i="1"/>
  <c r="E327" i="1"/>
  <c r="C49" i="1"/>
  <c r="D2043" i="1"/>
  <c r="D714" i="1"/>
  <c r="F153" i="2"/>
  <c r="E144" i="2"/>
  <c r="E2240" i="1"/>
  <c r="A285" i="1"/>
  <c r="C1043" i="1"/>
  <c r="B424" i="1"/>
  <c r="D1223" i="1"/>
  <c r="D592" i="1"/>
  <c r="C2252" i="1"/>
  <c r="E556" i="1"/>
  <c r="E1193" i="1"/>
  <c r="A834" i="1"/>
  <c r="A1161" i="1"/>
  <c r="F147" i="1"/>
  <c r="C467" i="1"/>
  <c r="A734" i="1"/>
  <c r="C560" i="1"/>
  <c r="A229" i="1"/>
  <c r="A264" i="1"/>
  <c r="F402" i="1"/>
  <c r="C90" i="1"/>
  <c r="D900" i="1"/>
  <c r="F11" i="1"/>
  <c r="D412" i="1"/>
  <c r="A493" i="1"/>
  <c r="E85" i="1"/>
  <c r="E353" i="1"/>
  <c r="A1204" i="1"/>
  <c r="E572" i="1"/>
  <c r="D579" i="1"/>
  <c r="F333" i="1"/>
  <c r="B91" i="1"/>
  <c r="F677" i="1"/>
  <c r="A956" i="1"/>
  <c r="D896" i="1"/>
  <c r="D691" i="1"/>
  <c r="B212" i="1"/>
  <c r="B420" i="1"/>
  <c r="A420" i="1"/>
  <c r="D895" i="1"/>
  <c r="D734" i="1"/>
  <c r="A1783" i="1"/>
  <c r="E485" i="1"/>
  <c r="C761" i="1"/>
  <c r="B251" i="1"/>
  <c r="D598" i="1"/>
  <c r="D936" i="1"/>
  <c r="A698" i="1"/>
  <c r="D81" i="1"/>
  <c r="D285" i="1"/>
  <c r="E516" i="1"/>
  <c r="E59" i="1"/>
  <c r="E852" i="1"/>
  <c r="E115" i="1"/>
  <c r="A1" i="1"/>
  <c r="B136" i="1"/>
  <c r="C1255" i="1"/>
  <c r="A465" i="1"/>
  <c r="F1764" i="1"/>
  <c r="C104" i="1"/>
  <c r="D682" i="1"/>
  <c r="B60" i="1"/>
  <c r="E1470" i="1"/>
  <c r="C508" i="1"/>
  <c r="B150" i="1"/>
  <c r="D5" i="1"/>
  <c r="B1006" i="1"/>
  <c r="E170" i="1"/>
  <c r="D2460" i="1"/>
  <c r="B372" i="1"/>
  <c r="D1403" i="1"/>
  <c r="C929" i="1"/>
  <c r="D751" i="1"/>
  <c r="A486" i="1"/>
  <c r="C111" i="1"/>
  <c r="F193" i="1"/>
  <c r="B269" i="1"/>
  <c r="E588" i="1"/>
  <c r="F528" i="1"/>
  <c r="C440" i="1"/>
  <c r="F223" i="1"/>
  <c r="C4" i="1"/>
  <c r="A368" i="1"/>
  <c r="B684" i="1"/>
  <c r="C857" i="1"/>
  <c r="A948" i="1"/>
  <c r="E265" i="1"/>
  <c r="C726" i="1"/>
  <c r="C729" i="1"/>
  <c r="F393" i="1"/>
  <c r="D526" i="1"/>
  <c r="C17" i="1"/>
  <c r="F885" i="1"/>
  <c r="A445" i="1"/>
  <c r="E74" i="1"/>
  <c r="B1337" i="1"/>
  <c r="B1210" i="1"/>
  <c r="E963" i="1"/>
  <c r="F462" i="1"/>
  <c r="B252" i="1"/>
  <c r="D619" i="1"/>
  <c r="A635" i="1"/>
  <c r="E496" i="1"/>
  <c r="A667" i="1"/>
  <c r="E550" i="1"/>
  <c r="C70" i="1"/>
  <c r="D582" i="1"/>
  <c r="B561" i="1"/>
  <c r="F545" i="1"/>
  <c r="A194" i="1"/>
  <c r="B430" i="1"/>
  <c r="B1459" i="1"/>
  <c r="F1819" i="1"/>
  <c r="F148" i="1"/>
  <c r="B868" i="1"/>
  <c r="C1840" i="1"/>
  <c r="F2040" i="1"/>
  <c r="D703" i="1"/>
  <c r="F1184" i="1"/>
  <c r="B1218" i="1"/>
  <c r="A1803" i="1"/>
  <c r="D831" i="1"/>
  <c r="A1621" i="1"/>
  <c r="B9" i="1"/>
  <c r="C559" i="1"/>
  <c r="F1275" i="1"/>
  <c r="C63" i="1"/>
  <c r="C241" i="1"/>
  <c r="B462" i="1"/>
  <c r="B52" i="1"/>
  <c r="E357" i="1"/>
  <c r="C571" i="1"/>
  <c r="D17" i="1"/>
  <c r="F1443" i="1"/>
  <c r="C276" i="1"/>
  <c r="D330" i="1"/>
  <c r="F57" i="1"/>
  <c r="D351" i="1"/>
  <c r="E575" i="1"/>
  <c r="A37" i="1"/>
  <c r="B848" i="1"/>
  <c r="D848" i="1"/>
  <c r="E331" i="1"/>
  <c r="F456" i="1"/>
  <c r="A335" i="1"/>
  <c r="E392" i="1"/>
  <c r="D809" i="1"/>
  <c r="C912" i="1"/>
  <c r="C1864" i="1"/>
  <c r="F344" i="1"/>
  <c r="F315" i="1"/>
  <c r="D528" i="1"/>
  <c r="D721" i="1"/>
  <c r="F414" i="1"/>
  <c r="E71" i="1"/>
  <c r="F617" i="1"/>
  <c r="A992" i="1"/>
  <c r="A315" i="1"/>
  <c r="E620" i="1"/>
  <c r="F497" i="1"/>
  <c r="A985" i="1"/>
  <c r="F835" i="1"/>
  <c r="F795" i="1"/>
  <c r="E1227" i="1"/>
  <c r="D286" i="1"/>
  <c r="D628" i="1"/>
  <c r="F671" i="1"/>
  <c r="B383" i="1"/>
  <c r="C50" i="1"/>
  <c r="F404" i="1"/>
  <c r="E358" i="1"/>
  <c r="A404" i="1"/>
  <c r="C715" i="1"/>
  <c r="B968" i="1"/>
  <c r="E368" i="1"/>
  <c r="D1533" i="1"/>
  <c r="A606" i="1"/>
  <c r="F861" i="1"/>
  <c r="F1951" i="1"/>
  <c r="E781" i="1"/>
  <c r="E32" i="2"/>
  <c r="E768" i="1"/>
  <c r="C1181" i="1"/>
  <c r="E306" i="1"/>
  <c r="B1076" i="1"/>
  <c r="E454" i="1"/>
  <c r="A1063" i="1"/>
  <c r="E1946" i="1"/>
  <c r="D2338" i="1"/>
  <c r="B1007" i="1"/>
  <c r="D382" i="1"/>
  <c r="B319" i="1"/>
  <c r="F591" i="1"/>
  <c r="E1051" i="1"/>
  <c r="B103" i="1"/>
  <c r="E110" i="1"/>
  <c r="C216" i="1"/>
  <c r="F1923" i="1"/>
  <c r="A1103" i="1"/>
  <c r="B87" i="1"/>
  <c r="E440" i="1"/>
  <c r="B61" i="1"/>
  <c r="A24" i="1"/>
  <c r="E33" i="1"/>
  <c r="A699" i="1"/>
  <c r="A51" i="1"/>
  <c r="D687" i="1"/>
  <c r="F80" i="1"/>
  <c r="A612" i="1"/>
  <c r="B349" i="1"/>
  <c r="C83" i="1"/>
  <c r="D419" i="1"/>
  <c r="A199" i="1"/>
  <c r="F297" i="1"/>
  <c r="C753" i="1"/>
  <c r="C925" i="1"/>
  <c r="B196" i="1"/>
  <c r="D1368" i="1"/>
  <c r="E848" i="1"/>
  <c r="B908" i="1"/>
  <c r="A48" i="1"/>
  <c r="A832" i="1"/>
  <c r="B68" i="1"/>
  <c r="B698" i="1"/>
  <c r="E242" i="1"/>
  <c r="A757" i="1"/>
  <c r="A627" i="1"/>
  <c r="F133" i="1"/>
  <c r="B126" i="1"/>
  <c r="C399" i="1"/>
  <c r="D623" i="1"/>
  <c r="C629" i="1"/>
  <c r="D695" i="1"/>
  <c r="E1020" i="1"/>
  <c r="B947" i="1"/>
  <c r="B350" i="1"/>
  <c r="F573" i="1"/>
  <c r="A175" i="1"/>
  <c r="D941" i="1"/>
  <c r="E758" i="1"/>
  <c r="A1025" i="1"/>
  <c r="A764" i="1"/>
  <c r="D1897" i="1"/>
  <c r="D1315" i="1"/>
  <c r="A668" i="1"/>
  <c r="E761" i="1"/>
  <c r="E253" i="1"/>
  <c r="A1840" i="1"/>
  <c r="A821" i="1"/>
  <c r="C1721" i="1"/>
  <c r="D1044" i="1"/>
  <c r="C940" i="1"/>
  <c r="A868" i="1"/>
  <c r="D509" i="1"/>
  <c r="D350" i="1"/>
  <c r="D390" i="1"/>
  <c r="E865" i="1"/>
  <c r="B474" i="1"/>
  <c r="C1020" i="1"/>
  <c r="E88" i="1"/>
  <c r="C368" i="1"/>
  <c r="B843" i="1"/>
  <c r="D300" i="1"/>
  <c r="D563" i="1"/>
  <c r="D27" i="1"/>
  <c r="C1323" i="1"/>
  <c r="E346" i="1"/>
  <c r="C1725" i="1"/>
  <c r="E503" i="1"/>
  <c r="D345" i="1"/>
  <c r="E9" i="1"/>
  <c r="C1383" i="1"/>
  <c r="F878" i="1"/>
  <c r="D2139" i="1"/>
  <c r="A1340" i="1"/>
  <c r="B1409" i="1"/>
  <c r="B840" i="1"/>
  <c r="A1331" i="1"/>
  <c r="B918" i="1"/>
  <c r="B51" i="1"/>
  <c r="A1071" i="1"/>
  <c r="E1134" i="1"/>
  <c r="D2196" i="1"/>
  <c r="B1367" i="1"/>
  <c r="B1189" i="1"/>
  <c r="B1208" i="1"/>
  <c r="A2399" i="1"/>
  <c r="C1771" i="1"/>
  <c r="F2438" i="1"/>
  <c r="A1746" i="1"/>
  <c r="E1871" i="1"/>
  <c r="E1245" i="1"/>
  <c r="C2331" i="1"/>
  <c r="E912" i="1"/>
  <c r="E1510" i="1"/>
  <c r="D1249" i="1"/>
  <c r="C382" i="2"/>
  <c r="F1073" i="1"/>
  <c r="C378" i="2"/>
  <c r="C1238" i="1"/>
  <c r="C754" i="1"/>
  <c r="D665" i="1"/>
  <c r="A2440" i="1"/>
  <c r="C1755" i="1"/>
  <c r="C1641" i="1"/>
  <c r="C210" i="1"/>
  <c r="F1616" i="1"/>
  <c r="B559" i="1"/>
  <c r="B1098" i="1"/>
  <c r="F980" i="1"/>
  <c r="B1728" i="1"/>
  <c r="D2061" i="1"/>
  <c r="C931" i="1"/>
  <c r="B47" i="1"/>
  <c r="F1805" i="1"/>
  <c r="C554" i="1"/>
  <c r="E1068" i="1"/>
  <c r="B588" i="1"/>
  <c r="A1092" i="1"/>
  <c r="E2215" i="1"/>
  <c r="D819" i="1"/>
  <c r="C1853" i="1"/>
  <c r="A1860" i="1"/>
  <c r="E1171" i="1"/>
  <c r="B1115" i="1"/>
  <c r="F44" i="1"/>
  <c r="F1121" i="1"/>
  <c r="B2000" i="1"/>
  <c r="D218" i="1"/>
  <c r="A1248" i="1"/>
  <c r="A1250" i="1"/>
  <c r="B850" i="1"/>
  <c r="D1924" i="1"/>
  <c r="C979" i="1"/>
  <c r="F1229" i="1"/>
  <c r="E103" i="1"/>
  <c r="C674" i="1"/>
  <c r="A611" i="1"/>
  <c r="B1427" i="1"/>
  <c r="A89" i="1"/>
  <c r="F1738" i="1"/>
  <c r="C206" i="2"/>
  <c r="C967" i="1"/>
  <c r="E1649" i="1"/>
  <c r="C862" i="1"/>
  <c r="C1321" i="1"/>
  <c r="C486" i="1"/>
  <c r="E987" i="1"/>
  <c r="C953" i="1"/>
  <c r="F576" i="1"/>
  <c r="B45" i="1"/>
  <c r="E698" i="1"/>
  <c r="A427" i="1"/>
  <c r="E43" i="1"/>
  <c r="A1126" i="1"/>
  <c r="D370" i="1"/>
  <c r="A425" i="1"/>
  <c r="C91" i="1"/>
  <c r="E411" i="1"/>
  <c r="A673" i="1"/>
  <c r="C1112" i="1"/>
  <c r="C1196" i="1"/>
  <c r="B153" i="1"/>
  <c r="C100" i="1"/>
  <c r="B508" i="1"/>
  <c r="D59" i="1"/>
  <c r="F614" i="1"/>
  <c r="A39" i="1"/>
  <c r="E1198" i="1"/>
  <c r="C533" i="1"/>
  <c r="E86" i="1"/>
  <c r="C224" i="1"/>
  <c r="F16" i="1"/>
  <c r="F555" i="1"/>
  <c r="C124" i="1"/>
  <c r="C22" i="1"/>
  <c r="D625" i="1"/>
  <c r="B650" i="1"/>
  <c r="D901" i="1"/>
  <c r="D494" i="1"/>
  <c r="D599" i="1"/>
  <c r="D1407" i="1"/>
  <c r="D871" i="1"/>
  <c r="D138" i="1"/>
  <c r="D504" i="1"/>
  <c r="A459" i="1"/>
  <c r="D2227" i="1"/>
  <c r="E841" i="1"/>
  <c r="A1346" i="1"/>
  <c r="C1206" i="1"/>
  <c r="A683" i="1"/>
  <c r="D356" i="1"/>
  <c r="A244" i="1"/>
  <c r="F412" i="1"/>
  <c r="F725" i="1"/>
  <c r="D67" i="1"/>
  <c r="A1972" i="1"/>
  <c r="B283" i="1"/>
  <c r="D1221" i="1"/>
  <c r="E1199" i="1"/>
  <c r="E950" i="1"/>
  <c r="D774" i="1"/>
  <c r="C582" i="1"/>
  <c r="A1226" i="1"/>
  <c r="C452" i="1"/>
  <c r="C992" i="1"/>
  <c r="C218" i="1"/>
  <c r="A715" i="1"/>
  <c r="D1280" i="1"/>
  <c r="D810" i="1"/>
  <c r="D368" i="1"/>
  <c r="C248" i="1"/>
  <c r="B466" i="1"/>
  <c r="B200" i="1"/>
  <c r="A351" i="1"/>
  <c r="E296" i="1"/>
  <c r="B324" i="1"/>
  <c r="F474" i="1"/>
  <c r="B590" i="1"/>
  <c r="D621" i="1"/>
  <c r="C56" i="1"/>
  <c r="F56" i="1"/>
  <c r="A61" i="1"/>
  <c r="B587" i="1"/>
  <c r="E66" i="1"/>
  <c r="F1433" i="1"/>
  <c r="D151" i="1"/>
  <c r="D38" i="1"/>
  <c r="A224" i="1"/>
  <c r="F445" i="1"/>
  <c r="F738" i="1"/>
  <c r="B106" i="1"/>
  <c r="E981" i="1"/>
  <c r="A198" i="1"/>
  <c r="C402" i="1"/>
  <c r="C312" i="1"/>
  <c r="F353" i="1"/>
  <c r="D1912" i="1"/>
  <c r="D1581" i="1"/>
  <c r="F853" i="1"/>
  <c r="C243" i="1"/>
  <c r="F86" i="1"/>
  <c r="C7" i="1"/>
  <c r="F257" i="1"/>
  <c r="D634" i="1"/>
  <c r="E896" i="1"/>
  <c r="D1120" i="1"/>
  <c r="C618" i="1"/>
  <c r="C838" i="1"/>
  <c r="D246" i="1"/>
  <c r="B823" i="1"/>
  <c r="E257" i="1"/>
  <c r="C747" i="1"/>
  <c r="D332" i="1"/>
  <c r="F189" i="1"/>
  <c r="F396" i="1"/>
  <c r="C397" i="1"/>
  <c r="D717" i="1"/>
  <c r="E1102" i="1"/>
  <c r="E1206" i="1"/>
  <c r="C722" i="2"/>
  <c r="D633" i="1"/>
  <c r="F458" i="1"/>
  <c r="A108" i="1"/>
  <c r="C581" i="1"/>
  <c r="E341" i="1"/>
  <c r="D267" i="1"/>
  <c r="E1084" i="1"/>
  <c r="B36" i="1"/>
  <c r="F847" i="1"/>
  <c r="B722" i="1"/>
  <c r="E714" i="1"/>
  <c r="A477" i="1"/>
  <c r="C454" i="1"/>
  <c r="B829" i="1"/>
  <c r="B638" i="1"/>
  <c r="A659" i="1"/>
  <c r="A106" i="1"/>
  <c r="C231" i="1"/>
  <c r="B461" i="1"/>
  <c r="D491" i="1"/>
  <c r="D789" i="1"/>
  <c r="A409" i="1"/>
  <c r="D1373" i="1"/>
  <c r="D308" i="1"/>
  <c r="D172" i="1"/>
  <c r="B610" i="1"/>
  <c r="E705" i="1"/>
  <c r="D746" i="1"/>
  <c r="E249" i="1"/>
  <c r="A685" i="1"/>
  <c r="D373" i="1"/>
  <c r="B375" i="1"/>
  <c r="E993" i="1"/>
  <c r="A543" i="1"/>
  <c r="A892" i="1"/>
  <c r="B1402" i="1"/>
  <c r="F312" i="1"/>
  <c r="D180" i="1"/>
  <c r="D949" i="1"/>
  <c r="B930" i="1"/>
  <c r="D107" i="1"/>
  <c r="C1705" i="1"/>
  <c r="C946" i="1"/>
  <c r="F216" i="2"/>
  <c r="F765" i="1"/>
  <c r="B1569" i="1"/>
  <c r="A572" i="1"/>
  <c r="A1888" i="1"/>
  <c r="E153" i="1"/>
  <c r="A1085" i="1"/>
  <c r="A1403" i="1"/>
  <c r="C1016" i="2"/>
  <c r="D567" i="1"/>
  <c r="C817" i="1"/>
  <c r="F498" i="1"/>
  <c r="A185" i="1"/>
  <c r="B444" i="1"/>
  <c r="D967" i="1"/>
  <c r="D940" i="1"/>
  <c r="F321" i="1"/>
  <c r="B481" i="1"/>
  <c r="B955" i="1"/>
  <c r="D649" i="1"/>
  <c r="F160" i="1"/>
  <c r="B132" i="1"/>
  <c r="A96" i="1"/>
  <c r="F108" i="1"/>
  <c r="F534" i="1"/>
  <c r="F4" i="1"/>
  <c r="C114" i="1"/>
  <c r="D233" i="1"/>
  <c r="A548" i="1"/>
  <c r="D496" i="1"/>
  <c r="E1224" i="1"/>
  <c r="A2004" i="1"/>
  <c r="F1248" i="1"/>
  <c r="B456" i="1"/>
  <c r="B791" i="1"/>
  <c r="D87" i="1"/>
  <c r="D64" i="1"/>
  <c r="A524" i="1"/>
  <c r="C291" i="1"/>
  <c r="D287" i="1"/>
  <c r="D20" i="1"/>
  <c r="E280" i="1"/>
  <c r="D883" i="1"/>
  <c r="E745" i="1"/>
  <c r="E1622" i="1"/>
  <c r="B472" i="1"/>
  <c r="A964" i="1"/>
  <c r="E404" i="1"/>
  <c r="B1385" i="1"/>
  <c r="A75" i="1"/>
  <c r="C735" i="1"/>
  <c r="E316" i="1"/>
  <c r="D485" i="1"/>
  <c r="F350" i="1"/>
  <c r="E702" i="1"/>
  <c r="B1213" i="1"/>
  <c r="D291" i="1"/>
  <c r="B711" i="1"/>
  <c r="A1782" i="1"/>
  <c r="D749" i="1"/>
  <c r="A1107" i="1"/>
  <c r="E657" i="1"/>
  <c r="E1205" i="1"/>
  <c r="B944" i="1"/>
  <c r="A1301" i="1"/>
  <c r="A682" i="1"/>
  <c r="B2087" i="1"/>
  <c r="F598" i="1"/>
  <c r="F836" i="1"/>
  <c r="C378" i="1"/>
  <c r="B1436" i="1"/>
  <c r="B1364" i="1"/>
  <c r="C1391" i="1"/>
  <c r="D860" i="1"/>
  <c r="F308" i="1"/>
  <c r="E188" i="1"/>
  <c r="B83" i="1"/>
  <c r="B593" i="1"/>
  <c r="B210" i="1"/>
  <c r="D217" i="1"/>
  <c r="D40" i="1"/>
  <c r="A1421" i="1"/>
  <c r="F356" i="1"/>
  <c r="E882" i="1"/>
  <c r="F536" i="1"/>
  <c r="F323" i="1"/>
  <c r="A560" i="1"/>
  <c r="C1119" i="1"/>
  <c r="D1211" i="1"/>
  <c r="B538" i="1"/>
  <c r="F416" i="1"/>
  <c r="F801" i="1"/>
  <c r="F613" i="1"/>
  <c r="E524" i="1"/>
  <c r="B1538" i="1"/>
  <c r="A1516" i="1"/>
  <c r="E688" i="1"/>
  <c r="E384" i="1"/>
  <c r="F890" i="1"/>
  <c r="E468" i="1"/>
  <c r="B396" i="1"/>
  <c r="D487" i="1"/>
  <c r="B182" i="1"/>
  <c r="E626" i="1"/>
  <c r="E152" i="1"/>
  <c r="A392" i="1"/>
  <c r="F221" i="1"/>
  <c r="C47" i="1"/>
  <c r="E944" i="1"/>
  <c r="A904" i="1"/>
  <c r="D468" i="1"/>
  <c r="C123" i="1"/>
  <c r="A302" i="1"/>
  <c r="D48" i="1"/>
  <c r="E366" i="1"/>
  <c r="B574" i="1"/>
  <c r="E24" i="1"/>
  <c r="F705" i="1"/>
  <c r="F958" i="1"/>
  <c r="D170" i="1"/>
  <c r="E978" i="1"/>
  <c r="A355" i="1"/>
  <c r="B852" i="1"/>
  <c r="A65" i="1"/>
  <c r="D235" i="1"/>
  <c r="F754" i="1"/>
  <c r="E1676" i="1"/>
  <c r="A1687" i="1"/>
  <c r="F32" i="1"/>
  <c r="A241" i="1"/>
  <c r="A46" i="1"/>
  <c r="A2382" i="1"/>
  <c r="D53" i="1"/>
  <c r="F1213" i="1"/>
  <c r="A1377" i="1"/>
  <c r="B2147" i="1"/>
  <c r="C1134" i="1"/>
  <c r="B288" i="1"/>
  <c r="C1011" i="1"/>
  <c r="D415" i="1"/>
  <c r="E215" i="1"/>
  <c r="D269" i="1"/>
  <c r="B688" i="1"/>
  <c r="D1139" i="1"/>
  <c r="C769" i="1"/>
  <c r="A1049" i="1"/>
  <c r="E307" i="1"/>
  <c r="B648" i="1"/>
  <c r="B310" i="1"/>
  <c r="A842" i="1"/>
  <c r="A401" i="1"/>
  <c r="D1331" i="1"/>
  <c r="B537" i="1"/>
  <c r="D654" i="1"/>
  <c r="C370" i="1"/>
  <c r="F1172" i="1"/>
  <c r="E607" i="1"/>
  <c r="D756" i="1"/>
  <c r="D232" i="1"/>
  <c r="F2" i="1"/>
  <c r="A187" i="1"/>
  <c r="A1198" i="1"/>
  <c r="B302" i="1"/>
  <c r="F597" i="1"/>
  <c r="F537" i="1"/>
  <c r="A770" i="1"/>
  <c r="E500" i="1"/>
  <c r="A205" i="1"/>
  <c r="A307" i="1"/>
  <c r="C120" i="1"/>
  <c r="D243" i="1"/>
  <c r="D171" i="1"/>
  <c r="B72" i="1"/>
  <c r="B861" i="1"/>
  <c r="B1094" i="1"/>
  <c r="F670" i="1"/>
  <c r="A91" i="1"/>
  <c r="D516" i="1"/>
  <c r="A14" i="1"/>
  <c r="B384" i="1"/>
  <c r="E1196" i="1"/>
  <c r="A893" i="1"/>
  <c r="D337" i="1"/>
  <c r="F5" i="1"/>
  <c r="B303" i="1"/>
  <c r="C175" i="1"/>
  <c r="A312" i="1"/>
  <c r="F608" i="1"/>
  <c r="C193" i="1"/>
  <c r="F244" i="1"/>
  <c r="E424" i="1"/>
  <c r="C780" i="1"/>
  <c r="F973" i="1"/>
  <c r="E182" i="1"/>
  <c r="E853" i="1"/>
  <c r="C144" i="1"/>
  <c r="F465" i="1"/>
  <c r="D868" i="1"/>
  <c r="B633" i="1"/>
  <c r="C258" i="1"/>
  <c r="D276" i="1"/>
  <c r="C574" i="1"/>
  <c r="D1930" i="1"/>
  <c r="B937" i="1"/>
  <c r="E389" i="1"/>
  <c r="E60" i="1"/>
  <c r="B976" i="1"/>
  <c r="F908" i="1"/>
  <c r="B433" i="1"/>
  <c r="D788" i="1"/>
  <c r="E585" i="1"/>
  <c r="E70" i="1"/>
  <c r="A885" i="1"/>
  <c r="B898" i="1"/>
  <c r="C152" i="1"/>
  <c r="D306" i="1"/>
  <c r="A340" i="1"/>
  <c r="D102" i="1"/>
  <c r="D206" i="1"/>
  <c r="D204" i="1"/>
  <c r="A40" i="1"/>
  <c r="E654" i="1"/>
  <c r="D68" i="1"/>
  <c r="B557" i="1"/>
  <c r="C742" i="1"/>
  <c r="A601" i="1"/>
  <c r="C852" i="1"/>
  <c r="A1098" i="1"/>
  <c r="D122" i="1"/>
  <c r="E720" i="1"/>
  <c r="E598" i="1"/>
  <c r="E248" i="1"/>
  <c r="C784" i="1"/>
  <c r="C566" i="1"/>
  <c r="F140" i="1"/>
  <c r="F558" i="1"/>
  <c r="A322" i="1"/>
  <c r="E1820" i="1"/>
  <c r="A180" i="1"/>
  <c r="C1222" i="1"/>
  <c r="A99" i="1"/>
  <c r="B151" i="1"/>
  <c r="E622" i="1"/>
  <c r="C469" i="1"/>
  <c r="D253" i="1"/>
  <c r="E751" i="1"/>
  <c r="C1339" i="1"/>
  <c r="A391" i="1"/>
  <c r="E336" i="1"/>
  <c r="E638" i="1"/>
  <c r="D1235" i="1"/>
  <c r="D787" i="1"/>
  <c r="B293" i="1"/>
  <c r="E18" i="1"/>
  <c r="A119" i="1"/>
  <c r="F227" i="1"/>
  <c r="C1390" i="1"/>
  <c r="C892" i="1"/>
  <c r="E263" i="1"/>
  <c r="A277" i="1"/>
  <c r="D18" i="1"/>
  <c r="C676" i="1"/>
  <c r="A15" i="1"/>
  <c r="C561" i="1"/>
  <c r="A437" i="1"/>
  <c r="A1242" i="1"/>
  <c r="C301" i="1"/>
  <c r="F172" i="1"/>
  <c r="D685" i="1"/>
  <c r="A236" i="1"/>
  <c r="B767" i="1"/>
  <c r="C853" i="1"/>
  <c r="A767" i="1"/>
  <c r="C116" i="1"/>
  <c r="C643" i="1"/>
  <c r="D482" i="1"/>
  <c r="D835" i="1"/>
  <c r="C597" i="1"/>
  <c r="D1456" i="1"/>
  <c r="C1981" i="1"/>
  <c r="F1068" i="1"/>
  <c r="C1230" i="1"/>
  <c r="C1708" i="1"/>
  <c r="E1146" i="1"/>
  <c r="A925" i="1"/>
  <c r="C802" i="1"/>
  <c r="D1184" i="1"/>
  <c r="A662" i="1"/>
  <c r="A1167" i="1"/>
  <c r="C1466" i="1"/>
  <c r="A1351" i="1"/>
  <c r="A801" i="1"/>
  <c r="A1884" i="1"/>
  <c r="F256" i="1"/>
  <c r="E582" i="1"/>
  <c r="C1243" i="2"/>
  <c r="B1398" i="1"/>
  <c r="F1734" i="1"/>
  <c r="C1060" i="1"/>
  <c r="E330" i="2"/>
  <c r="F2440" i="1"/>
  <c r="E673" i="1"/>
  <c r="F1264" i="1"/>
  <c r="F1773" i="1"/>
  <c r="C1458" i="1"/>
  <c r="B1696" i="2"/>
  <c r="D1212" i="1"/>
  <c r="D1608" i="1"/>
  <c r="A402" i="1"/>
  <c r="F8" i="1"/>
  <c r="F513" i="1"/>
  <c r="E321" i="1"/>
  <c r="D144" i="1"/>
  <c r="B333" i="1"/>
  <c r="B479" i="1"/>
  <c r="E906" i="1"/>
  <c r="B621" i="1"/>
  <c r="A1066" i="1"/>
  <c r="F799" i="1"/>
  <c r="A115" i="1"/>
  <c r="B1732" i="1"/>
  <c r="C1091" i="1"/>
  <c r="A1006" i="1"/>
  <c r="C294" i="1"/>
  <c r="D258" i="1"/>
  <c r="C64" i="1"/>
  <c r="E558" i="1"/>
  <c r="B957" i="1"/>
  <c r="B1441" i="1"/>
  <c r="B225" i="1"/>
  <c r="D517" i="1"/>
  <c r="A791" i="1"/>
  <c r="E281" i="1"/>
  <c r="B243" i="1"/>
  <c r="F230" i="1"/>
  <c r="D2068" i="1"/>
  <c r="C417" i="2"/>
  <c r="F1060" i="1"/>
  <c r="E302" i="1"/>
  <c r="B1055" i="1"/>
  <c r="A363" i="1"/>
  <c r="C692" i="1"/>
  <c r="E367" i="1"/>
  <c r="A1823" i="1"/>
  <c r="A984" i="1"/>
  <c r="E166" i="1"/>
  <c r="F582" i="1"/>
  <c r="F12" i="1"/>
  <c r="A76" i="1"/>
  <c r="C1247" i="1"/>
  <c r="B198" i="1"/>
  <c r="B939" i="1"/>
  <c r="E251" i="1"/>
  <c r="D823" i="1"/>
  <c r="F604" i="1"/>
  <c r="C669" i="1"/>
  <c r="F1571" i="1"/>
  <c r="C53" i="1"/>
  <c r="A131" i="1"/>
  <c r="A1770" i="1"/>
  <c r="D24" i="1"/>
  <c r="F888" i="1"/>
  <c r="C565" i="1"/>
  <c r="F948" i="1"/>
  <c r="F110" i="1"/>
  <c r="F161" i="1"/>
  <c r="F408" i="1"/>
  <c r="A337" i="1"/>
  <c r="D56" i="1"/>
  <c r="B220" i="1"/>
  <c r="F1473" i="1"/>
  <c r="A283" i="1"/>
  <c r="C419" i="1"/>
  <c r="E1013" i="1"/>
  <c r="D3" i="1"/>
  <c r="C1107" i="1"/>
  <c r="B471" i="1"/>
  <c r="F485" i="1"/>
  <c r="F1749" i="1"/>
  <c r="F554" i="1"/>
  <c r="A66" i="1"/>
  <c r="A329" i="1"/>
  <c r="C393" i="1"/>
  <c r="E954" i="1"/>
  <c r="F386" i="1"/>
  <c r="B162" i="1"/>
  <c r="B1110" i="1"/>
  <c r="C171" i="1"/>
  <c r="C352" i="1"/>
  <c r="C1712" i="1"/>
  <c r="B34" i="1"/>
  <c r="B71" i="1"/>
  <c r="C764" i="1"/>
  <c r="E1009" i="1"/>
  <c r="C1384" i="1"/>
  <c r="C438" i="1"/>
  <c r="C484" i="1"/>
  <c r="E398" i="1"/>
  <c r="D514" i="1"/>
  <c r="B923" i="1"/>
  <c r="E192" i="1"/>
  <c r="A73" i="1"/>
  <c r="D176" i="1"/>
  <c r="A708" i="1"/>
  <c r="C324" i="1"/>
  <c r="A390" i="1"/>
  <c r="A521" i="1"/>
  <c r="C414" i="1"/>
  <c r="B2013" i="1"/>
  <c r="F153" i="1"/>
  <c r="F476" i="1"/>
  <c r="D299" i="1"/>
  <c r="E420" i="1"/>
  <c r="D694" i="1"/>
  <c r="C132" i="1"/>
  <c r="B718" i="1"/>
  <c r="D143" i="1"/>
  <c r="D141" i="2"/>
  <c r="D117" i="1"/>
  <c r="F215" i="1"/>
  <c r="B387" i="1"/>
  <c r="E194" i="1"/>
  <c r="D202" i="1"/>
  <c r="B595" i="1"/>
  <c r="C526" i="1"/>
  <c r="C304" i="1"/>
  <c r="A1172" i="1"/>
  <c r="F1111" i="1"/>
  <c r="E1212" i="1"/>
  <c r="E386" i="1"/>
  <c r="F282" i="1"/>
  <c r="C253" i="1"/>
  <c r="C374" i="1"/>
  <c r="B19" i="1"/>
  <c r="B180" i="1"/>
  <c r="F421" i="1"/>
  <c r="F583" i="1"/>
  <c r="C768" i="1"/>
  <c r="C558" i="1"/>
  <c r="F159" i="1"/>
  <c r="B1198" i="1"/>
  <c r="B1750" i="1"/>
  <c r="A1439" i="1"/>
  <c r="A1883" i="1"/>
  <c r="F155" i="1"/>
  <c r="D798" i="1"/>
  <c r="D994" i="1"/>
  <c r="D82" i="1"/>
  <c r="C88" i="1"/>
  <c r="E1164" i="1"/>
  <c r="D571" i="1"/>
  <c r="A255" i="1"/>
  <c r="A1699" i="1"/>
  <c r="C702" i="1"/>
  <c r="D457" i="1"/>
  <c r="A7" i="1"/>
  <c r="C54" i="1"/>
  <c r="E975" i="1"/>
  <c r="F2224" i="1"/>
  <c r="E1952" i="1"/>
  <c r="B572" i="1"/>
  <c r="B188" i="1"/>
  <c r="B733" i="1"/>
  <c r="B404" i="1"/>
  <c r="C106" i="1"/>
  <c r="E1789" i="1"/>
  <c r="D1341" i="1"/>
  <c r="C363" i="1"/>
  <c r="D483" i="1"/>
  <c r="C388" i="1"/>
  <c r="B323" i="1"/>
  <c r="D701" i="1"/>
  <c r="D581" i="1"/>
  <c r="D899" i="1"/>
  <c r="F1237" i="1"/>
  <c r="F220" i="1"/>
  <c r="D36" i="1"/>
  <c r="D420" i="1"/>
  <c r="A1350" i="1"/>
  <c r="C29" i="1"/>
  <c r="D336" i="1"/>
  <c r="C1225" i="1"/>
  <c r="F1514" i="1"/>
  <c r="D275" i="1"/>
  <c r="F991" i="1"/>
  <c r="E522" i="1"/>
  <c r="F342" i="1"/>
  <c r="E560" i="1"/>
  <c r="D407" i="1"/>
  <c r="B376" i="1"/>
  <c r="E213" i="1"/>
  <c r="B2265" i="1"/>
  <c r="A411" i="1"/>
  <c r="B89" i="1"/>
  <c r="A525" i="1"/>
  <c r="E573" i="1"/>
  <c r="F419" i="1"/>
  <c r="A9" i="1"/>
  <c r="A1090" i="1"/>
  <c r="B27" i="1"/>
  <c r="D818" i="1"/>
  <c r="D980" i="1"/>
  <c r="C511" i="1"/>
  <c r="A388" i="1"/>
  <c r="F325" i="1"/>
  <c r="A41" i="1"/>
  <c r="B415" i="1"/>
  <c r="C381" i="1"/>
  <c r="D844" i="1"/>
  <c r="C1031" i="1"/>
  <c r="F805" i="1"/>
  <c r="F751" i="1"/>
  <c r="C326" i="1"/>
  <c r="E222" i="1"/>
  <c r="F251" i="1"/>
  <c r="A1016" i="1"/>
  <c r="F122" i="1"/>
  <c r="D414" i="1"/>
  <c r="A1238" i="1"/>
  <c r="F375" i="1"/>
  <c r="B911" i="1"/>
  <c r="E96" i="1"/>
  <c r="F203" i="1"/>
  <c r="C964" i="1"/>
  <c r="E2402" i="1"/>
  <c r="B1867" i="1"/>
  <c r="A1046" i="1"/>
  <c r="F865" i="1"/>
  <c r="D348" i="1"/>
  <c r="A54" i="1"/>
  <c r="F632" i="1"/>
  <c r="B1034" i="1"/>
  <c r="A489" i="1"/>
  <c r="A188" i="1"/>
  <c r="B1200" i="1"/>
  <c r="E276" i="1"/>
  <c r="B77" i="1"/>
  <c r="E380" i="1"/>
  <c r="B205" i="1"/>
  <c r="E304" i="1"/>
  <c r="F236" i="1"/>
  <c r="A563" i="1"/>
  <c r="D439" i="1"/>
  <c r="C592" i="1"/>
  <c r="E20" i="1"/>
  <c r="C1239" i="1"/>
  <c r="F887" i="1"/>
  <c r="C2" i="1"/>
  <c r="C25" i="1"/>
  <c r="D208" i="1"/>
  <c r="A320" i="1"/>
  <c r="D399" i="1"/>
  <c r="F94" i="1"/>
  <c r="D39" i="1"/>
  <c r="F443" i="1"/>
  <c r="A523" i="1"/>
  <c r="D681" i="1"/>
  <c r="B971" i="1"/>
  <c r="A128" i="1"/>
  <c r="D1167" i="1"/>
  <c r="B549" i="1"/>
  <c r="C465" i="1"/>
  <c r="C1083" i="1"/>
  <c r="C439" i="1"/>
  <c r="D1570" i="1"/>
  <c r="F675" i="1"/>
  <c r="A431" i="1"/>
  <c r="C998" i="1"/>
  <c r="F306" i="1"/>
  <c r="A98" i="1"/>
  <c r="A1627" i="1"/>
  <c r="B390" i="1"/>
  <c r="F254" i="1"/>
  <c r="D503" i="1"/>
  <c r="D34" i="1"/>
  <c r="C954" i="1"/>
  <c r="F304" i="1"/>
  <c r="B344" i="1"/>
  <c r="C906" i="1"/>
  <c r="A965" i="1"/>
  <c r="C542" i="1"/>
  <c r="F430" i="1"/>
  <c r="D493" i="1"/>
  <c r="B1029" i="1"/>
  <c r="D797" i="1"/>
  <c r="F471" i="1"/>
  <c r="B32" i="1"/>
  <c r="E240" i="1"/>
  <c r="D309" i="1"/>
  <c r="E1824" i="1"/>
  <c r="F1261" i="1"/>
  <c r="E1113" i="1"/>
  <c r="A798" i="1"/>
  <c r="D1352" i="1"/>
  <c r="A2406" i="1"/>
  <c r="A1289" i="1"/>
  <c r="C148" i="1"/>
  <c r="E1431" i="1"/>
  <c r="B224" i="1"/>
  <c r="B576" i="1"/>
  <c r="C318" i="1"/>
  <c r="A297" i="1"/>
  <c r="A386" i="1"/>
  <c r="B847" i="1"/>
  <c r="A304" i="1"/>
  <c r="B214" i="1"/>
  <c r="F219" i="1"/>
  <c r="C927" i="1"/>
  <c r="E562" i="1"/>
  <c r="A1411" i="1"/>
  <c r="F917" i="1"/>
  <c r="A438" i="1"/>
  <c r="A323" i="1"/>
  <c r="D448" i="1"/>
  <c r="A366" i="1"/>
  <c r="F1421" i="1"/>
  <c r="D1549" i="1"/>
  <c r="D722" i="1"/>
  <c r="A741" i="1"/>
  <c r="F2135" i="1"/>
  <c r="C417" i="1"/>
  <c r="E1350" i="1"/>
  <c r="A174" i="1"/>
  <c r="D1132" i="1"/>
  <c r="E1334" i="1"/>
  <c r="C636" i="1"/>
  <c r="F934" i="1"/>
  <c r="F53" i="1"/>
  <c r="F611" i="1"/>
  <c r="C606" i="1"/>
  <c r="A179" i="1"/>
  <c r="C1073" i="1"/>
  <c r="F1413" i="1"/>
  <c r="E172" i="1"/>
  <c r="E8" i="1"/>
  <c r="D473" i="1"/>
  <c r="B738" i="1"/>
  <c r="D1477" i="1"/>
  <c r="F103" i="1"/>
  <c r="F829" i="1"/>
  <c r="F473" i="1"/>
  <c r="E469" i="1"/>
  <c r="C955" i="1"/>
  <c r="D1008" i="1"/>
  <c r="E870" i="1"/>
  <c r="D799" i="1"/>
  <c r="F1412" i="1"/>
  <c r="F273" i="1"/>
  <c r="F1774" i="1"/>
  <c r="B398" i="1"/>
  <c r="E537" i="1"/>
  <c r="B476" i="1"/>
  <c r="D50" i="1"/>
  <c r="E821" i="1"/>
  <c r="F1040" i="1"/>
  <c r="B311" i="1"/>
  <c r="C429" i="1"/>
  <c r="B556" i="1"/>
  <c r="A43" i="1"/>
  <c r="E534" i="1"/>
  <c r="D251" i="1"/>
  <c r="C2352" i="1"/>
  <c r="C1427" i="1"/>
  <c r="A655" i="1"/>
  <c r="F128" i="1"/>
  <c r="B414" i="1"/>
  <c r="D1016" i="1"/>
  <c r="B437" i="1"/>
  <c r="A358" i="1"/>
  <c r="F362" i="1"/>
  <c r="D543" i="1"/>
  <c r="C48" i="1"/>
  <c r="E406" i="1"/>
  <c r="F326" i="1"/>
  <c r="A485" i="1"/>
  <c r="A2324" i="1"/>
  <c r="D1760" i="1"/>
  <c r="B1154" i="1"/>
  <c r="F637" i="1"/>
  <c r="B280" i="1"/>
  <c r="C43" i="1"/>
  <c r="C2269" i="1"/>
  <c r="B185" i="1"/>
  <c r="E377" i="1"/>
  <c r="E561" i="1"/>
  <c r="E1360" i="1"/>
  <c r="D184" i="1"/>
  <c r="C256" i="1"/>
  <c r="D317" i="1"/>
  <c r="C2073" i="1"/>
  <c r="E202" i="1"/>
  <c r="D642" i="1"/>
  <c r="A423" i="1"/>
  <c r="B223" i="1"/>
  <c r="D347" i="1"/>
  <c r="A258" i="1"/>
  <c r="C480" i="1"/>
  <c r="C546" i="1"/>
  <c r="F69" i="1"/>
  <c r="C1063" i="1"/>
  <c r="E211" i="1"/>
  <c r="B291" i="1"/>
  <c r="F749" i="1"/>
  <c r="F277" i="1"/>
  <c r="B983" i="1"/>
  <c r="A173" i="1"/>
  <c r="E1356" i="1"/>
  <c r="A1322" i="1"/>
  <c r="B501" i="1"/>
  <c r="B114" i="1"/>
  <c r="D1784" i="1"/>
  <c r="A677" i="1"/>
  <c r="B509" i="1"/>
  <c r="E299" i="1"/>
  <c r="D1062" i="1"/>
  <c r="F550" i="1"/>
  <c r="C413" i="1"/>
  <c r="A747" i="1"/>
  <c r="D145" i="1"/>
  <c r="C1347" i="1"/>
  <c r="E695" i="1"/>
  <c r="B213" i="1"/>
  <c r="E499" i="1"/>
  <c r="C493" i="1"/>
  <c r="A850" i="1"/>
  <c r="A646" i="1"/>
  <c r="F609" i="1"/>
  <c r="B230" i="1"/>
  <c r="B408" i="1"/>
  <c r="F198" i="1"/>
  <c r="F78" i="1"/>
  <c r="A968" i="1"/>
  <c r="C1179" i="1"/>
  <c r="C596" i="1"/>
  <c r="A727" i="1"/>
  <c r="F105" i="1"/>
  <c r="C41" i="1"/>
  <c r="B457" i="1"/>
  <c r="F95" i="1"/>
  <c r="C567" i="1"/>
  <c r="C297" i="1"/>
  <c r="A507" i="1"/>
  <c r="C956" i="1"/>
  <c r="C1411" i="1"/>
  <c r="A446" i="1"/>
  <c r="A424" i="1"/>
  <c r="C1219" i="1"/>
  <c r="F1263" i="1"/>
  <c r="C165" i="1"/>
  <c r="D513" i="2"/>
  <c r="A466" i="1"/>
  <c r="A1448" i="1"/>
  <c r="E969" i="1"/>
  <c r="E31" i="1"/>
  <c r="D381" i="1"/>
  <c r="E29" i="1"/>
  <c r="E139" i="1"/>
  <c r="D240" i="1"/>
  <c r="E479" i="1"/>
  <c r="E456" i="1"/>
  <c r="C332" i="1"/>
  <c r="F1208" i="1"/>
  <c r="F616" i="1"/>
  <c r="B1869" i="1"/>
  <c r="F720" i="1"/>
  <c r="C199" i="1"/>
  <c r="C1" i="1"/>
  <c r="C244" i="1"/>
  <c r="B697" i="1"/>
  <c r="D353" i="1"/>
  <c r="E402" i="1"/>
  <c r="E910" i="1"/>
  <c r="A100" i="1"/>
  <c r="D12" i="1"/>
  <c r="F840" i="1"/>
  <c r="F211" i="1"/>
  <c r="F773" i="1"/>
  <c r="C552" i="1"/>
  <c r="D795" i="1"/>
  <c r="E543" i="1"/>
  <c r="F390" i="1"/>
  <c r="C87" i="1"/>
  <c r="F798" i="1"/>
  <c r="F233" i="1"/>
  <c r="D2506" i="1"/>
  <c r="C1479" i="1"/>
  <c r="D105" i="1"/>
  <c r="B1011" i="1"/>
  <c r="D301" i="1"/>
  <c r="B485" i="1"/>
  <c r="F526" i="1"/>
  <c r="C981" i="1"/>
  <c r="D271" i="1"/>
  <c r="B646" i="1"/>
  <c r="C102" i="1"/>
  <c r="B1492" i="1"/>
  <c r="B1432" i="1"/>
  <c r="E482" i="1"/>
  <c r="E555" i="1"/>
  <c r="E343" i="1"/>
  <c r="F64" i="1"/>
  <c r="F372" i="1"/>
  <c r="E675" i="1"/>
  <c r="C1545" i="1"/>
  <c r="B170" i="1"/>
  <c r="E174" i="1"/>
  <c r="B177" i="1"/>
  <c r="C883" i="1"/>
  <c r="B986" i="1"/>
  <c r="A171" i="1"/>
  <c r="B145" i="1"/>
  <c r="A12" i="1"/>
  <c r="F560" i="1"/>
  <c r="F669" i="1"/>
  <c r="E1782" i="1"/>
  <c r="A870" i="1"/>
  <c r="A1112" i="1"/>
  <c r="D463" i="1"/>
  <c r="A129" i="1"/>
  <c r="F303" i="1"/>
  <c r="D37" i="1"/>
  <c r="C701" i="1"/>
  <c r="A467" i="1"/>
  <c r="E541" i="1"/>
  <c r="A1378" i="1"/>
  <c r="F588" i="1"/>
  <c r="B1325" i="1"/>
  <c r="D88" i="2"/>
  <c r="D840" i="1"/>
  <c r="E830" i="1"/>
  <c r="E2247" i="1"/>
  <c r="A463" i="1"/>
  <c r="D612" i="1"/>
  <c r="A1062" i="1"/>
  <c r="C162" i="1"/>
  <c r="E914" i="1"/>
  <c r="E129" i="1"/>
  <c r="D290" i="1"/>
  <c r="C664" i="1"/>
  <c r="D1518" i="1"/>
  <c r="F592" i="1"/>
  <c r="B569" i="1"/>
  <c r="B667" i="1"/>
  <c r="E1289" i="1"/>
  <c r="D637" i="1"/>
  <c r="C267" i="1"/>
  <c r="E369" i="1"/>
  <c r="E817" i="1"/>
  <c r="B980" i="1"/>
  <c r="A210" i="1"/>
  <c r="C679" i="1"/>
  <c r="E198" i="1"/>
  <c r="C691" i="1"/>
  <c r="E630" i="1"/>
  <c r="D981" i="1"/>
  <c r="F667" i="1"/>
  <c r="E447" i="1"/>
  <c r="D587" i="1"/>
  <c r="E803" i="1"/>
  <c r="F642" i="1"/>
  <c r="D237" i="1"/>
  <c r="D14" i="1"/>
  <c r="C1033" i="1"/>
  <c r="D935" i="1"/>
  <c r="B442" i="1"/>
  <c r="B125" i="1"/>
  <c r="E84" i="1"/>
  <c r="A846" i="1"/>
  <c r="B2168" i="1"/>
  <c r="B191" i="1"/>
  <c r="E432" i="1"/>
  <c r="A142" i="1"/>
  <c r="E1770" i="1"/>
  <c r="D369" i="1"/>
  <c r="D585" i="1"/>
  <c r="D1633" i="1"/>
  <c r="B609" i="1"/>
  <c r="A38" i="1"/>
  <c r="F704" i="1"/>
  <c r="A1568" i="1"/>
  <c r="B475" i="1"/>
  <c r="B820" i="1"/>
  <c r="E1200" i="1"/>
  <c r="B639" i="1"/>
  <c r="B79" i="1"/>
  <c r="D785" i="1"/>
  <c r="A963" i="1"/>
  <c r="F1151" i="1"/>
  <c r="A69" i="1"/>
  <c r="F279" i="1"/>
  <c r="B418" i="1"/>
  <c r="F1708" i="1"/>
  <c r="C444" i="1"/>
  <c r="D95" i="1"/>
  <c r="A666" i="1"/>
  <c r="F708" i="1"/>
  <c r="C121" i="1"/>
  <c r="D806" i="1"/>
  <c r="E435" i="1"/>
  <c r="D2283" i="1"/>
  <c r="F737" i="1"/>
  <c r="D2330" i="1"/>
  <c r="D2037" i="1"/>
  <c r="E789" i="1"/>
  <c r="C887" i="1"/>
  <c r="C530" i="1"/>
  <c r="B631" i="1"/>
  <c r="D881" i="1"/>
  <c r="E42" i="1"/>
  <c r="C903" i="1"/>
  <c r="D2058" i="1"/>
  <c r="C608" i="1"/>
  <c r="C366" i="1"/>
  <c r="E609" i="1"/>
  <c r="A310" i="1"/>
  <c r="F656" i="1"/>
  <c r="D719" i="1"/>
  <c r="B179" i="1"/>
  <c r="D588" i="2"/>
  <c r="F2235" i="1"/>
  <c r="E1096" i="1"/>
  <c r="F480" i="1"/>
  <c r="D140" i="1"/>
  <c r="E1310" i="1"/>
  <c r="D1273" i="1"/>
  <c r="C1029" i="1"/>
  <c r="B881" i="1"/>
  <c r="E160" i="1"/>
  <c r="A82" i="1"/>
  <c r="E749" i="1"/>
  <c r="E939" i="1"/>
  <c r="D510" i="1"/>
  <c r="D1535" i="1"/>
  <c r="F337" i="2"/>
  <c r="F1671" i="1"/>
  <c r="B238" i="1"/>
  <c r="B450" i="1"/>
  <c r="F99" i="1"/>
  <c r="D413" i="1"/>
  <c r="F17" i="1"/>
  <c r="F1265" i="1"/>
  <c r="B96" i="1"/>
  <c r="C1147" i="1"/>
  <c r="B104" i="1"/>
  <c r="C305" i="1"/>
  <c r="E1295" i="1"/>
  <c r="C1804" i="1"/>
  <c r="A508" i="1"/>
  <c r="A436" i="1"/>
  <c r="F204" i="1"/>
  <c r="C2064" i="1"/>
  <c r="C1438" i="1"/>
  <c r="F50" i="1"/>
  <c r="F479" i="1"/>
  <c r="E671" i="1"/>
  <c r="D589" i="1"/>
  <c r="E1280" i="1"/>
  <c r="F1131" i="1"/>
  <c r="C435" i="1"/>
  <c r="B137" i="1"/>
  <c r="B1268" i="1"/>
  <c r="F660" i="1"/>
  <c r="E157" i="1"/>
  <c r="B520" i="1"/>
  <c r="A674" i="1"/>
  <c r="D429" i="1"/>
  <c r="D605" i="1"/>
  <c r="A350" i="1"/>
  <c r="C75" i="1"/>
  <c r="C489" i="1"/>
  <c r="E596" i="1"/>
  <c r="E1159" i="1"/>
  <c r="F175" i="1"/>
  <c r="F623" i="1"/>
  <c r="E76" i="1"/>
  <c r="F123" i="1"/>
  <c r="C214" i="1"/>
  <c r="B73" i="1"/>
  <c r="A218" i="1"/>
  <c r="C60" i="1"/>
  <c r="F641" i="1"/>
  <c r="B149" i="1"/>
  <c r="D1816" i="1"/>
  <c r="C112" i="1"/>
  <c r="F822" i="1"/>
  <c r="E1682" i="1"/>
  <c r="F55" i="1"/>
  <c r="E940" i="1"/>
  <c r="E292" i="1"/>
  <c r="E887" i="1"/>
  <c r="D635" i="1"/>
  <c r="B403" i="1"/>
  <c r="E1035" i="1"/>
  <c r="E427" i="1"/>
  <c r="B1194" i="1"/>
  <c r="E559" i="1"/>
  <c r="F941" i="1"/>
  <c r="B260" i="1"/>
  <c r="A455" i="1"/>
  <c r="B713" i="1"/>
  <c r="C97" i="1"/>
  <c r="C468" i="1"/>
  <c r="A815" i="1"/>
  <c r="C1467" i="1"/>
  <c r="C158" i="1"/>
  <c r="E2391" i="1"/>
  <c r="E72" i="1"/>
  <c r="A633" i="1"/>
  <c r="F470" i="1"/>
  <c r="D355" i="1"/>
  <c r="A1150" i="1"/>
  <c r="A1452" i="1"/>
  <c r="A341" i="1"/>
  <c r="D731" i="1"/>
  <c r="E578" i="1"/>
  <c r="F329" i="1"/>
  <c r="D669" i="1"/>
  <c r="D550" i="1"/>
  <c r="F238" i="1"/>
  <c r="D242" i="1"/>
  <c r="D1306" i="1"/>
  <c r="F520" i="1"/>
  <c r="B4" i="1"/>
  <c r="E184" i="1"/>
  <c r="F1289" i="1"/>
  <c r="F690" i="1"/>
  <c r="A147" i="1"/>
  <c r="E901" i="1"/>
  <c r="F335" i="1"/>
  <c r="D203" i="1"/>
  <c r="E780" i="1"/>
  <c r="E1328" i="1"/>
  <c r="B1422" i="1"/>
  <c r="A587" i="1"/>
  <c r="E489" i="1"/>
  <c r="F1393" i="1"/>
  <c r="A249" i="1"/>
  <c r="E178" i="1"/>
  <c r="E399" i="1"/>
  <c r="F42" i="1"/>
  <c r="E177" i="1"/>
  <c r="F816" i="1"/>
  <c r="C1522" i="1"/>
  <c r="F1243" i="1"/>
  <c r="C80" i="1"/>
  <c r="E1144" i="1"/>
  <c r="D532" i="1"/>
  <c r="E799" i="1"/>
  <c r="A648" i="1"/>
  <c r="C260" i="1"/>
  <c r="B97" i="1"/>
  <c r="C1336" i="1"/>
  <c r="E680" i="1"/>
  <c r="C632" i="1"/>
  <c r="C110" i="1"/>
  <c r="E463" i="1"/>
  <c r="D1265" i="1"/>
  <c r="C525" i="1"/>
  <c r="C161" i="1"/>
  <c r="E1228" i="1"/>
  <c r="C303" i="1"/>
  <c r="E87" i="1"/>
  <c r="C292" i="1"/>
  <c r="F460" i="1"/>
  <c r="A494" i="1"/>
  <c r="B773" i="1"/>
  <c r="B352" i="1"/>
  <c r="F252" i="1"/>
  <c r="E810" i="1"/>
  <c r="B515" i="1"/>
  <c r="A296" i="1"/>
  <c r="A1027" i="1"/>
  <c r="D211" i="1"/>
  <c r="D159" i="1"/>
  <c r="C704" i="1"/>
  <c r="D277" i="1"/>
  <c r="A1051" i="1"/>
  <c r="D23" i="1"/>
  <c r="A130" i="1"/>
  <c r="B896" i="1"/>
  <c r="F113" i="1"/>
  <c r="E1588" i="1"/>
  <c r="F170" i="1"/>
  <c r="E1238" i="1"/>
  <c r="A203" i="1"/>
  <c r="F612" i="1"/>
  <c r="D123" i="1"/>
  <c r="B696" i="1"/>
  <c r="F698" i="1"/>
  <c r="B1638" i="1"/>
  <c r="A266" i="1"/>
  <c r="A719" i="1"/>
  <c r="B1303" i="1"/>
  <c r="A30" i="1"/>
  <c r="B712" i="1"/>
  <c r="A415" i="1"/>
  <c r="C261" i="1"/>
  <c r="B2457" i="1"/>
  <c r="E1780" i="1"/>
  <c r="A565" i="1"/>
  <c r="F14" i="1"/>
  <c r="F761" i="1"/>
  <c r="F500" i="1"/>
  <c r="C672" i="1"/>
  <c r="B255" i="1"/>
  <c r="B334" i="1"/>
  <c r="A931" i="1"/>
  <c r="E1043" i="1"/>
  <c r="E1741" i="1"/>
  <c r="E98" i="1"/>
  <c r="B278" i="1"/>
  <c r="C133" i="1"/>
  <c r="F1259" i="1"/>
  <c r="D445" i="1"/>
  <c r="B982" i="1"/>
  <c r="F683" i="1"/>
  <c r="D1629" i="1"/>
  <c r="F191" i="1"/>
  <c r="E324" i="1"/>
  <c r="A257" i="1"/>
  <c r="E670" i="1"/>
  <c r="A458" i="1"/>
  <c r="A276" i="1"/>
  <c r="E647" i="1"/>
  <c r="D375" i="1"/>
  <c r="A303" i="1"/>
  <c r="B563" i="1"/>
  <c r="C710" i="1"/>
  <c r="C1267" i="1"/>
  <c r="D678" i="1"/>
  <c r="C1274" i="1"/>
  <c r="E50" i="1"/>
  <c r="C348" i="1"/>
  <c r="E591" i="1"/>
  <c r="E717" i="1"/>
  <c r="A830" i="1"/>
  <c r="B535" i="1"/>
  <c r="B338" i="1"/>
  <c r="D61" i="1"/>
  <c r="F789" i="1"/>
  <c r="B562" i="1"/>
  <c r="B529" i="1"/>
  <c r="D1229" i="1"/>
  <c r="F596" i="1"/>
  <c r="B805" i="1"/>
  <c r="F472" i="1"/>
  <c r="B1168" i="1"/>
  <c r="F285" i="1"/>
  <c r="C1108" i="1"/>
  <c r="B304" i="1"/>
  <c r="C150" i="1"/>
  <c r="B1756" i="1"/>
  <c r="D484" i="1"/>
  <c r="E425" i="1"/>
  <c r="C598" i="1"/>
  <c r="C1465" i="1"/>
  <c r="F232" i="1"/>
  <c r="C2306" i="1"/>
  <c r="A293" i="1"/>
  <c r="D661" i="1"/>
  <c r="F286" i="1"/>
  <c r="D555" i="1"/>
  <c r="B793" i="1"/>
  <c r="D209" i="1"/>
  <c r="D513" i="1"/>
  <c r="D326" i="1"/>
  <c r="D436" i="1"/>
  <c r="B277" i="1"/>
  <c r="E847" i="1"/>
  <c r="A743" i="1"/>
  <c r="D30" i="1"/>
  <c r="F565" i="1"/>
  <c r="C915" i="1"/>
  <c r="A220" i="1"/>
  <c r="E1236" i="1"/>
  <c r="B1440" i="1"/>
  <c r="C126" i="1"/>
  <c r="A841" i="1"/>
  <c r="D296" i="1"/>
  <c r="E1933" i="1"/>
  <c r="E30" i="1"/>
  <c r="E774" i="1"/>
  <c r="F182" i="1"/>
  <c r="F62" i="1"/>
  <c r="C529" i="1"/>
  <c r="D1685" i="1"/>
  <c r="E880" i="1"/>
  <c r="A45" i="1"/>
  <c r="C160" i="1"/>
  <c r="F424" i="1"/>
  <c r="B627" i="1"/>
  <c r="F398" i="1"/>
  <c r="A851" i="1"/>
  <c r="A27" i="1"/>
  <c r="E1393" i="1"/>
  <c r="C658" i="1"/>
  <c r="A158" i="1"/>
  <c r="B13" i="1"/>
  <c r="D69" i="1"/>
  <c r="E999" i="1"/>
  <c r="F1096" i="1"/>
  <c r="B235" i="1"/>
  <c r="C1520" i="1"/>
  <c r="C191" i="1"/>
  <c r="F643" i="1"/>
  <c r="F931" i="1"/>
  <c r="C195" i="1"/>
  <c r="F527" i="1"/>
  <c r="B207" i="1"/>
  <c r="B292" i="1"/>
  <c r="C302" i="1"/>
  <c r="A1197" i="1"/>
  <c r="D1128" i="1"/>
  <c r="E894" i="1"/>
  <c r="E535" i="1"/>
  <c r="B382" i="1"/>
  <c r="A414" i="1"/>
  <c r="D2334" i="1"/>
  <c r="F420" i="1"/>
  <c r="D365" i="1"/>
  <c r="F154" i="1"/>
  <c r="F631" i="1"/>
  <c r="F824" i="1"/>
  <c r="F1013" i="1"/>
  <c r="A216" i="1"/>
  <c r="B694" i="1"/>
  <c r="D539" i="1"/>
  <c r="E374" i="1"/>
  <c r="D1269" i="1"/>
  <c r="D155" i="1"/>
  <c r="C977" i="1"/>
  <c r="C359" i="1"/>
  <c r="A487" i="1"/>
  <c r="E322" i="1"/>
  <c r="E270" i="1"/>
  <c r="D466" i="1"/>
  <c r="E1223" i="1"/>
  <c r="E245" i="1"/>
  <c r="D720" i="1"/>
  <c r="A923" i="1"/>
  <c r="D2352" i="1"/>
  <c r="B858" i="1"/>
  <c r="F814" i="1"/>
  <c r="F1312" i="1"/>
  <c r="A1489" i="1"/>
  <c r="B332" i="1"/>
  <c r="C163" i="1"/>
  <c r="C400" i="1"/>
  <c r="F1806" i="1"/>
  <c r="C1548" i="1"/>
  <c r="F1626" i="1"/>
  <c r="A1282" i="1"/>
  <c r="E615" i="1"/>
  <c r="A515" i="1"/>
  <c r="D584" i="1"/>
  <c r="D614" i="1"/>
  <c r="A495" i="1"/>
  <c r="D165" i="1"/>
  <c r="A549" i="1"/>
  <c r="D773" i="1"/>
  <c r="F571" i="1"/>
  <c r="D213" i="1"/>
  <c r="B455" i="1"/>
  <c r="D884" i="1"/>
  <c r="A1312" i="1"/>
  <c r="E2077" i="1"/>
  <c r="E91" i="1"/>
  <c r="F246" i="1"/>
  <c r="B337" i="1"/>
  <c r="D115" i="1"/>
  <c r="E342" i="1"/>
  <c r="A575" i="1"/>
  <c r="E1433" i="1"/>
  <c r="E1221" i="1"/>
  <c r="C379" i="1"/>
  <c r="A700" i="1"/>
  <c r="E93" i="1"/>
  <c r="D183" i="1"/>
  <c r="A68" i="1"/>
  <c r="A183" i="1"/>
  <c r="B394" i="1"/>
  <c r="C270" i="1"/>
  <c r="C872" i="1"/>
  <c r="D363" i="1"/>
  <c r="C482" i="1"/>
  <c r="B1247" i="1"/>
  <c r="F569" i="1"/>
  <c r="B406" i="1"/>
  <c r="B209" i="1"/>
  <c r="D385" i="1"/>
  <c r="A207" i="1"/>
  <c r="C479" i="1"/>
  <c r="A395" i="1"/>
  <c r="C765" i="1"/>
  <c r="C85" i="1"/>
  <c r="D989" i="1"/>
  <c r="B56" i="1"/>
  <c r="C99" i="1"/>
  <c r="A907" i="1"/>
  <c r="F771" i="1"/>
  <c r="B1062" i="1"/>
  <c r="A738" i="1"/>
  <c r="F467" i="1"/>
  <c r="C32" i="1"/>
  <c r="F317" i="1"/>
  <c r="F2113" i="1"/>
  <c r="F274" i="1"/>
  <c r="C1211" i="1"/>
  <c r="C358" i="1"/>
  <c r="A326" i="1"/>
  <c r="A994" i="1"/>
  <c r="D47" i="1"/>
  <c r="B513" i="1"/>
  <c r="B579" i="1"/>
  <c r="A967" i="1"/>
  <c r="E827" i="1"/>
  <c r="E493" i="1"/>
  <c r="B102" i="1"/>
  <c r="F645" i="1"/>
  <c r="F659" i="1"/>
  <c r="B381" i="1"/>
  <c r="D266" i="1"/>
  <c r="E773" i="1"/>
  <c r="A362" i="1"/>
  <c r="E125" i="1"/>
  <c r="B599" i="1"/>
  <c r="F202" i="1"/>
  <c r="D712" i="1"/>
  <c r="E959" i="1"/>
  <c r="D1" i="1"/>
  <c r="A1454" i="1"/>
  <c r="D395" i="1"/>
  <c r="D2" i="1"/>
  <c r="F564" i="1"/>
  <c r="E1306" i="1"/>
  <c r="F566" i="1"/>
  <c r="B58" i="1"/>
  <c r="C169" i="1"/>
  <c r="C310" i="1"/>
  <c r="B402" i="1"/>
  <c r="F457" i="1"/>
  <c r="F644" i="1"/>
  <c r="C633" i="1"/>
  <c r="E1097" i="1"/>
  <c r="C18" i="1"/>
  <c r="F410" i="1"/>
  <c r="E284" i="1"/>
  <c r="B715" i="1"/>
  <c r="C403" i="1"/>
  <c r="B301" i="1"/>
  <c r="C151" i="1"/>
  <c r="F488" i="1"/>
  <c r="C168" i="1"/>
  <c r="B342" i="1"/>
  <c r="A170" i="1"/>
  <c r="B701" i="1"/>
  <c r="A107" i="1"/>
  <c r="E5" i="1"/>
  <c r="A862" i="1"/>
  <c r="B218" i="1"/>
  <c r="E823" i="1"/>
  <c r="F68" i="1"/>
  <c r="E94" i="1"/>
  <c r="A957" i="1"/>
  <c r="A289" i="1"/>
  <c r="F18" i="1"/>
  <c r="B184" i="1"/>
  <c r="E1064" i="1"/>
  <c r="F364" i="1"/>
  <c r="E82" i="1"/>
  <c r="F781" i="1"/>
  <c r="E67" i="1"/>
  <c r="E942" i="1"/>
  <c r="C980" i="1"/>
  <c r="E943" i="1"/>
  <c r="F930" i="1"/>
  <c r="F253" i="1"/>
  <c r="A217" i="1"/>
  <c r="D2475" i="1"/>
  <c r="D424" i="1"/>
  <c r="A1805" i="1"/>
  <c r="A1240" i="1"/>
  <c r="C640" i="1"/>
  <c r="D154" i="1"/>
  <c r="A260" i="1"/>
  <c r="E1833" i="1"/>
  <c r="E1229" i="1"/>
  <c r="F1373" i="1"/>
  <c r="C703" i="1"/>
  <c r="E624" i="1"/>
  <c r="E663" i="1"/>
  <c r="D383" i="1"/>
  <c r="D675" i="1"/>
  <c r="A605" i="1"/>
  <c r="D906" i="1"/>
  <c r="F1564" i="1"/>
  <c r="D84" i="1"/>
  <c r="B242" i="1"/>
  <c r="E1352" i="1"/>
  <c r="E220" i="1"/>
  <c r="B731" i="1"/>
  <c r="D557" i="1"/>
  <c r="C385" i="1"/>
  <c r="B248" i="1"/>
  <c r="F711" i="1"/>
  <c r="B441" i="1"/>
  <c r="D501" i="1"/>
  <c r="F437" i="1"/>
  <c r="C789" i="1"/>
  <c r="D214" i="1"/>
  <c r="F529" i="1"/>
  <c r="C908" i="1"/>
  <c r="D907" i="1"/>
  <c r="B502" i="1"/>
  <c r="D124" i="1"/>
  <c r="E439" i="1"/>
  <c r="A675" i="1"/>
  <c r="C994" i="1"/>
  <c r="E1734" i="1"/>
  <c r="B267" i="1"/>
  <c r="D282" i="1"/>
  <c r="B65" i="1"/>
  <c r="B857" i="1"/>
  <c r="D1093" i="1"/>
  <c r="F524" i="1"/>
  <c r="F719" i="1"/>
  <c r="E1057" i="1"/>
  <c r="D578" i="1"/>
  <c r="C1191" i="1"/>
  <c r="B113" i="1"/>
  <c r="B630" i="1"/>
  <c r="F212" i="1"/>
  <c r="D35" i="1"/>
  <c r="B341" i="1"/>
  <c r="A451" i="1"/>
  <c r="B357" i="1"/>
  <c r="F665" i="1"/>
  <c r="D366" i="1"/>
  <c r="F662" i="1"/>
  <c r="D677" i="1"/>
  <c r="E361" i="1"/>
  <c r="F966" i="1"/>
  <c r="D593" i="1"/>
  <c r="B743" i="1"/>
  <c r="A349" i="1"/>
  <c r="C172" i="1"/>
  <c r="E64" i="1"/>
  <c r="F1370" i="1"/>
  <c r="D86" i="1"/>
  <c r="A95" i="1"/>
  <c r="C1065" i="1"/>
  <c r="D257" i="1"/>
  <c r="C383" i="1"/>
  <c r="F855" i="1"/>
  <c r="E323" i="1"/>
  <c r="F482" i="1"/>
  <c r="B105" i="1"/>
  <c r="D191" i="1"/>
  <c r="C1715" i="1"/>
  <c r="F475" i="1"/>
  <c r="F722" i="1"/>
  <c r="E1335" i="1"/>
  <c r="C1577" i="1"/>
  <c r="F399" i="1"/>
  <c r="E542" i="1"/>
  <c r="D45" i="1"/>
  <c r="C569" i="1"/>
  <c r="E162" i="1"/>
  <c r="C1481" i="1"/>
  <c r="B760" i="1"/>
  <c r="C959" i="1"/>
  <c r="F381" i="1"/>
  <c r="E1157" i="1"/>
  <c r="D33" i="1"/>
  <c r="A127" i="1"/>
  <c r="F121" i="1"/>
  <c r="A729" i="1"/>
  <c r="D1918" i="1"/>
  <c r="C431" i="1"/>
  <c r="A84" i="1"/>
  <c r="F686" i="1"/>
  <c r="F493" i="1"/>
  <c r="C854" i="1"/>
  <c r="F777" i="1"/>
  <c r="B917" i="1"/>
  <c r="B229" i="1"/>
  <c r="A141" i="1"/>
  <c r="B607" i="1"/>
  <c r="C135" i="1"/>
  <c r="F196" i="1"/>
  <c r="F624" i="1"/>
  <c r="E590" i="1"/>
  <c r="B226" i="1"/>
  <c r="B669" i="1"/>
  <c r="A591" i="1"/>
  <c r="B232" i="1"/>
  <c r="B759" i="1"/>
  <c r="D274" i="1"/>
  <c r="B691" i="1"/>
  <c r="E513" i="1"/>
  <c r="F287" i="1"/>
  <c r="C238" i="1"/>
  <c r="B1156" i="1"/>
  <c r="A317" i="1"/>
  <c r="B313" i="1"/>
  <c r="A1829" i="1"/>
  <c r="B522" i="1"/>
  <c r="C411" i="1"/>
  <c r="D135" i="1"/>
  <c r="E63" i="1"/>
  <c r="C295" i="1"/>
  <c r="F1992" i="1"/>
  <c r="E190" i="1"/>
  <c r="B355" i="1"/>
  <c r="E703" i="1"/>
  <c r="F695" i="1"/>
  <c r="C34" i="1"/>
  <c r="F109" i="1"/>
  <c r="A522" i="1"/>
  <c r="D1928" i="1"/>
  <c r="F1065" i="1"/>
  <c r="B248" i="2"/>
  <c r="D662" i="1"/>
  <c r="E318" i="1"/>
  <c r="D7" i="1"/>
  <c r="A177" i="1"/>
  <c r="F1125" i="1"/>
  <c r="A479" i="1"/>
  <c r="C14" i="1"/>
  <c r="D497" i="1"/>
  <c r="C390" i="1"/>
  <c r="C67" i="1"/>
  <c r="A92" i="1"/>
  <c r="F658" i="1"/>
  <c r="C463" i="1"/>
  <c r="F151" i="1"/>
  <c r="E1124" i="1"/>
  <c r="C1601" i="1"/>
  <c r="D96" i="1"/>
  <c r="B128" i="1"/>
  <c r="D100" i="1"/>
  <c r="D225" i="1"/>
  <c r="B2275" i="1"/>
  <c r="A636" i="1"/>
  <c r="A598" i="1"/>
  <c r="F870" i="1"/>
  <c r="A419" i="1"/>
  <c r="C985" i="1"/>
  <c r="B228" i="1"/>
  <c r="C545" i="1"/>
  <c r="C620" i="1"/>
  <c r="D470" i="1"/>
  <c r="B626" i="1"/>
  <c r="E237" i="1"/>
  <c r="A286" i="1"/>
  <c r="A26" i="1"/>
  <c r="D298" i="1"/>
  <c r="I330" i="2" l="1"/>
  <c r="G329" i="2"/>
  <c r="G31" i="2"/>
  <c r="I32" i="2"/>
  <c r="I144" i="2"/>
  <c r="G143" i="2"/>
  <c r="I602" i="2"/>
  <c r="G601" i="2"/>
  <c r="I232" i="2"/>
  <c r="G231" i="2"/>
  <c r="I576" i="2"/>
  <c r="G575" i="2"/>
  <c r="I854" i="2"/>
  <c r="G853" i="2"/>
  <c r="I177" i="2"/>
  <c r="G176" i="2"/>
  <c r="I762" i="2"/>
  <c r="G761" i="2"/>
  <c r="I549" i="2"/>
  <c r="G548" i="2"/>
  <c r="I720" i="2"/>
  <c r="G719" i="2"/>
  <c r="I594" i="2"/>
  <c r="G593" i="2"/>
  <c r="I110" i="2"/>
  <c r="G109" i="2"/>
  <c r="I546" i="2"/>
  <c r="G545" i="2"/>
  <c r="G275" i="2"/>
  <c r="I276" i="2"/>
  <c r="G1360" i="2"/>
  <c r="I1361" i="2"/>
  <c r="I241" i="2"/>
  <c r="G240" i="2"/>
  <c r="I788" i="2"/>
  <c r="G787" i="2"/>
  <c r="I500" i="2"/>
  <c r="G499" i="2"/>
  <c r="I307" i="2"/>
  <c r="G306" i="2"/>
  <c r="G577" i="2"/>
  <c r="I578" i="2"/>
  <c r="I936" i="2"/>
  <c r="G935" i="2"/>
  <c r="G709" i="2"/>
  <c r="I710" i="2"/>
  <c r="I344" i="2"/>
  <c r="G343" i="2"/>
  <c r="I239" i="2"/>
  <c r="G238" i="2"/>
  <c r="I209" i="2"/>
  <c r="G208" i="2"/>
  <c r="I1311" i="2"/>
  <c r="G1310" i="2"/>
  <c r="G276" i="2"/>
  <c r="I277" i="2"/>
  <c r="I192" i="2"/>
  <c r="G191" i="2"/>
  <c r="I758" i="2"/>
  <c r="G757" i="2"/>
  <c r="I222" i="2"/>
  <c r="G221" i="2"/>
  <c r="I208" i="2"/>
  <c r="G207" i="2"/>
  <c r="G1394" i="2"/>
  <c r="I1395" i="2"/>
  <c r="I485" i="2"/>
  <c r="G484" i="2"/>
  <c r="I37" i="2"/>
  <c r="G36" i="2"/>
  <c r="I661" i="2"/>
  <c r="G660" i="2"/>
  <c r="I1082" i="2"/>
  <c r="G1081" i="2"/>
  <c r="I835" i="2"/>
  <c r="G834" i="2"/>
  <c r="I271" i="2"/>
  <c r="G270" i="2"/>
  <c r="I288" i="2"/>
  <c r="G287" i="2"/>
  <c r="I986" i="2"/>
  <c r="G985" i="2"/>
  <c r="I371" i="2"/>
  <c r="G370" i="2"/>
  <c r="I196" i="2"/>
  <c r="G195" i="2"/>
  <c r="G789" i="2"/>
  <c r="I790" i="2"/>
  <c r="I141" i="2"/>
  <c r="G140" i="2"/>
  <c r="I70" i="2"/>
  <c r="G69" i="2"/>
  <c r="G80" i="2"/>
  <c r="I81" i="2"/>
  <c r="I10" i="2"/>
  <c r="G9" i="2"/>
  <c r="I224" i="2"/>
  <c r="G223" i="2"/>
  <c r="I122" i="2"/>
  <c r="G121" i="2"/>
  <c r="I779" i="2"/>
  <c r="G778" i="2"/>
  <c r="I31" i="2"/>
  <c r="G30" i="2"/>
  <c r="I662" i="2"/>
  <c r="G661" i="2"/>
  <c r="I115" i="2"/>
  <c r="G114" i="2"/>
  <c r="I448" i="2"/>
  <c r="G447" i="2"/>
  <c r="G133" i="2"/>
  <c r="I134" i="2"/>
  <c r="I128" i="2"/>
  <c r="G127" i="2"/>
  <c r="I139" i="2"/>
  <c r="G138" i="2"/>
  <c r="G842" i="2"/>
  <c r="I843" i="2"/>
  <c r="I1270" i="2"/>
  <c r="G1269" i="2"/>
  <c r="G442" i="2"/>
  <c r="I443" i="2"/>
  <c r="I96" i="2"/>
  <c r="G95" i="2"/>
  <c r="G174" i="2"/>
  <c r="I175" i="2"/>
  <c r="I935" i="2"/>
  <c r="G934" i="2"/>
  <c r="I1109" i="2"/>
  <c r="G1108" i="2"/>
  <c r="I619" i="2"/>
  <c r="G618" i="2"/>
  <c r="I1116" i="2"/>
  <c r="G1115" i="2"/>
  <c r="I705" i="2"/>
  <c r="G704" i="2"/>
  <c r="G101" i="2"/>
  <c r="I102" i="2"/>
  <c r="I760" i="2"/>
  <c r="G759" i="2"/>
  <c r="G716" i="2"/>
  <c r="I717" i="2"/>
  <c r="I18" i="2"/>
  <c r="G17" i="2"/>
  <c r="I16" i="2"/>
  <c r="G15" i="2"/>
  <c r="I319" i="2"/>
  <c r="G318" i="2"/>
  <c r="I570" i="2"/>
  <c r="G569" i="2"/>
  <c r="I310" i="2"/>
  <c r="G309" i="2"/>
  <c r="I610" i="2"/>
  <c r="G609" i="2"/>
  <c r="I907" i="2"/>
  <c r="G906" i="2"/>
  <c r="I1407" i="2"/>
  <c r="G1406" i="2"/>
  <c r="I216" i="2"/>
  <c r="G215" i="2"/>
  <c r="I354" i="2"/>
  <c r="G353" i="2"/>
  <c r="I515" i="2"/>
  <c r="G514" i="2"/>
  <c r="I573" i="2"/>
  <c r="G572" i="2"/>
  <c r="I483" i="2"/>
  <c r="G482" i="2"/>
  <c r="I993" i="2"/>
  <c r="G992" i="2"/>
  <c r="G115" i="2"/>
  <c r="I116" i="2"/>
  <c r="I333" i="2"/>
  <c r="G332" i="2"/>
  <c r="I221" i="2"/>
  <c r="G220" i="2"/>
  <c r="I539" i="2"/>
  <c r="G538" i="2"/>
  <c r="I100" i="2"/>
  <c r="G99" i="2"/>
  <c r="I464" i="2"/>
  <c r="G463" i="2"/>
  <c r="I284" i="2"/>
  <c r="G283" i="2"/>
  <c r="I421" i="2"/>
  <c r="G420" i="2"/>
  <c r="I592" i="2"/>
  <c r="G591" i="2"/>
  <c r="I645" i="2"/>
  <c r="G644" i="2"/>
  <c r="I280" i="2"/>
  <c r="G279" i="2"/>
  <c r="I591" i="2"/>
  <c r="G590" i="2"/>
  <c r="I571" i="2"/>
  <c r="G570" i="2"/>
  <c r="I261" i="2"/>
  <c r="G260" i="2"/>
  <c r="I189" i="2"/>
  <c r="G188" i="2"/>
  <c r="I671" i="2"/>
  <c r="G670" i="2"/>
  <c r="G786" i="2"/>
  <c r="I787" i="2"/>
  <c r="I770" i="2"/>
  <c r="G769" i="2"/>
  <c r="I517" i="2"/>
  <c r="G516" i="2"/>
  <c r="I73" i="2"/>
  <c r="G72" i="2"/>
  <c r="I896" i="2"/>
  <c r="G895" i="2"/>
  <c r="I1046" i="2"/>
  <c r="G1045" i="2"/>
  <c r="I321" i="2"/>
  <c r="G320" i="2"/>
  <c r="G86" i="2"/>
  <c r="I87" i="2"/>
  <c r="I601" i="2"/>
  <c r="G600" i="2"/>
  <c r="I17" i="2"/>
  <c r="G16" i="2"/>
  <c r="I1242" i="2"/>
  <c r="G1241" i="2"/>
  <c r="I1231" i="2"/>
  <c r="G1230" i="2"/>
  <c r="I805" i="2"/>
  <c r="G804" i="2"/>
  <c r="I160" i="2"/>
  <c r="G159" i="2"/>
  <c r="I585" i="2"/>
  <c r="G584" i="2"/>
  <c r="I46" i="2"/>
  <c r="G45" i="2"/>
  <c r="G229" i="2"/>
  <c r="I230" i="2"/>
  <c r="I638" i="2"/>
  <c r="G637" i="2"/>
  <c r="I365" i="2"/>
  <c r="G364" i="2"/>
  <c r="I2" i="2"/>
  <c r="I524" i="2"/>
  <c r="G523" i="2"/>
  <c r="I518" i="2"/>
  <c r="G517" i="2"/>
  <c r="I840" i="2"/>
  <c r="G839" i="2"/>
  <c r="I655" i="2"/>
  <c r="G654" i="2"/>
  <c r="I28" i="2"/>
  <c r="G27" i="2"/>
  <c r="I294" i="2"/>
  <c r="G293" i="2"/>
  <c r="I714" i="2"/>
  <c r="G713" i="2"/>
  <c r="I436" i="2"/>
  <c r="G435" i="2"/>
  <c r="I272" i="2"/>
  <c r="G271" i="2"/>
  <c r="I752" i="2"/>
  <c r="G751" i="2"/>
  <c r="I1432" i="2"/>
  <c r="G1431" i="2"/>
  <c r="I740" i="2"/>
  <c r="G739" i="2"/>
  <c r="G85" i="2"/>
  <c r="I86" i="2"/>
  <c r="I38" i="2"/>
  <c r="G37" i="2"/>
  <c r="I151" i="2"/>
  <c r="G150" i="2"/>
  <c r="I501" i="2"/>
  <c r="G500" i="2"/>
  <c r="I1376" i="2"/>
  <c r="G1375" i="2"/>
  <c r="I650" i="2"/>
  <c r="G649" i="2"/>
  <c r="I778" i="2"/>
  <c r="G777" i="2"/>
  <c r="I279" i="2"/>
  <c r="G278" i="2"/>
  <c r="I582" i="2"/>
  <c r="G581" i="2"/>
  <c r="I185" i="2"/>
  <c r="G184" i="2"/>
  <c r="I1457" i="2"/>
  <c r="G1456" i="2"/>
  <c r="I407" i="2"/>
  <c r="G406" i="2"/>
  <c r="I406" i="2"/>
  <c r="G405" i="2"/>
  <c r="I1662" i="2"/>
  <c r="G1661" i="2"/>
  <c r="I509" i="2"/>
  <c r="G508" i="2"/>
  <c r="I774" i="2"/>
  <c r="G773" i="2"/>
  <c r="I166" i="2"/>
  <c r="G165" i="2"/>
  <c r="I397" i="2"/>
  <c r="G396" i="2"/>
  <c r="I1097" i="2"/>
  <c r="G1096" i="2"/>
  <c r="I1178" i="2"/>
  <c r="G1177" i="2"/>
  <c r="I121" i="2"/>
  <c r="G120" i="2"/>
  <c r="I920" i="2"/>
  <c r="G919" i="2"/>
  <c r="I1068" i="2"/>
  <c r="G1067" i="2"/>
  <c r="I1040" i="2"/>
  <c r="G1039" i="2"/>
  <c r="I676" i="2"/>
  <c r="G675" i="2"/>
  <c r="I596" i="2"/>
  <c r="G595" i="2"/>
  <c r="I169" i="2"/>
  <c r="G168" i="2"/>
  <c r="I1075" i="2"/>
  <c r="G1074" i="2"/>
  <c r="I511" i="2"/>
  <c r="G510" i="2"/>
  <c r="I2266" i="2"/>
  <c r="G2265" i="2"/>
  <c r="I545" i="2"/>
  <c r="G544" i="2"/>
  <c r="I1099" i="2"/>
  <c r="G1098" i="2"/>
  <c r="I1168" i="2"/>
  <c r="G1167" i="2"/>
  <c r="I405" i="2"/>
  <c r="G404" i="2"/>
  <c r="I590" i="2"/>
  <c r="G589" i="2"/>
  <c r="I68" i="2"/>
  <c r="G67" i="2"/>
  <c r="I187" i="2"/>
  <c r="G186" i="2"/>
  <c r="I256" i="2"/>
  <c r="G255" i="2"/>
  <c r="I1025" i="2"/>
  <c r="G1024" i="2"/>
  <c r="I88" i="2"/>
  <c r="G87" i="2"/>
  <c r="I412" i="2"/>
  <c r="G411" i="2"/>
  <c r="I708" i="2"/>
  <c r="G707" i="2"/>
  <c r="I723" i="2"/>
  <c r="G722" i="2"/>
  <c r="I273" i="2"/>
  <c r="G272" i="2"/>
  <c r="G82" i="2"/>
  <c r="I83" i="2"/>
  <c r="I814" i="2"/>
  <c r="G813" i="2"/>
  <c r="I165" i="2"/>
  <c r="G164" i="2"/>
  <c r="I49" i="2"/>
  <c r="G48" i="2"/>
  <c r="I929" i="2"/>
  <c r="G928" i="2"/>
  <c r="I202" i="2"/>
  <c r="G201" i="2"/>
  <c r="G981" i="2"/>
  <c r="I982" i="2"/>
  <c r="I467" i="2"/>
  <c r="G466" i="2"/>
  <c r="I320" i="2"/>
  <c r="G319" i="2"/>
  <c r="I479" i="2"/>
  <c r="G478" i="2"/>
  <c r="I262" i="2"/>
  <c r="G261" i="2"/>
  <c r="I706" i="2"/>
  <c r="G705" i="2"/>
  <c r="I1119" i="2"/>
  <c r="G1118" i="2"/>
  <c r="I7" i="2"/>
  <c r="G6" i="2"/>
  <c r="I1670" i="2"/>
  <c r="G1669" i="2"/>
  <c r="I519" i="2"/>
  <c r="G518" i="2"/>
  <c r="I482" i="2"/>
  <c r="G481" i="2"/>
  <c r="I944" i="2"/>
  <c r="G943" i="2"/>
  <c r="I583" i="2"/>
  <c r="G582" i="2"/>
  <c r="I620" i="2"/>
  <c r="G619" i="2"/>
  <c r="I562" i="2"/>
  <c r="G561" i="2"/>
  <c r="I707" i="2"/>
  <c r="G706" i="2"/>
  <c r="I345" i="2"/>
  <c r="G344" i="2"/>
  <c r="I441" i="2"/>
  <c r="G440" i="2"/>
  <c r="I875" i="2"/>
  <c r="G874" i="2"/>
  <c r="I466" i="2"/>
  <c r="G465" i="2"/>
  <c r="G108" i="2"/>
  <c r="I109" i="2"/>
  <c r="I40" i="2"/>
  <c r="G39" i="2"/>
  <c r="I204" i="2"/>
  <c r="G203" i="2"/>
  <c r="I1667" i="2"/>
  <c r="G1666" i="2"/>
  <c r="I45" i="2"/>
  <c r="G44" i="2"/>
  <c r="I468" i="2"/>
  <c r="G467" i="2"/>
  <c r="I183" i="2"/>
  <c r="G182" i="2"/>
  <c r="I179" i="2"/>
  <c r="G178" i="2"/>
  <c r="I245" i="2"/>
  <c r="G244" i="2"/>
  <c r="I257" i="2"/>
  <c r="G256" i="2"/>
  <c r="I214" i="2"/>
  <c r="G213" i="2"/>
  <c r="I417" i="2"/>
  <c r="G416" i="2"/>
  <c r="I298" i="2"/>
  <c r="G297" i="2"/>
  <c r="I721" i="2"/>
  <c r="G720" i="2"/>
  <c r="I1598" i="2"/>
  <c r="G1597" i="2"/>
  <c r="I525" i="2"/>
  <c r="G524" i="2"/>
  <c r="I750" i="2"/>
  <c r="G749" i="2"/>
  <c r="I292" i="2"/>
  <c r="G291" i="2"/>
  <c r="I229" i="2"/>
  <c r="G228" i="2"/>
  <c r="I502" i="2"/>
  <c r="G501" i="2"/>
  <c r="I836" i="2"/>
  <c r="G835" i="2"/>
  <c r="I795" i="2"/>
  <c r="G794" i="2"/>
  <c r="I834" i="2"/>
  <c r="G833" i="2"/>
  <c r="I1718" i="2"/>
  <c r="G1717" i="2"/>
  <c r="I738" i="2"/>
  <c r="G737" i="2"/>
  <c r="I694" i="2"/>
  <c r="G693" i="2"/>
  <c r="G269" i="2"/>
  <c r="I270" i="2"/>
  <c r="I1021" i="2"/>
  <c r="G1020" i="2"/>
  <c r="I1050" i="2"/>
  <c r="G1049" i="2"/>
  <c r="I925" i="2"/>
  <c r="G924" i="2"/>
  <c r="I1244" i="2"/>
  <c r="G1243" i="2"/>
  <c r="I39" i="2"/>
  <c r="G38" i="2"/>
  <c r="I66" i="2"/>
  <c r="G65" i="2"/>
  <c r="I697" i="2"/>
  <c r="G696" i="2"/>
  <c r="I137" i="2"/>
  <c r="G136" i="2"/>
  <c r="I874" i="2"/>
  <c r="G873" i="2"/>
  <c r="I728" i="2"/>
  <c r="G727" i="2"/>
  <c r="I255" i="2"/>
  <c r="G254" i="2"/>
  <c r="I1215" i="2"/>
  <c r="G1214" i="2"/>
  <c r="I58" i="2"/>
  <c r="G57" i="2"/>
  <c r="I94" i="2"/>
  <c r="G93" i="2"/>
  <c r="I615" i="2"/>
  <c r="G614" i="2"/>
  <c r="I61" i="2"/>
  <c r="G60" i="2"/>
  <c r="I1274" i="2"/>
  <c r="G1273" i="2"/>
  <c r="I84" i="2"/>
  <c r="G83" i="2"/>
  <c r="I26" i="2"/>
  <c r="G25" i="2"/>
  <c r="I150" i="2"/>
  <c r="G149" i="2"/>
  <c r="I107" i="2"/>
  <c r="G106" i="2"/>
  <c r="I67" i="2"/>
  <c r="G66" i="2"/>
  <c r="I24" i="2"/>
  <c r="G23" i="2"/>
  <c r="I1002" i="2"/>
  <c r="G1001" i="2"/>
  <c r="I1324" i="2"/>
  <c r="G1323" i="2"/>
  <c r="I250" i="2"/>
  <c r="G249" i="2"/>
  <c r="I497" i="2"/>
  <c r="G496" i="2"/>
  <c r="I460" i="2"/>
  <c r="G459" i="2"/>
  <c r="I132" i="2"/>
  <c r="G131" i="2"/>
  <c r="I532" i="2"/>
  <c r="G531" i="2"/>
  <c r="I564" i="2"/>
  <c r="G563" i="2"/>
  <c r="I1175" i="2"/>
  <c r="G1174" i="2"/>
  <c r="I1052" i="2"/>
  <c r="G1051" i="2"/>
  <c r="I815" i="2"/>
  <c r="G814" i="2"/>
  <c r="I392" i="2"/>
  <c r="G391" i="2"/>
  <c r="I15" i="2"/>
  <c r="G14" i="2"/>
  <c r="I48" i="2"/>
  <c r="G47" i="2"/>
  <c r="I213" i="2"/>
  <c r="G212" i="2"/>
  <c r="I916" i="2"/>
  <c r="G915" i="2"/>
  <c r="I299" i="2"/>
  <c r="G298" i="2"/>
  <c r="I912" i="2"/>
  <c r="G911" i="2"/>
  <c r="I551" i="2"/>
  <c r="G550" i="2"/>
  <c r="I9" i="2"/>
  <c r="G8" i="2"/>
  <c r="I559" i="2"/>
  <c r="G558" i="2"/>
  <c r="I374" i="2"/>
  <c r="G373" i="2"/>
  <c r="I340" i="2"/>
  <c r="G339" i="2"/>
  <c r="I934" i="2"/>
  <c r="G933" i="2"/>
  <c r="I377" i="2"/>
  <c r="G376" i="2"/>
  <c r="I997" i="2"/>
  <c r="G996" i="2"/>
  <c r="G1801" i="2"/>
  <c r="I1802" i="2"/>
  <c r="G134" i="2"/>
  <c r="I135" i="2"/>
  <c r="I856" i="2"/>
  <c r="G855" i="2"/>
  <c r="I415" i="2"/>
  <c r="G414" i="2"/>
  <c r="I626" i="2"/>
  <c r="G625" i="2"/>
  <c r="I206" i="2"/>
  <c r="G205" i="2"/>
  <c r="I851" i="2"/>
  <c r="G850" i="2"/>
  <c r="I161" i="2"/>
  <c r="G160" i="2"/>
  <c r="I201" i="2"/>
  <c r="G200" i="2"/>
  <c r="I390" i="2"/>
  <c r="G389" i="2"/>
  <c r="I220" i="2"/>
  <c r="G219" i="2"/>
  <c r="I148" i="2"/>
  <c r="G147" i="2"/>
  <c r="I693" i="2"/>
  <c r="G692" i="2"/>
  <c r="I445" i="2"/>
  <c r="G444" i="2"/>
  <c r="I315" i="2"/>
  <c r="G314" i="2"/>
  <c r="I51" i="2"/>
  <c r="G50" i="2"/>
  <c r="I1121" i="2"/>
  <c r="G1120" i="2"/>
  <c r="I987" i="2"/>
  <c r="G986" i="2"/>
  <c r="I78" i="2"/>
  <c r="G77" i="2"/>
  <c r="I112" i="2"/>
  <c r="G111" i="2"/>
  <c r="I1391" i="2"/>
  <c r="G1390" i="2"/>
  <c r="I155" i="2"/>
  <c r="G154" i="2"/>
  <c r="I178" i="2"/>
  <c r="G177" i="2"/>
  <c r="I711" i="2"/>
  <c r="G710" i="2"/>
  <c r="I329" i="2"/>
  <c r="G328" i="2"/>
  <c r="I322" i="2"/>
  <c r="G321" i="2"/>
  <c r="I845" i="2"/>
  <c r="G844" i="2"/>
  <c r="I983" i="2"/>
  <c r="G982" i="2"/>
  <c r="I746" i="2"/>
  <c r="G745" i="2"/>
  <c r="I212" i="2"/>
  <c r="G211" i="2"/>
  <c r="I625" i="2"/>
  <c r="G624" i="2"/>
  <c r="I425" i="2"/>
  <c r="G424" i="2"/>
  <c r="I726" i="2"/>
  <c r="G725" i="2"/>
  <c r="I265" i="2"/>
  <c r="G264" i="2"/>
  <c r="I200" i="2"/>
  <c r="G199" i="2"/>
  <c r="I394" i="2"/>
  <c r="G393" i="2"/>
  <c r="I1087" i="2"/>
  <c r="G1086" i="2"/>
  <c r="I1101" i="2"/>
  <c r="G1100" i="2"/>
  <c r="I623" i="2"/>
  <c r="G622" i="2"/>
  <c r="G224" i="2"/>
  <c r="I225" i="2"/>
  <c r="I117" i="2"/>
  <c r="G116" i="2"/>
  <c r="I548" i="2"/>
  <c r="G547" i="2"/>
  <c r="I244" i="2"/>
  <c r="G243" i="2"/>
  <c r="I544" i="2"/>
  <c r="G543" i="2"/>
  <c r="I490" i="2"/>
  <c r="G489" i="2"/>
  <c r="I253" i="2"/>
  <c r="G252" i="2"/>
  <c r="I891" i="2"/>
  <c r="G890" i="2"/>
  <c r="I113" i="2"/>
  <c r="G112" i="2"/>
  <c r="I450" i="2"/>
  <c r="G449" i="2"/>
  <c r="I1029" i="2"/>
  <c r="G1028" i="2"/>
  <c r="I383" i="2"/>
  <c r="G382" i="2"/>
  <c r="I142" i="2"/>
  <c r="G141" i="2"/>
  <c r="G1341" i="2"/>
  <c r="I1342" i="2"/>
  <c r="I64" i="2"/>
  <c r="G63" i="2"/>
  <c r="I233" i="2"/>
  <c r="G232" i="2"/>
  <c r="I33" i="2"/>
  <c r="G32" i="2"/>
  <c r="I1939" i="2"/>
  <c r="G1938" i="2"/>
  <c r="I388" i="2"/>
  <c r="G387" i="2"/>
  <c r="I54" i="2"/>
  <c r="G53" i="2"/>
  <c r="I700" i="2"/>
  <c r="G699" i="2"/>
  <c r="I164" i="2"/>
  <c r="G163" i="2"/>
  <c r="I575" i="2"/>
  <c r="G574" i="2"/>
  <c r="I1022" i="2"/>
  <c r="G1021" i="2"/>
  <c r="I1015" i="2"/>
  <c r="G1014" i="2"/>
  <c r="I2095" i="2"/>
  <c r="G2094" i="2"/>
  <c r="I80" i="2"/>
  <c r="G79" i="2"/>
  <c r="G521" i="2"/>
  <c r="I522" i="2"/>
  <c r="I761" i="2"/>
  <c r="G760" i="2"/>
  <c r="I948" i="2"/>
  <c r="G947" i="2"/>
  <c r="I351" i="2"/>
  <c r="G350" i="2"/>
  <c r="I748" i="2"/>
  <c r="G747" i="2"/>
  <c r="I827" i="2"/>
  <c r="G826" i="2"/>
  <c r="I831" i="2"/>
  <c r="G830" i="2"/>
  <c r="I776" i="2"/>
  <c r="G775" i="2"/>
  <c r="I1282" i="2"/>
  <c r="G1281" i="2"/>
  <c r="I540" i="2"/>
  <c r="G539" i="2"/>
  <c r="I194" i="2"/>
  <c r="G193" i="2"/>
  <c r="I855" i="2"/>
  <c r="G854" i="2"/>
  <c r="I1758" i="2"/>
  <c r="G1757" i="2"/>
  <c r="I308" i="2"/>
  <c r="G307" i="2"/>
  <c r="I130" i="2"/>
  <c r="G129" i="2"/>
  <c r="I1152" i="2"/>
  <c r="G1151" i="2"/>
  <c r="I188" i="2"/>
  <c r="G187" i="2"/>
  <c r="I385" i="2"/>
  <c r="G384" i="2"/>
  <c r="I766" i="2"/>
  <c r="G765" i="2"/>
  <c r="I119" i="2"/>
  <c r="G118" i="2"/>
  <c r="G821" i="2"/>
  <c r="I822" i="2"/>
  <c r="G694" i="2"/>
  <c r="I695" i="2"/>
  <c r="I369" i="2"/>
  <c r="G368" i="2"/>
  <c r="I547" i="2"/>
  <c r="G546" i="2"/>
  <c r="I683" i="2"/>
  <c r="G682" i="2"/>
  <c r="I484" i="2"/>
  <c r="G483" i="2"/>
  <c r="I6" i="2"/>
  <c r="G5" i="2"/>
  <c r="I600" i="2"/>
  <c r="G599" i="2"/>
  <c r="I478" i="2"/>
  <c r="G477" i="2"/>
  <c r="I682" i="2"/>
  <c r="G681" i="2"/>
  <c r="I249" i="2"/>
  <c r="G248" i="2"/>
  <c r="I114" i="2"/>
  <c r="G113" i="2"/>
  <c r="I589" i="2"/>
  <c r="G588" i="2"/>
  <c r="I1472" i="2"/>
  <c r="G1471" i="2"/>
  <c r="I409" i="2"/>
  <c r="G408" i="2"/>
  <c r="I990" i="2"/>
  <c r="G989" i="2"/>
  <c r="I1462" i="2"/>
  <c r="G1461" i="2"/>
  <c r="I1194" i="2"/>
  <c r="G1193" i="2"/>
  <c r="I1191" i="2"/>
  <c r="G1190" i="2"/>
  <c r="I293" i="2"/>
  <c r="G292" i="2"/>
  <c r="I442" i="2"/>
  <c r="G441" i="2"/>
  <c r="I1067" i="2"/>
  <c r="G1066" i="2"/>
  <c r="I970" i="2"/>
  <c r="G969" i="2"/>
  <c r="I1208" i="2"/>
  <c r="G1207" i="2"/>
  <c r="I1024" i="2"/>
  <c r="G1023" i="2"/>
  <c r="I19" i="2"/>
  <c r="G18" i="2"/>
  <c r="I176" i="2"/>
  <c r="G175" i="2"/>
  <c r="I120" i="2"/>
  <c r="G119" i="2"/>
  <c r="I143" i="2"/>
  <c r="G142" i="2"/>
  <c r="I316" i="2"/>
  <c r="G315" i="2"/>
  <c r="I669" i="2"/>
  <c r="G668" i="2"/>
  <c r="I1278" i="2"/>
  <c r="G1277" i="2"/>
  <c r="I889" i="2"/>
  <c r="G888" i="2"/>
  <c r="I893" i="2"/>
  <c r="G892" i="2"/>
  <c r="I153" i="2"/>
  <c r="G152" i="2"/>
  <c r="I366" i="2"/>
  <c r="G365" i="2"/>
  <c r="I97" i="2"/>
  <c r="G96" i="2"/>
  <c r="I1080" i="2"/>
  <c r="G1079" i="2"/>
  <c r="I429" i="2"/>
  <c r="G428" i="2"/>
  <c r="I359" i="2"/>
  <c r="G358" i="2"/>
  <c r="I698" i="2"/>
  <c r="G697" i="2"/>
  <c r="I915" i="2"/>
  <c r="G914" i="2"/>
  <c r="I258" i="2"/>
  <c r="G257" i="2"/>
  <c r="I677" i="2"/>
  <c r="G676" i="2"/>
  <c r="I349" i="2"/>
  <c r="G348" i="2"/>
  <c r="I513" i="2"/>
  <c r="G512" i="2"/>
  <c r="I764" i="2"/>
  <c r="G763" i="2"/>
  <c r="I1219" i="2"/>
  <c r="G1218" i="2"/>
  <c r="I3" i="2"/>
  <c r="G2" i="2"/>
  <c r="I702" i="2"/>
  <c r="G701" i="2"/>
  <c r="I1070" i="2"/>
  <c r="G1069" i="2"/>
  <c r="I1263" i="2"/>
  <c r="G1262" i="2"/>
  <c r="G1501" i="2"/>
  <c r="I1502" i="2"/>
  <c r="G26" i="2"/>
  <c r="I27" i="2"/>
  <c r="I531" i="2"/>
  <c r="G530" i="2"/>
  <c r="I832" i="2"/>
  <c r="G831" i="2"/>
  <c r="I887" i="2"/>
  <c r="G886" i="2"/>
  <c r="I686" i="2"/>
  <c r="G685" i="2"/>
  <c r="I734" i="2"/>
  <c r="G733" i="2"/>
  <c r="G33" i="2"/>
  <c r="I34" i="2"/>
  <c r="I278" i="2"/>
  <c r="G277" i="2"/>
  <c r="I1501" i="2"/>
  <c r="G1500" i="2"/>
  <c r="I804" i="2"/>
  <c r="G803" i="2"/>
  <c r="I400" i="2"/>
  <c r="G399" i="2"/>
  <c r="I76" i="2"/>
  <c r="G75" i="2"/>
  <c r="I167" i="2"/>
  <c r="G166" i="2"/>
  <c r="I173" i="2"/>
  <c r="G172" i="2"/>
  <c r="I223" i="2"/>
  <c r="G222" i="2"/>
  <c r="I736" i="2"/>
  <c r="G735" i="2"/>
  <c r="I378" i="2"/>
  <c r="G377" i="2"/>
  <c r="I1123" i="2"/>
  <c r="G1122" i="2"/>
  <c r="I461" i="2"/>
  <c r="G460" i="2"/>
  <c r="I941" i="2"/>
  <c r="G940" i="2"/>
  <c r="I911" i="2"/>
  <c r="G910" i="2"/>
  <c r="I422" i="2"/>
  <c r="G421" i="2"/>
  <c r="I477" i="2"/>
  <c r="G476" i="2"/>
  <c r="I773" i="2"/>
  <c r="G772" i="2"/>
  <c r="I909" i="2"/>
  <c r="G908" i="2"/>
  <c r="I716" i="2"/>
  <c r="G715" i="2"/>
  <c r="I644" i="2"/>
  <c r="G643" i="2"/>
  <c r="I816" i="2"/>
  <c r="G815" i="2"/>
  <c r="I309" i="2"/>
  <c r="G308" i="2"/>
  <c r="I837" i="2"/>
  <c r="G836" i="2"/>
  <c r="G330" i="2"/>
  <c r="I331" i="2"/>
  <c r="I289" i="2"/>
  <c r="G288" i="2"/>
  <c r="I52" i="2"/>
  <c r="G51" i="2"/>
  <c r="G197" i="2"/>
  <c r="I198" i="2"/>
  <c r="I1151" i="2"/>
  <c r="G1150" i="2"/>
  <c r="I1622" i="2"/>
  <c r="G1621" i="2"/>
  <c r="I1574" i="2"/>
  <c r="G1573" i="2"/>
  <c r="I1473" i="2"/>
  <c r="G1472" i="2"/>
  <c r="G1313" i="2"/>
  <c r="I1314" i="2"/>
  <c r="I1933" i="2"/>
  <c r="G1932" i="2"/>
  <c r="I904" i="2"/>
  <c r="G903" i="2"/>
  <c r="I368" i="2"/>
  <c r="G367" i="2"/>
  <c r="I699" i="2"/>
  <c r="G698" i="2"/>
  <c r="I577" i="2"/>
  <c r="G576" i="2"/>
  <c r="I1056" i="2"/>
  <c r="G1055" i="2"/>
  <c r="I663" i="2"/>
  <c r="G662" i="2"/>
  <c r="I631" i="2"/>
  <c r="G630" i="2"/>
  <c r="I1014" i="2"/>
  <c r="G1013" i="2"/>
  <c r="I499" i="2"/>
  <c r="G498" i="2"/>
  <c r="I999" i="2"/>
  <c r="G998" i="2"/>
  <c r="I744" i="2"/>
  <c r="G743" i="2"/>
  <c r="I12" i="2"/>
  <c r="G11" i="2"/>
  <c r="I281" i="2"/>
  <c r="G280" i="2"/>
  <c r="I914" i="2"/>
  <c r="G913" i="2"/>
  <c r="I318" i="2"/>
  <c r="G317" i="2"/>
  <c r="I1230" i="2"/>
  <c r="G1229" i="2"/>
  <c r="I869" i="2"/>
  <c r="G868" i="2"/>
  <c r="I437" i="2"/>
  <c r="G436" i="2"/>
  <c r="I36" i="2"/>
  <c r="G35" i="2"/>
  <c r="I1033" i="2"/>
  <c r="G1032" i="2"/>
  <c r="I793" i="2"/>
  <c r="G792" i="2"/>
  <c r="I457" i="2"/>
  <c r="G456" i="2"/>
  <c r="I688" i="2"/>
  <c r="G687" i="2"/>
  <c r="I108" i="2"/>
  <c r="G107" i="2"/>
  <c r="I77" i="2"/>
  <c r="G76" i="2"/>
  <c r="I923" i="2"/>
  <c r="G922" i="2"/>
  <c r="I1090" i="2"/>
  <c r="G1089" i="2"/>
  <c r="I1475" i="2"/>
  <c r="G1474" i="2"/>
  <c r="I1666" i="2"/>
  <c r="G1665" i="2"/>
  <c r="I713" i="2"/>
  <c r="G712" i="2"/>
  <c r="I735" i="2"/>
  <c r="G734" i="2"/>
  <c r="I475" i="2"/>
  <c r="G474" i="2"/>
  <c r="I264" i="2"/>
  <c r="G263" i="2"/>
  <c r="I463" i="2"/>
  <c r="G462" i="2"/>
  <c r="I692" i="2"/>
  <c r="G691" i="2"/>
  <c r="I651" i="2"/>
  <c r="G650" i="2"/>
  <c r="I508" i="2"/>
  <c r="G507" i="2"/>
  <c r="I23" i="2"/>
  <c r="G22" i="2"/>
  <c r="G1382" i="2"/>
  <c r="I1383" i="2"/>
  <c r="I952" i="2"/>
  <c r="G951" i="2"/>
  <c r="I584" i="2"/>
  <c r="G583" i="2"/>
  <c r="I627" i="2"/>
  <c r="G626" i="2"/>
  <c r="I342" i="2"/>
  <c r="G341" i="2"/>
  <c r="I1085" i="2"/>
  <c r="G1084" i="2"/>
  <c r="I1006" i="2"/>
  <c r="G1005" i="2"/>
  <c r="I833" i="2"/>
  <c r="G832" i="2"/>
  <c r="I565" i="2"/>
  <c r="G564" i="2"/>
  <c r="I1047" i="2"/>
  <c r="G1046" i="2"/>
  <c r="I1854" i="2"/>
  <c r="G1853" i="2"/>
  <c r="I1103" i="2"/>
  <c r="G1102" i="2"/>
  <c r="I91" i="2"/>
  <c r="G90" i="2"/>
  <c r="G1446" i="2"/>
  <c r="I1447" i="2"/>
  <c r="I786" i="2"/>
  <c r="G785" i="2"/>
  <c r="I4" i="2"/>
  <c r="G3" i="2"/>
  <c r="I727" i="2"/>
  <c r="G726" i="2"/>
  <c r="I106" i="2"/>
  <c r="G105" i="2"/>
  <c r="I190" i="2"/>
  <c r="G189" i="2"/>
  <c r="I1043" i="2"/>
  <c r="G1042" i="2"/>
  <c r="I772" i="2"/>
  <c r="G771" i="2"/>
  <c r="I2076" i="2"/>
  <c r="G2075" i="2"/>
  <c r="I937" i="2"/>
  <c r="G936" i="2"/>
  <c r="I612" i="2"/>
  <c r="G611" i="2"/>
  <c r="I1417" i="2"/>
  <c r="G1416" i="2"/>
  <c r="I352" i="2"/>
  <c r="G351" i="2"/>
  <c r="I1353" i="2"/>
  <c r="G1352" i="2"/>
  <c r="I828" i="2"/>
  <c r="G827" i="2"/>
  <c r="I71" i="2"/>
  <c r="G70" i="2"/>
  <c r="I811" i="2"/>
  <c r="G810" i="2"/>
  <c r="I1630" i="2"/>
  <c r="G1629" i="2"/>
  <c r="I899" i="2"/>
  <c r="G898" i="2"/>
  <c r="G1030" i="2"/>
  <c r="I1031" i="2"/>
  <c r="I453" i="2"/>
  <c r="G452" i="2"/>
  <c r="I386" i="2"/>
  <c r="G385" i="2"/>
  <c r="I205" i="2"/>
  <c r="G204" i="2"/>
  <c r="I1035" i="2"/>
  <c r="G1034" i="2"/>
  <c r="I1193" i="2"/>
  <c r="G1192" i="2"/>
  <c r="I554" i="2"/>
  <c r="G553" i="2"/>
  <c r="I1113" i="2"/>
  <c r="G1112" i="2"/>
  <c r="I207" i="2"/>
  <c r="G206" i="2"/>
  <c r="I1306" i="2"/>
  <c r="G1305" i="2"/>
  <c r="I452" i="2"/>
  <c r="G451" i="2"/>
  <c r="I821" i="2"/>
  <c r="G820" i="2"/>
  <c r="G843" i="2"/>
  <c r="I844" i="2"/>
  <c r="I431" i="2"/>
  <c r="G430" i="2"/>
  <c r="I248" i="2"/>
  <c r="G247" i="2"/>
  <c r="I800" i="2"/>
  <c r="G799" i="2"/>
  <c r="I111" i="2"/>
  <c r="G110" i="2"/>
  <c r="I604" i="2"/>
  <c r="G603" i="2"/>
  <c r="G1002" i="2"/>
  <c r="I1003" i="2"/>
  <c r="I1319" i="2"/>
  <c r="G1318" i="2"/>
  <c r="I1617" i="2"/>
  <c r="G1616" i="2"/>
  <c r="I1536" i="2"/>
  <c r="G1535" i="2"/>
  <c r="I918" i="2"/>
  <c r="G917" i="2"/>
  <c r="I799" i="2"/>
  <c r="G798" i="2"/>
  <c r="I1064" i="2"/>
  <c r="G1063" i="2"/>
  <c r="I886" i="2"/>
  <c r="G885" i="2"/>
  <c r="I476" i="2"/>
  <c r="G475" i="2"/>
  <c r="I538" i="2"/>
  <c r="G537" i="2"/>
  <c r="I311" i="2"/>
  <c r="G310" i="2"/>
  <c r="I53" i="2"/>
  <c r="G52" i="2"/>
  <c r="I731" i="2"/>
  <c r="G730" i="2"/>
  <c r="I784" i="2"/>
  <c r="G783" i="2"/>
  <c r="I170" i="2"/>
  <c r="G169" i="2"/>
  <c r="I978" i="2"/>
  <c r="G977" i="2"/>
  <c r="I296" i="2"/>
  <c r="G295" i="2"/>
  <c r="G667" i="2"/>
  <c r="I668" i="2"/>
  <c r="I763" i="2"/>
  <c r="G762" i="2"/>
  <c r="I473" i="2"/>
  <c r="G472" i="2"/>
  <c r="I863" i="2"/>
  <c r="G862" i="2"/>
  <c r="I599" i="2"/>
  <c r="G598" i="2"/>
  <c r="I60" i="2"/>
  <c r="G59" i="2"/>
  <c r="I881" i="2"/>
  <c r="G880" i="2"/>
  <c r="I491" i="2"/>
  <c r="G490" i="2"/>
  <c r="I454" i="2"/>
  <c r="G453" i="2"/>
  <c r="I105" i="2"/>
  <c r="G104" i="2"/>
  <c r="I13" i="2"/>
  <c r="G12" i="2"/>
  <c r="I586" i="2"/>
  <c r="G585" i="2"/>
  <c r="I751" i="2"/>
  <c r="G750" i="2"/>
  <c r="I434" i="2"/>
  <c r="G433" i="2"/>
  <c r="I347" i="2"/>
  <c r="G346" i="2"/>
  <c r="I632" i="2"/>
  <c r="G631" i="2"/>
  <c r="I878" i="2"/>
  <c r="G877" i="2"/>
  <c r="I193" i="2"/>
  <c r="G192" i="2"/>
  <c r="I1089" i="2"/>
  <c r="G1088" i="2"/>
  <c r="I1162" i="2"/>
  <c r="G1161" i="2"/>
  <c r="G909" i="2"/>
  <c r="I910" i="2"/>
  <c r="I950" i="2"/>
  <c r="G949" i="2"/>
  <c r="I218" i="2"/>
  <c r="G217" i="2"/>
  <c r="I783" i="2"/>
  <c r="G782" i="2"/>
  <c r="G1017" i="2"/>
  <c r="I1018" i="2"/>
  <c r="I5" i="2"/>
  <c r="G4" i="2"/>
  <c r="I370" i="2"/>
  <c r="G369" i="2"/>
  <c r="I1525" i="2"/>
  <c r="G1524" i="2"/>
  <c r="I89" i="2"/>
  <c r="G88" i="2"/>
  <c r="I373" i="2"/>
  <c r="G372" i="2"/>
  <c r="I1238" i="2"/>
  <c r="G1237" i="2"/>
  <c r="I906" i="2"/>
  <c r="G905" i="2"/>
  <c r="I803" i="2"/>
  <c r="G802" i="2"/>
  <c r="G1452" i="2"/>
  <c r="I1453" i="2"/>
  <c r="I1886" i="2"/>
  <c r="G1885" i="2"/>
  <c r="I379" i="2"/>
  <c r="G378" i="2"/>
  <c r="I92" i="2"/>
  <c r="G91" i="2"/>
  <c r="I1947" i="2"/>
  <c r="G1946" i="2"/>
  <c r="I1374" i="2"/>
  <c r="G1373" i="2"/>
  <c r="I2056" i="2"/>
  <c r="G2055" i="2"/>
  <c r="I235" i="2"/>
  <c r="G234" i="2"/>
  <c r="I1030" i="2"/>
  <c r="G1029" i="2"/>
  <c r="I312" i="2"/>
  <c r="G311" i="2"/>
  <c r="I42" i="2"/>
  <c r="G41" i="2"/>
  <c r="I131" i="2"/>
  <c r="G130" i="2"/>
  <c r="I11" i="2"/>
  <c r="G10" i="2"/>
  <c r="I1590" i="2"/>
  <c r="G1589" i="2"/>
  <c r="I327" i="2"/>
  <c r="G326" i="2"/>
  <c r="I283" i="2"/>
  <c r="G282" i="2"/>
  <c r="I1209" i="2"/>
  <c r="G1208" i="2"/>
  <c r="G1345" i="2"/>
  <c r="I1346" i="2"/>
  <c r="I260" i="2"/>
  <c r="G259" i="2"/>
  <c r="I72" i="2"/>
  <c r="G71" i="2"/>
  <c r="I550" i="2"/>
  <c r="G549" i="2"/>
  <c r="I428" i="2"/>
  <c r="G427" i="2"/>
  <c r="G1595" i="2"/>
  <c r="I1596" i="2"/>
  <c r="I43" i="2"/>
  <c r="G42" i="2"/>
  <c r="I568" i="2"/>
  <c r="G567" i="2"/>
  <c r="I376" i="2"/>
  <c r="G375" i="2"/>
  <c r="I440" i="2"/>
  <c r="G439" i="2"/>
  <c r="I420" i="2"/>
  <c r="G419" i="2"/>
  <c r="I146" i="2"/>
  <c r="G145" i="2"/>
  <c r="I873" i="2"/>
  <c r="G872" i="2"/>
  <c r="I157" i="2"/>
  <c r="G156" i="2"/>
  <c r="I1001" i="2"/>
  <c r="G1000" i="2"/>
  <c r="I556" i="2"/>
  <c r="G555" i="2"/>
  <c r="I145" i="2"/>
  <c r="G144" i="2"/>
  <c r="I1283" i="2"/>
  <c r="G1282" i="2"/>
  <c r="I1708" i="2"/>
  <c r="G1707" i="2"/>
  <c r="I55" i="2"/>
  <c r="G54" i="2"/>
  <c r="I50" i="2"/>
  <c r="G49" i="2"/>
  <c r="I966" i="2"/>
  <c r="G965" i="2"/>
  <c r="I427" i="2"/>
  <c r="G426" i="2"/>
  <c r="I955" i="2"/>
  <c r="G954" i="2"/>
  <c r="I62" i="2"/>
  <c r="G61" i="2"/>
  <c r="I492" i="2"/>
  <c r="G491" i="2"/>
  <c r="I435" i="2"/>
  <c r="G434" i="2"/>
  <c r="I992" i="2"/>
  <c r="G991" i="2"/>
  <c r="I595" i="2"/>
  <c r="G594" i="2"/>
  <c r="I1134" i="2"/>
  <c r="G1133" i="2"/>
  <c r="I1016" i="2"/>
  <c r="G1015" i="2"/>
  <c r="I1061" i="2"/>
  <c r="G1060" i="2"/>
  <c r="I691" i="2"/>
  <c r="G690" i="2"/>
  <c r="I304" i="2"/>
  <c r="G303" i="2"/>
  <c r="I876" i="2"/>
  <c r="G875" i="2"/>
  <c r="I1577" i="2"/>
  <c r="G1576" i="2"/>
  <c r="I1127" i="2"/>
  <c r="G1126" i="2"/>
  <c r="I1365" i="2"/>
  <c r="G1364" i="2"/>
  <c r="I1410" i="2"/>
  <c r="G1409" i="2"/>
  <c r="I1456" i="2"/>
  <c r="G1455" i="2"/>
  <c r="I305" i="2"/>
  <c r="G304" i="2"/>
  <c r="I41" i="2"/>
  <c r="G40" i="2"/>
  <c r="I1246" i="2"/>
  <c r="G1245" i="2"/>
  <c r="I149" i="2"/>
  <c r="G148" i="2"/>
  <c r="I580" i="2"/>
  <c r="G579" i="2"/>
  <c r="I269" i="2"/>
  <c r="G268" i="2"/>
  <c r="I817" i="2"/>
  <c r="G816" i="2"/>
  <c r="I1877" i="2"/>
  <c r="G1876" i="2"/>
  <c r="G753" i="2"/>
  <c r="I754" i="2"/>
  <c r="I133" i="2"/>
  <c r="G132" i="2"/>
  <c r="I785" i="2"/>
  <c r="G784" i="2"/>
  <c r="I268" i="2"/>
  <c r="G267" i="2"/>
  <c r="I1239" i="2"/>
  <c r="G1238" i="2"/>
  <c r="I1057" i="2"/>
  <c r="G1056" i="2"/>
  <c r="I1871" i="2"/>
  <c r="G1870" i="2"/>
  <c r="I168" i="2"/>
  <c r="G167" i="2"/>
  <c r="I353" i="2"/>
  <c r="G352" i="2"/>
  <c r="I1074" i="2"/>
  <c r="G1073" i="2"/>
  <c r="I617" i="2"/>
  <c r="G616" i="2"/>
  <c r="G959" i="2"/>
  <c r="I960" i="2"/>
  <c r="I1589" i="2"/>
  <c r="G1588" i="2"/>
  <c r="G632" i="2"/>
  <c r="I633" i="2"/>
  <c r="I719" i="2"/>
  <c r="G718" i="2"/>
  <c r="I861" i="2"/>
  <c r="G860" i="2"/>
  <c r="I1330" i="2"/>
  <c r="G1329" i="2"/>
  <c r="I358" i="2"/>
  <c r="G357" i="2"/>
  <c r="I629" i="2"/>
  <c r="G628" i="2"/>
  <c r="I240" i="2"/>
  <c r="G239" i="2"/>
  <c r="I228" i="2"/>
  <c r="G227" i="2"/>
  <c r="I541" i="2"/>
  <c r="G540" i="2"/>
  <c r="I237" i="2"/>
  <c r="G236" i="2"/>
  <c r="I593" i="2"/>
  <c r="G592" i="2"/>
  <c r="I984" i="2"/>
  <c r="G983" i="2"/>
  <c r="I639" i="2"/>
  <c r="G638" i="2"/>
  <c r="I152" i="2"/>
  <c r="G151" i="2"/>
  <c r="I14" i="2"/>
  <c r="G13" i="2"/>
  <c r="I1005" i="2"/>
  <c r="G1004" i="2"/>
  <c r="I747" i="2"/>
  <c r="G746" i="2"/>
  <c r="I343" i="2"/>
  <c r="G342" i="2"/>
  <c r="I1741" i="2"/>
  <c r="G1740" i="2"/>
  <c r="G379" i="2"/>
  <c r="I380" i="2"/>
  <c r="I1660" i="2"/>
  <c r="G1659" i="2"/>
  <c r="I1601" i="2"/>
  <c r="G1600" i="2"/>
  <c r="I1203" i="2"/>
  <c r="G1202" i="2"/>
  <c r="I136" i="2"/>
  <c r="G135" i="2"/>
  <c r="I967" i="2"/>
  <c r="G966" i="2"/>
  <c r="I180" i="2"/>
  <c r="G179" i="2"/>
  <c r="I852" i="2"/>
  <c r="G851" i="2"/>
  <c r="I402" i="2"/>
  <c r="G401" i="2"/>
  <c r="I954" i="2"/>
  <c r="G953" i="2"/>
  <c r="I890" i="2"/>
  <c r="G889" i="2"/>
  <c r="I346" i="2"/>
  <c r="G345" i="2"/>
  <c r="I446" i="2"/>
  <c r="G445" i="2"/>
  <c r="G541" i="2"/>
  <c r="I542" i="2"/>
  <c r="I1142" i="2"/>
  <c r="G1141" i="2"/>
  <c r="I665" i="2"/>
  <c r="G664" i="2"/>
  <c r="I408" i="2"/>
  <c r="G407" i="2"/>
  <c r="I1034" i="2"/>
  <c r="G1033" i="2"/>
  <c r="I1107" i="2"/>
  <c r="G1106" i="2"/>
  <c r="I1072" i="2"/>
  <c r="G1071" i="2"/>
  <c r="I1130" i="2"/>
  <c r="G1129" i="2"/>
  <c r="I1150" i="2"/>
  <c r="G1149" i="2"/>
  <c r="I959" i="2"/>
  <c r="G958" i="2"/>
  <c r="I739" i="2"/>
  <c r="G738" i="2"/>
  <c r="I332" i="2"/>
  <c r="G331" i="2"/>
  <c r="I656" i="2"/>
  <c r="G655" i="2"/>
  <c r="G1137" i="2"/>
  <c r="I1138" i="2"/>
  <c r="I533" i="2"/>
  <c r="G532" i="2"/>
  <c r="I498" i="2"/>
  <c r="G497" i="2"/>
  <c r="I649" i="2"/>
  <c r="G648" i="2"/>
  <c r="I367" i="2"/>
  <c r="G366" i="2"/>
  <c r="I469" i="2"/>
  <c r="G468" i="2"/>
  <c r="I93" i="2"/>
  <c r="G92" i="2"/>
  <c r="I928" i="2"/>
  <c r="G927" i="2"/>
  <c r="I888" i="2"/>
  <c r="G887" i="2"/>
  <c r="I25" i="2"/>
  <c r="G24" i="2"/>
  <c r="I459" i="2"/>
  <c r="G458" i="2"/>
  <c r="I159" i="2"/>
  <c r="G158" i="2"/>
  <c r="I63" i="2"/>
  <c r="G62" i="2"/>
  <c r="I1084" i="2"/>
  <c r="G1083" i="2"/>
  <c r="I101" i="2"/>
  <c r="G100" i="2"/>
  <c r="I410" i="2"/>
  <c r="G409" i="2"/>
  <c r="I949" i="2"/>
  <c r="G948" i="2"/>
  <c r="I932" i="2"/>
  <c r="G931" i="2"/>
  <c r="I724" i="2"/>
  <c r="G723" i="2"/>
  <c r="I184" i="2"/>
  <c r="G183" i="2"/>
  <c r="I393" i="2"/>
  <c r="G392" i="2"/>
  <c r="I404" i="2"/>
  <c r="G403" i="2"/>
  <c r="I138" i="2"/>
  <c r="G137" i="2"/>
  <c r="I1561" i="2"/>
  <c r="G1560" i="2"/>
  <c r="I1327" i="2"/>
  <c r="G1326" i="2"/>
  <c r="I526" i="2"/>
  <c r="G525" i="2"/>
  <c r="I1312" i="2"/>
  <c r="G1311" i="2"/>
  <c r="I1156" i="2"/>
  <c r="G1155" i="2"/>
  <c r="I1310" i="2"/>
  <c r="G1309" i="2"/>
  <c r="I598" i="2"/>
  <c r="G597" i="2"/>
  <c r="I666" i="2"/>
  <c r="G665" i="2"/>
  <c r="I1496" i="2"/>
  <c r="G1495" i="2"/>
  <c r="I1322" i="2"/>
  <c r="G1321" i="2"/>
  <c r="I98" i="2"/>
  <c r="G97" i="2"/>
  <c r="I505" i="2"/>
  <c r="G504" i="2"/>
  <c r="I480" i="2"/>
  <c r="G479" i="2"/>
  <c r="I652" i="2"/>
  <c r="G651" i="2"/>
  <c r="I314" i="2"/>
  <c r="G313" i="2"/>
  <c r="I796" i="2"/>
  <c r="G795" i="2"/>
  <c r="I129" i="2"/>
  <c r="G128" i="2"/>
  <c r="I65" i="2"/>
  <c r="G64" i="2"/>
  <c r="I504" i="2"/>
  <c r="G503" i="2"/>
  <c r="I514" i="2"/>
  <c r="G513" i="2"/>
  <c r="I29" i="2"/>
  <c r="G28" i="2"/>
  <c r="I603" i="2"/>
  <c r="G602" i="2"/>
  <c r="I1313" i="2"/>
  <c r="G1312" i="2"/>
  <c r="I1044" i="2"/>
  <c r="G1043" i="2"/>
  <c r="I965" i="2"/>
  <c r="G964" i="2"/>
  <c r="G412" i="2"/>
  <c r="I413" i="2"/>
  <c r="I810" i="2"/>
  <c r="G809" i="2"/>
  <c r="I328" i="2"/>
  <c r="G327" i="2"/>
  <c r="I326" i="2"/>
  <c r="G325" i="2"/>
  <c r="I438" i="2"/>
  <c r="G437" i="2"/>
  <c r="I643" i="2"/>
  <c r="G642" i="2"/>
  <c r="I323" i="2"/>
  <c r="G322" i="2"/>
  <c r="I670" i="2"/>
  <c r="G669" i="2"/>
  <c r="I147" i="2"/>
  <c r="G146" i="2"/>
  <c r="I85" i="2"/>
  <c r="G84" i="2"/>
  <c r="I1515" i="2"/>
  <c r="G1514" i="2"/>
  <c r="I908" i="2"/>
  <c r="G907" i="2"/>
  <c r="I1514" i="2"/>
  <c r="G1513" i="2"/>
  <c r="I853" i="2"/>
  <c r="G852" i="2"/>
  <c r="G515" i="2"/>
  <c r="I516" i="2"/>
  <c r="I940" i="2"/>
  <c r="G939" i="2"/>
  <c r="I1702" i="2"/>
  <c r="G1701" i="2"/>
  <c r="I301" i="2"/>
  <c r="G300" i="2"/>
  <c r="I957" i="2"/>
  <c r="G956" i="2"/>
  <c r="I348" i="2"/>
  <c r="G347" i="2"/>
  <c r="I126" i="2"/>
  <c r="G125" i="2"/>
  <c r="I1083" i="2"/>
  <c r="G1082" i="2"/>
  <c r="I917" i="2"/>
  <c r="G916" i="2"/>
  <c r="I302" i="2"/>
  <c r="G301" i="2"/>
  <c r="I743" i="2"/>
  <c r="G742" i="2"/>
  <c r="I282" i="2"/>
  <c r="G281" i="2"/>
  <c r="I1749" i="2"/>
  <c r="G1748" i="2"/>
  <c r="I842" i="2"/>
  <c r="G841" i="2"/>
  <c r="I1013" i="2"/>
  <c r="G1012" i="2"/>
  <c r="I1434" i="2"/>
  <c r="G1433" i="2"/>
  <c r="I1250" i="2"/>
  <c r="G1249" i="2"/>
  <c r="I210" i="2"/>
  <c r="G209" i="2"/>
  <c r="I1678" i="2"/>
  <c r="G1677" i="2"/>
  <c r="I618" i="2"/>
  <c r="G617" i="2"/>
  <c r="I581" i="2"/>
  <c r="G580" i="2"/>
  <c r="I1815" i="2"/>
  <c r="G1814" i="2"/>
  <c r="I487" i="2"/>
  <c r="G486" i="2"/>
  <c r="I69" i="2"/>
  <c r="G68" i="2"/>
  <c r="I755" i="2"/>
  <c r="G754" i="2"/>
  <c r="I1092" i="2"/>
  <c r="G1091" i="2"/>
  <c r="I335" i="2"/>
  <c r="G334" i="2"/>
  <c r="I1227" i="2"/>
  <c r="G1226" i="2"/>
  <c r="I945" i="2"/>
  <c r="G944" i="2"/>
  <c r="I1159" i="2"/>
  <c r="G1158" i="2"/>
  <c r="I360" i="2"/>
  <c r="G359" i="2"/>
  <c r="I1631" i="2"/>
  <c r="G1630" i="2"/>
  <c r="I678" i="2"/>
  <c r="G677" i="2"/>
  <c r="I217" i="2"/>
  <c r="G216" i="2"/>
  <c r="I988" i="2"/>
  <c r="G987" i="2"/>
  <c r="I300" i="2"/>
  <c r="G299" i="2"/>
  <c r="I903" i="2"/>
  <c r="G902" i="2"/>
  <c r="I1257" i="2"/>
  <c r="G1256" i="2"/>
  <c r="I1638" i="2"/>
  <c r="G1637" i="2"/>
  <c r="G1233" i="2"/>
  <c r="I1234" i="2"/>
  <c r="I1468" i="2"/>
  <c r="G1467" i="2"/>
  <c r="I657" i="2"/>
  <c r="G656" i="2"/>
  <c r="I211" i="2"/>
  <c r="G210" i="2"/>
  <c r="I1368" i="2"/>
  <c r="G1367" i="2"/>
  <c r="I182" i="2"/>
  <c r="G181" i="2"/>
  <c r="I687" i="2"/>
  <c r="G686" i="2"/>
  <c r="I375" i="2"/>
  <c r="G374" i="2"/>
  <c r="I231" i="2"/>
  <c r="G230" i="2"/>
  <c r="I674" i="2"/>
  <c r="G673" i="2"/>
  <c r="I242" i="2"/>
  <c r="G241" i="2"/>
  <c r="I127" i="2"/>
  <c r="G126" i="2"/>
  <c r="I418" i="2"/>
  <c r="G417" i="2"/>
  <c r="I1009" i="2"/>
  <c r="G1008" i="2"/>
  <c r="I1125" i="2"/>
  <c r="G1124" i="2"/>
  <c r="G896" i="2"/>
  <c r="I897" i="2"/>
  <c r="G938" i="2"/>
  <c r="I939" i="2"/>
  <c r="I534" i="2"/>
  <c r="G533" i="2"/>
  <c r="G897" i="2"/>
  <c r="I898" i="2"/>
  <c r="I637" i="2"/>
  <c r="G636" i="2"/>
  <c r="I82" i="2"/>
  <c r="G81" i="2"/>
  <c r="I1183" i="2"/>
  <c r="G1182" i="2"/>
  <c r="I981" i="2"/>
  <c r="G980" i="2"/>
  <c r="I1291" i="2"/>
  <c r="G1290" i="2"/>
  <c r="I291" i="2"/>
  <c r="G290" i="2"/>
  <c r="G1361" i="2"/>
  <c r="I1362" i="2"/>
  <c r="G225" i="2"/>
  <c r="I226" i="2"/>
  <c r="I1258" i="2"/>
  <c r="G1257" i="2"/>
  <c r="I973" i="2"/>
  <c r="G972" i="2"/>
  <c r="I1357" i="2"/>
  <c r="G1356" i="2"/>
  <c r="I900" i="2"/>
  <c r="G899" i="2"/>
  <c r="I364" i="2"/>
  <c r="G363" i="2"/>
  <c r="I1885" i="2"/>
  <c r="G1884" i="2"/>
  <c r="I56" i="2"/>
  <c r="G55" i="2"/>
  <c r="I426" i="2"/>
  <c r="G425" i="2"/>
  <c r="I336" i="2"/>
  <c r="G335" i="2"/>
  <c r="I654" i="2"/>
  <c r="G653" i="2"/>
  <c r="I1145" i="2"/>
  <c r="G1144" i="2"/>
  <c r="I197" i="2"/>
  <c r="G196" i="2"/>
  <c r="I238" i="2"/>
  <c r="G237" i="2"/>
  <c r="I1004" i="2"/>
  <c r="G1003" i="2"/>
  <c r="I411" i="2"/>
  <c r="G410" i="2"/>
  <c r="I399" i="2"/>
  <c r="G398" i="2"/>
  <c r="I1597" i="2"/>
  <c r="G1596" i="2"/>
  <c r="I871" i="2"/>
  <c r="G870" i="2"/>
  <c r="I1214" i="2"/>
  <c r="G1213" i="2"/>
  <c r="I1199" i="2"/>
  <c r="G1198" i="2"/>
  <c r="I964" i="2"/>
  <c r="G963" i="2"/>
  <c r="I1216" i="2"/>
  <c r="G1215" i="2"/>
  <c r="I512" i="2"/>
  <c r="G511" i="2"/>
  <c r="I1868" i="2"/>
  <c r="G1867" i="2"/>
  <c r="I759" i="2"/>
  <c r="G758" i="2"/>
  <c r="I521" i="2"/>
  <c r="G520" i="2"/>
  <c r="I1303" i="2"/>
  <c r="G1302" i="2"/>
  <c r="I1011" i="2"/>
  <c r="G1010" i="2"/>
  <c r="I1316" i="2"/>
  <c r="G1315" i="2"/>
  <c r="I20" i="2"/>
  <c r="G19" i="2"/>
  <c r="I1416" i="2"/>
  <c r="G1415" i="2"/>
  <c r="I432" i="2"/>
  <c r="G431" i="2"/>
  <c r="I252" i="2"/>
  <c r="G251" i="2"/>
  <c r="I646" i="2"/>
  <c r="G645" i="2"/>
  <c r="I882" i="2"/>
  <c r="G881" i="2"/>
  <c r="I528" i="2"/>
  <c r="G527" i="2"/>
  <c r="I1625" i="2"/>
  <c r="G1624" i="2"/>
  <c r="I1371" i="2"/>
  <c r="G1370" i="2"/>
  <c r="I1077" i="2"/>
  <c r="G1076" i="2"/>
  <c r="I561" i="2"/>
  <c r="G560" i="2"/>
  <c r="I956" i="2"/>
  <c r="G955" i="2"/>
  <c r="I1985" i="2"/>
  <c r="G1984" i="2"/>
  <c r="I860" i="2"/>
  <c r="G859" i="2"/>
  <c r="I535" i="2"/>
  <c r="G534" i="2"/>
  <c r="G893" i="2"/>
  <c r="I894" i="2"/>
  <c r="I1180" i="2"/>
  <c r="G1179" i="2"/>
  <c r="I757" i="2"/>
  <c r="G756" i="2"/>
  <c r="G123" i="2"/>
  <c r="I124" i="2"/>
  <c r="G340" i="2"/>
  <c r="I341" i="2"/>
  <c r="I1767" i="2"/>
  <c r="G1766" i="2"/>
  <c r="I1171" i="2"/>
  <c r="G1170" i="2"/>
  <c r="I579" i="2"/>
  <c r="G578" i="2"/>
  <c r="I1184" i="2"/>
  <c r="G1183" i="2"/>
  <c r="G901" i="2"/>
  <c r="I902" i="2"/>
  <c r="I1173" i="2"/>
  <c r="G1172" i="2"/>
  <c r="G1981" i="2"/>
  <c r="I1982" i="2"/>
  <c r="I1505" i="2"/>
  <c r="G1504" i="2"/>
  <c r="I1300" i="2"/>
  <c r="G1299" i="2"/>
  <c r="I1328" i="2"/>
  <c r="G1327" i="2"/>
  <c r="I830" i="2"/>
  <c r="G829" i="2"/>
  <c r="I1446" i="2"/>
  <c r="G1445" i="2"/>
  <c r="I1294" i="2"/>
  <c r="G1293" i="2"/>
  <c r="I1493" i="2"/>
  <c r="G1492" i="2"/>
  <c r="I1218" i="2"/>
  <c r="G1217" i="2"/>
  <c r="I267" i="2"/>
  <c r="G266" i="2"/>
  <c r="I1276" i="2"/>
  <c r="G1275" i="2"/>
  <c r="G1296" i="2"/>
  <c r="I1297" i="2"/>
  <c r="I1471" i="2"/>
  <c r="G1470" i="2"/>
  <c r="I1558" i="2"/>
  <c r="G1557" i="2"/>
  <c r="I1237" i="2"/>
  <c r="G1236" i="2"/>
  <c r="I57" i="2"/>
  <c r="G56" i="2"/>
  <c r="I403" i="2"/>
  <c r="G402" i="2"/>
  <c r="I621" i="2"/>
  <c r="G620" i="2"/>
  <c r="I1051" i="2"/>
  <c r="G1050" i="2"/>
  <c r="I523" i="2"/>
  <c r="G522" i="2"/>
  <c r="I616" i="2"/>
  <c r="G615" i="2"/>
  <c r="I1450" i="2"/>
  <c r="G1449" i="2"/>
  <c r="I808" i="2"/>
  <c r="G807" i="2"/>
  <c r="I635" i="2"/>
  <c r="G634" i="2"/>
  <c r="I1170" i="2"/>
  <c r="G1169" i="2"/>
  <c r="I1124" i="2"/>
  <c r="G1123" i="2"/>
  <c r="I864" i="2"/>
  <c r="G863" i="2"/>
  <c r="I930" i="2"/>
  <c r="G929" i="2"/>
  <c r="I913" i="2"/>
  <c r="G912" i="2"/>
  <c r="I1045" i="2"/>
  <c r="G1044" i="2"/>
  <c r="I2214" i="2"/>
  <c r="G2213" i="2"/>
  <c r="I1117" i="2"/>
  <c r="G1116" i="2"/>
  <c r="I451" i="2"/>
  <c r="G450" i="2"/>
  <c r="G1240" i="2"/>
  <c r="I1241" i="2"/>
  <c r="I1222" i="2"/>
  <c r="G1221" i="2"/>
  <c r="I172" i="2"/>
  <c r="G171" i="2"/>
  <c r="I537" i="2"/>
  <c r="G536" i="2"/>
  <c r="I470" i="2"/>
  <c r="G469" i="2"/>
  <c r="I826" i="2"/>
  <c r="G825" i="2"/>
  <c r="I797" i="2"/>
  <c r="G796" i="2"/>
  <c r="I1565" i="2"/>
  <c r="G1564" i="2"/>
  <c r="I782" i="2"/>
  <c r="G781" i="2"/>
  <c r="I1344" i="2"/>
  <c r="G1343" i="2"/>
  <c r="G1070" i="2"/>
  <c r="I1071" i="2"/>
  <c r="G1454" i="2"/>
  <c r="I1455" i="2"/>
  <c r="I1699" i="2"/>
  <c r="G1698" i="2"/>
  <c r="I563" i="2"/>
  <c r="G562" i="2"/>
  <c r="I259" i="2"/>
  <c r="G258" i="2"/>
  <c r="I494" i="2"/>
  <c r="G493" i="2"/>
  <c r="I553" i="2"/>
  <c r="G552" i="2"/>
  <c r="I883" i="2"/>
  <c r="G882" i="2"/>
  <c r="G1755" i="2"/>
  <c r="I1756" i="2"/>
  <c r="I1915" i="2"/>
  <c r="G1914" i="2"/>
  <c r="I246" i="2"/>
  <c r="G245" i="2"/>
  <c r="I363" i="2"/>
  <c r="G362" i="2"/>
  <c r="I356" i="2"/>
  <c r="G355" i="2"/>
  <c r="I922" i="2"/>
  <c r="G921" i="2"/>
  <c r="I745" i="2"/>
  <c r="G744" i="2"/>
  <c r="I1426" i="2"/>
  <c r="G1425" i="2"/>
  <c r="I21" i="2"/>
  <c r="G20" i="2"/>
  <c r="I1798" i="2"/>
  <c r="G1797" i="2"/>
  <c r="I1017" i="2"/>
  <c r="G1016" i="2"/>
  <c r="I690" i="2"/>
  <c r="G689" i="2"/>
  <c r="I2020" i="2"/>
  <c r="G2019" i="2"/>
  <c r="I767" i="2"/>
  <c r="G766" i="2"/>
  <c r="I1054" i="2"/>
  <c r="G1053" i="2"/>
  <c r="I1186" i="2"/>
  <c r="G1185" i="2"/>
  <c r="I777" i="2"/>
  <c r="G776" i="2"/>
  <c r="G551" i="2"/>
  <c r="I552" i="2"/>
  <c r="I884" i="2"/>
  <c r="G883" i="2"/>
  <c r="I361" i="2"/>
  <c r="G360" i="2"/>
  <c r="I658" i="2"/>
  <c r="G657" i="2"/>
  <c r="I1400" i="2"/>
  <c r="G1399" i="2"/>
  <c r="G878" i="2"/>
  <c r="I879" i="2"/>
  <c r="I381" i="2"/>
  <c r="G380" i="2"/>
  <c r="I1308" i="2"/>
  <c r="G1307" i="2"/>
  <c r="G1604" i="2"/>
  <c r="I1605" i="2"/>
  <c r="I1062" i="2"/>
  <c r="G1061" i="2"/>
  <c r="I2039" i="2"/>
  <c r="G2038" i="2"/>
  <c r="I1795" i="2"/>
  <c r="G1794" i="2"/>
  <c r="I95" i="2"/>
  <c r="G94" i="2"/>
  <c r="I1513" i="2"/>
  <c r="G1512" i="2"/>
  <c r="I996" i="2"/>
  <c r="G995" i="2"/>
  <c r="I1875" i="2"/>
  <c r="G1874" i="2"/>
  <c r="I685" i="2"/>
  <c r="G684" i="2"/>
  <c r="G1531" i="2"/>
  <c r="I1532" i="2"/>
  <c r="G1134" i="2"/>
  <c r="I1135" i="2"/>
  <c r="I1469" i="2"/>
  <c r="G1468" i="2"/>
  <c r="I1790" i="2"/>
  <c r="G1789" i="2"/>
  <c r="I1066" i="2"/>
  <c r="G1065" i="2"/>
  <c r="I560" i="2"/>
  <c r="G559" i="2"/>
  <c r="I324" i="2"/>
  <c r="G323" i="2"/>
  <c r="I557" i="2"/>
  <c r="G556" i="2"/>
  <c r="I1459" i="2"/>
  <c r="G1458" i="2"/>
  <c r="I938" i="2"/>
  <c r="G937" i="2"/>
  <c r="I877" i="2"/>
  <c r="G876" i="2"/>
  <c r="I1296" i="2"/>
  <c r="G1295" i="2"/>
  <c r="I611" i="2"/>
  <c r="G610" i="2"/>
  <c r="I303" i="2"/>
  <c r="G302" i="2"/>
  <c r="I543" i="2"/>
  <c r="G542" i="2"/>
  <c r="I462" i="2"/>
  <c r="G461" i="2"/>
  <c r="I236" i="2"/>
  <c r="G235" i="2"/>
  <c r="I566" i="2"/>
  <c r="G565" i="2"/>
  <c r="I850" i="2"/>
  <c r="G849" i="2"/>
  <c r="I162" i="2"/>
  <c r="G161" i="2"/>
  <c r="I325" i="2"/>
  <c r="G324" i="2"/>
  <c r="I942" i="2"/>
  <c r="G941" i="2"/>
  <c r="I286" i="2"/>
  <c r="G285" i="2"/>
  <c r="G1125" i="2"/>
  <c r="I1126" i="2"/>
  <c r="I684" i="2"/>
  <c r="G683" i="2"/>
  <c r="I781" i="2"/>
  <c r="G780" i="2"/>
  <c r="I1518" i="2"/>
  <c r="G1517" i="2"/>
  <c r="G1407" i="2"/>
  <c r="I1408" i="2"/>
  <c r="I1375" i="2"/>
  <c r="G1374" i="2"/>
  <c r="G1216" i="2"/>
  <c r="I1217" i="2"/>
  <c r="I771" i="2"/>
  <c r="G770" i="2"/>
  <c r="I338" i="2"/>
  <c r="G337" i="2"/>
  <c r="G871" i="2"/>
  <c r="I872" i="2"/>
  <c r="I1000" i="2"/>
  <c r="G999" i="2"/>
  <c r="G502" i="2"/>
  <c r="I503" i="2"/>
  <c r="I2049" i="2"/>
  <c r="G2048" i="2"/>
  <c r="I567" i="2"/>
  <c r="G566" i="2"/>
  <c r="I2077" i="2"/>
  <c r="G2076" i="2"/>
  <c r="I1686" i="2"/>
  <c r="G1685" i="2"/>
  <c r="I630" i="2"/>
  <c r="G629" i="2"/>
  <c r="I1858" i="2"/>
  <c r="G1857" i="2"/>
  <c r="I2221" i="2"/>
  <c r="G2220" i="2"/>
  <c r="I1836" i="2"/>
  <c r="G1835" i="2"/>
  <c r="I1323" i="2"/>
  <c r="G1322" i="2"/>
  <c r="G1578" i="2"/>
  <c r="I1579" i="2"/>
  <c r="I1613" i="2"/>
  <c r="G1612" i="2"/>
  <c r="I1615" i="2"/>
  <c r="G1614" i="2"/>
  <c r="I1710" i="2"/>
  <c r="G1709" i="2"/>
  <c r="I1329" i="2"/>
  <c r="G1328" i="2"/>
  <c r="G1181" i="2"/>
  <c r="I1182" i="2"/>
  <c r="I219" i="2"/>
  <c r="G218" i="2"/>
  <c r="I1027" i="2"/>
  <c r="G1026" i="2"/>
  <c r="I2497" i="2"/>
  <c r="G2496" i="2"/>
  <c r="I362" i="2"/>
  <c r="G361" i="2"/>
  <c r="I1290" i="2"/>
  <c r="G1289" i="2"/>
  <c r="I962" i="2"/>
  <c r="G961" i="2"/>
  <c r="I1076" i="2"/>
  <c r="G1075" i="2"/>
  <c r="I1039" i="2"/>
  <c r="G1038" i="2"/>
  <c r="I895" i="2"/>
  <c r="G894" i="2"/>
  <c r="I297" i="2"/>
  <c r="G296" i="2"/>
  <c r="I741" i="2"/>
  <c r="G740" i="2"/>
  <c r="I609" i="2"/>
  <c r="G608" i="2"/>
  <c r="I838" i="2"/>
  <c r="G837" i="2"/>
  <c r="I1131" i="2"/>
  <c r="G1130" i="2"/>
  <c r="I350" i="2"/>
  <c r="G349" i="2"/>
  <c r="I254" i="2"/>
  <c r="G253" i="2"/>
  <c r="I712" i="2"/>
  <c r="G711" i="2"/>
  <c r="I174" i="2"/>
  <c r="G173" i="2"/>
  <c r="I186" i="2"/>
  <c r="G185" i="2"/>
  <c r="I1398" i="2"/>
  <c r="G1397" i="2"/>
  <c r="I1163" i="2"/>
  <c r="G1162" i="2"/>
  <c r="G1489" i="2"/>
  <c r="I1490" i="2"/>
  <c r="G1518" i="2"/>
  <c r="I1519" i="2"/>
  <c r="I530" i="2"/>
  <c r="G529" i="2"/>
  <c r="I1128" i="2"/>
  <c r="G1127" i="2"/>
  <c r="G170" i="2"/>
  <c r="I171" i="2"/>
  <c r="I355" i="2"/>
  <c r="G354" i="2"/>
  <c r="I768" i="2"/>
  <c r="G767" i="2"/>
  <c r="I608" i="2"/>
  <c r="G607" i="2"/>
  <c r="G1540" i="2"/>
  <c r="I1541" i="2"/>
  <c r="I79" i="2"/>
  <c r="G78" i="2"/>
  <c r="I681" i="2"/>
  <c r="G680" i="2"/>
  <c r="I689" i="2"/>
  <c r="G688" i="2"/>
  <c r="I2030" i="2"/>
  <c r="G2029" i="2"/>
  <c r="I195" i="2"/>
  <c r="G194" i="2"/>
  <c r="G1391" i="2"/>
  <c r="I1392" i="2"/>
  <c r="G731" i="2"/>
  <c r="I732" i="2"/>
  <c r="I2014" i="2"/>
  <c r="G2013" i="2"/>
  <c r="I1763" i="2"/>
  <c r="G1762" i="2"/>
  <c r="I306" i="2"/>
  <c r="G305" i="2"/>
  <c r="I99" i="2"/>
  <c r="G98" i="2"/>
  <c r="I493" i="2"/>
  <c r="G492" i="2"/>
  <c r="I1065" i="2"/>
  <c r="G1064" i="2"/>
  <c r="I337" i="2"/>
  <c r="G336" i="2"/>
  <c r="I749" i="2"/>
  <c r="G748" i="2"/>
  <c r="I794" i="2"/>
  <c r="G793" i="2"/>
  <c r="I1719" i="2"/>
  <c r="G1718" i="2"/>
  <c r="I1584" i="2"/>
  <c r="G1583" i="2"/>
  <c r="I574" i="2"/>
  <c r="G573" i="2"/>
  <c r="I1220" i="2"/>
  <c r="G1219" i="2"/>
  <c r="I715" i="2"/>
  <c r="G714" i="2"/>
  <c r="I742" i="2"/>
  <c r="G741" i="2"/>
  <c r="I507" i="2"/>
  <c r="G506" i="2"/>
  <c r="I104" i="2"/>
  <c r="G103" i="2"/>
  <c r="I819" i="2"/>
  <c r="G818" i="2"/>
  <c r="I1409" i="2"/>
  <c r="G1408" i="2"/>
  <c r="I1037" i="2"/>
  <c r="G1036" i="2"/>
  <c r="I824" i="2"/>
  <c r="G823" i="2"/>
  <c r="I22" i="2"/>
  <c r="G21" i="2"/>
  <c r="I247" i="2"/>
  <c r="G246" i="2"/>
  <c r="I969" i="2"/>
  <c r="G968" i="2"/>
  <c r="I488" i="2"/>
  <c r="G487" i="2"/>
  <c r="I275" i="2"/>
  <c r="G274" i="2"/>
  <c r="I118" i="2"/>
  <c r="G117" i="2"/>
  <c r="I880" i="2"/>
  <c r="G879" i="2"/>
  <c r="I780" i="2"/>
  <c r="G779" i="2"/>
  <c r="I664" i="2"/>
  <c r="G663" i="2"/>
  <c r="I181" i="2"/>
  <c r="G180" i="2"/>
  <c r="I1414" i="2"/>
  <c r="G1413" i="2"/>
  <c r="G1396" i="2"/>
  <c r="I1397" i="2"/>
  <c r="I1478" i="2"/>
  <c r="G1477" i="2"/>
  <c r="I387" i="2"/>
  <c r="G386" i="2"/>
  <c r="I1100" i="2"/>
  <c r="G1099" i="2"/>
  <c r="I1059" i="2"/>
  <c r="G1058" i="2"/>
  <c r="I730" i="2"/>
  <c r="G729" i="2"/>
  <c r="I659" i="2"/>
  <c r="G658" i="2"/>
  <c r="I486" i="2"/>
  <c r="G485" i="2"/>
  <c r="I1814" i="2"/>
  <c r="G1813" i="2"/>
  <c r="I1627" i="2"/>
  <c r="G1626" i="2"/>
  <c r="G942" i="2"/>
  <c r="I943" i="2"/>
  <c r="I1549" i="2"/>
  <c r="G1548" i="2"/>
  <c r="I1007" i="2"/>
  <c r="G1006" i="2"/>
  <c r="I1196" i="2"/>
  <c r="G1195" i="2"/>
  <c r="I1438" i="2"/>
  <c r="G1437" i="2"/>
  <c r="I1252" i="2"/>
  <c r="G1251" i="2"/>
  <c r="G1778" i="2"/>
  <c r="I1779" i="2"/>
  <c r="I1546" i="2"/>
  <c r="G1545" i="2"/>
  <c r="I1680" i="2"/>
  <c r="G1679" i="2"/>
  <c r="I859" i="2"/>
  <c r="G858" i="2"/>
  <c r="I1036" i="2"/>
  <c r="G1035" i="2"/>
  <c r="I158" i="2"/>
  <c r="G157" i="2"/>
  <c r="I396" i="2"/>
  <c r="G395" i="2"/>
  <c r="I1736" i="2"/>
  <c r="G1735" i="2"/>
  <c r="I8" i="2"/>
  <c r="G7" i="2"/>
  <c r="I848" i="2"/>
  <c r="G847" i="2"/>
  <c r="I1340" i="2"/>
  <c r="G1339" i="2"/>
  <c r="I1042" i="2"/>
  <c r="G1041" i="2"/>
  <c r="I701" i="2"/>
  <c r="G700" i="2"/>
  <c r="I215" i="2"/>
  <c r="G214" i="2"/>
  <c r="I849" i="2"/>
  <c r="G848" i="2"/>
  <c r="I506" i="2"/>
  <c r="G505" i="2"/>
  <c r="I474" i="2"/>
  <c r="G473" i="2"/>
  <c r="I520" i="2"/>
  <c r="G519" i="2"/>
  <c r="I572" i="2"/>
  <c r="G571" i="2"/>
  <c r="I1166" i="2"/>
  <c r="G1165" i="2"/>
  <c r="I919" i="2"/>
  <c r="G918" i="2"/>
  <c r="I1177" i="2"/>
  <c r="G1176" i="2"/>
  <c r="G1509" i="2"/>
  <c r="I1510" i="2"/>
  <c r="I529" i="2"/>
  <c r="G528" i="2"/>
  <c r="I1405" i="2"/>
  <c r="G1404" i="2"/>
  <c r="I1095" i="2"/>
  <c r="G1094" i="2"/>
  <c r="I1952" i="2"/>
  <c r="G1951" i="2"/>
  <c r="I1928" i="2"/>
  <c r="G1927" i="2"/>
  <c r="I1566" i="2"/>
  <c r="G1565" i="2"/>
  <c r="I1060" i="2"/>
  <c r="G1059" i="2"/>
  <c r="I1233" i="2"/>
  <c r="G1232" i="2"/>
  <c r="I1604" i="2"/>
  <c r="G1603" i="2"/>
  <c r="I607" i="2"/>
  <c r="G606" i="2"/>
  <c r="G413" i="2"/>
  <c r="I414" i="2"/>
  <c r="I812" i="2"/>
  <c r="G811" i="2"/>
  <c r="I163" i="2"/>
  <c r="G162" i="2"/>
  <c r="I820" i="2"/>
  <c r="G819" i="2"/>
  <c r="I1893" i="2"/>
  <c r="G1892" i="2"/>
  <c r="I667" i="2"/>
  <c r="G666" i="2"/>
  <c r="I1225" i="2"/>
  <c r="G1224" i="2"/>
  <c r="G805" i="2"/>
  <c r="I806" i="2"/>
  <c r="I1279" i="2"/>
  <c r="G1278" i="2"/>
  <c r="I846" i="2"/>
  <c r="G845" i="2"/>
  <c r="I1838" i="2"/>
  <c r="G1837" i="2"/>
  <c r="G1539" i="2"/>
  <c r="I1540" i="2"/>
  <c r="I1348" i="2"/>
  <c r="G1347" i="2"/>
  <c r="I1165" i="2"/>
  <c r="G1164" i="2"/>
  <c r="I1550" i="2"/>
  <c r="G1549" i="2"/>
  <c r="I1338" i="2"/>
  <c r="G1337" i="2"/>
  <c r="I1020" i="2"/>
  <c r="G1019" i="2"/>
  <c r="G952" i="2"/>
  <c r="I953" i="2"/>
  <c r="I1484" i="2"/>
  <c r="G1483" i="2"/>
  <c r="I1235" i="2"/>
  <c r="G1234" i="2"/>
  <c r="I433" i="2"/>
  <c r="G432" i="2"/>
  <c r="I718" i="2"/>
  <c r="G717" i="2"/>
  <c r="I1301" i="2"/>
  <c r="G1300" i="2"/>
  <c r="G1386" i="2"/>
  <c r="I1387" i="2"/>
  <c r="I1637" i="2"/>
  <c r="G1636" i="2"/>
  <c r="I2205" i="2"/>
  <c r="G2204" i="2"/>
  <c r="I263" i="2"/>
  <c r="G262" i="2"/>
  <c r="I696" i="2"/>
  <c r="G695" i="2"/>
  <c r="G812" i="2"/>
  <c r="I813" i="2"/>
  <c r="I1352" i="2"/>
  <c r="G1351" i="2"/>
  <c r="I389" i="2"/>
  <c r="G388" i="2"/>
  <c r="I2199" i="2"/>
  <c r="G2198" i="2"/>
  <c r="G1077" i="2"/>
  <c r="I1078" i="2"/>
  <c r="I653" i="2"/>
  <c r="G652" i="2"/>
  <c r="I1207" i="2"/>
  <c r="G1206" i="2"/>
  <c r="G755" i="2"/>
  <c r="I756" i="2"/>
  <c r="I1724" i="2"/>
  <c r="G1723" i="2"/>
  <c r="I372" i="2"/>
  <c r="G371" i="2"/>
  <c r="I1144" i="2"/>
  <c r="G1143" i="2"/>
  <c r="I1267" i="2"/>
  <c r="G1266" i="2"/>
  <c r="I1284" i="2"/>
  <c r="G1283" i="2"/>
  <c r="I1757" i="2"/>
  <c r="G1756" i="2"/>
  <c r="I614" i="2"/>
  <c r="G613" i="2"/>
  <c r="I829" i="2"/>
  <c r="G828" i="2"/>
  <c r="I1411" i="2"/>
  <c r="G1410" i="2"/>
  <c r="I979" i="2"/>
  <c r="G978" i="2"/>
  <c r="I648" i="2"/>
  <c r="G647" i="2"/>
  <c r="I1008" i="2"/>
  <c r="G1007" i="2"/>
  <c r="I765" i="2"/>
  <c r="G764" i="2"/>
  <c r="I1384" i="2"/>
  <c r="G1383" i="2"/>
  <c r="I1041" i="2"/>
  <c r="G1040" i="2"/>
  <c r="I125" i="2"/>
  <c r="G124" i="2"/>
  <c r="I1260" i="2"/>
  <c r="G1259" i="2"/>
  <c r="I1698" i="2"/>
  <c r="G1697" i="2"/>
  <c r="I1994" i="2"/>
  <c r="G1993" i="2"/>
  <c r="I251" i="2"/>
  <c r="G250" i="2"/>
  <c r="I1626" i="2"/>
  <c r="G1625" i="2"/>
  <c r="I1073" i="2"/>
  <c r="G1072" i="2"/>
  <c r="I801" i="2"/>
  <c r="G800" i="2"/>
  <c r="I1110" i="2"/>
  <c r="G1109" i="2"/>
  <c r="G1836" i="2"/>
  <c r="I1837" i="2"/>
  <c r="I588" i="2"/>
  <c r="G587" i="2"/>
  <c r="I1978" i="2"/>
  <c r="G1977" i="2"/>
  <c r="I1335" i="2"/>
  <c r="G1334" i="2"/>
  <c r="I1140" i="2"/>
  <c r="G1139" i="2"/>
  <c r="I47" i="2"/>
  <c r="G46" i="2"/>
  <c r="I867" i="2"/>
  <c r="G866" i="2"/>
  <c r="I1486" i="2"/>
  <c r="G1485" i="2"/>
  <c r="I640" i="2"/>
  <c r="G639" i="2"/>
  <c r="I1118" i="2"/>
  <c r="G1117" i="2"/>
  <c r="I725" i="2"/>
  <c r="G724" i="2"/>
  <c r="G1054" i="2"/>
  <c r="I1055" i="2"/>
  <c r="G1638" i="2"/>
  <c r="I1639" i="2"/>
  <c r="G464" i="2"/>
  <c r="I465" i="2"/>
  <c r="I1441" i="2"/>
  <c r="G1440" i="2"/>
  <c r="I1681" i="2"/>
  <c r="G1680" i="2"/>
  <c r="I642" i="2"/>
  <c r="G641" i="2"/>
  <c r="I1104" i="2"/>
  <c r="G1103" i="2"/>
  <c r="I1281" i="2"/>
  <c r="G1280" i="2"/>
  <c r="I628" i="2"/>
  <c r="G627" i="2"/>
  <c r="G1464" i="2"/>
  <c r="I1465" i="2"/>
  <c r="I809" i="2"/>
  <c r="G808" i="2"/>
  <c r="I59" i="2"/>
  <c r="G58" i="2"/>
  <c r="I1551" i="2"/>
  <c r="G1550" i="2"/>
  <c r="I1443" i="2"/>
  <c r="G1442" i="2"/>
  <c r="I1945" i="2"/>
  <c r="G1944" i="2"/>
  <c r="I1377" i="2"/>
  <c r="G1376" i="2"/>
  <c r="I1176" i="2"/>
  <c r="G1175" i="2"/>
  <c r="G884" i="2"/>
  <c r="I885" i="2"/>
  <c r="I2011" i="2"/>
  <c r="G2010" i="2"/>
  <c r="I1379" i="2"/>
  <c r="G1378" i="2"/>
  <c r="I44" i="2"/>
  <c r="G43" i="2"/>
  <c r="I203" i="2"/>
  <c r="G202" i="2"/>
  <c r="G840" i="2"/>
  <c r="I841" i="2"/>
  <c r="I1491" i="2"/>
  <c r="G1490" i="2"/>
  <c r="I1489" i="2"/>
  <c r="G1488" i="2"/>
  <c r="I439" i="2"/>
  <c r="G438" i="2"/>
  <c r="I858" i="2"/>
  <c r="G857" i="2"/>
  <c r="G1145" i="2"/>
  <c r="I1146" i="2"/>
  <c r="I243" i="2"/>
  <c r="G242" i="2"/>
  <c r="I295" i="2"/>
  <c r="G294" i="2"/>
  <c r="I1349" i="2"/>
  <c r="G1348" i="2"/>
  <c r="I1172" i="2"/>
  <c r="G1171" i="2"/>
  <c r="I1332" i="2"/>
  <c r="G1331" i="2"/>
  <c r="I317" i="2"/>
  <c r="G316" i="2"/>
  <c r="I1794" i="2"/>
  <c r="G1793" i="2"/>
  <c r="I1700" i="2"/>
  <c r="G1699" i="2"/>
  <c r="I641" i="2"/>
  <c r="G640" i="2"/>
  <c r="I1081" i="2"/>
  <c r="G1080" i="2"/>
  <c r="G1022" i="2"/>
  <c r="I1023" i="2"/>
  <c r="I1302" i="2"/>
  <c r="G1301" i="2"/>
  <c r="G1781" i="2"/>
  <c r="I1782" i="2"/>
  <c r="I926" i="2"/>
  <c r="G925" i="2"/>
  <c r="I357" i="2"/>
  <c r="G356" i="2"/>
  <c r="I972" i="2"/>
  <c r="G971" i="2"/>
  <c r="I495" i="2"/>
  <c r="G494" i="2"/>
  <c r="I994" i="2"/>
  <c r="G993" i="2"/>
  <c r="I1544" i="2"/>
  <c r="G1543" i="2"/>
  <c r="I1878" i="2"/>
  <c r="G1877" i="2"/>
  <c r="I1483" i="2"/>
  <c r="G1482" i="2"/>
  <c r="I1958" i="2"/>
  <c r="G1957" i="2"/>
  <c r="I1421" i="2"/>
  <c r="G1420" i="2"/>
  <c r="I1153" i="2"/>
  <c r="G1152" i="2"/>
  <c r="I555" i="2"/>
  <c r="G554" i="2"/>
  <c r="I675" i="2"/>
  <c r="G674" i="2"/>
  <c r="I634" i="2"/>
  <c r="G633" i="2"/>
  <c r="I1811" i="2"/>
  <c r="G1810" i="2"/>
  <c r="I1712" i="2"/>
  <c r="G1711" i="2"/>
  <c r="I927" i="2"/>
  <c r="G926" i="2"/>
  <c r="I1654" i="2"/>
  <c r="G1653" i="2"/>
  <c r="I865" i="2"/>
  <c r="G864" i="2"/>
  <c r="I733" i="2"/>
  <c r="G732" i="2"/>
  <c r="I1722" i="2"/>
  <c r="G1721" i="2"/>
  <c r="I1975" i="2"/>
  <c r="G1974" i="2"/>
  <c r="G1047" i="2"/>
  <c r="I1048" i="2"/>
  <c r="G526" i="2"/>
  <c r="I527" i="2"/>
  <c r="I1232" i="2"/>
  <c r="G1231" i="2"/>
  <c r="I825" i="2"/>
  <c r="G824" i="2"/>
  <c r="I1108" i="2"/>
  <c r="G1107" i="2"/>
  <c r="I1271" i="2"/>
  <c r="G1270" i="2"/>
  <c r="I1614" i="2"/>
  <c r="G1613" i="2"/>
  <c r="I1620" i="2"/>
  <c r="G1619" i="2"/>
  <c r="I1564" i="2"/>
  <c r="G1563" i="2"/>
  <c r="I892" i="2"/>
  <c r="G891" i="2"/>
  <c r="I447" i="2"/>
  <c r="G446" i="2"/>
  <c r="G1350" i="2"/>
  <c r="I1351" i="2"/>
  <c r="I1578" i="2"/>
  <c r="G1577" i="2"/>
  <c r="G904" i="2"/>
  <c r="I905" i="2"/>
  <c r="I1451" i="2"/>
  <c r="G1450" i="2"/>
  <c r="I1572" i="2"/>
  <c r="G1571" i="2"/>
  <c r="I1675" i="2"/>
  <c r="G1674" i="2"/>
  <c r="I1069" i="2"/>
  <c r="G1068" i="2"/>
  <c r="I2069" i="2"/>
  <c r="G2068" i="2"/>
  <c r="I1709" i="2"/>
  <c r="G1708" i="2"/>
  <c r="I1611" i="2"/>
  <c r="G1610" i="2"/>
  <c r="I2090" i="2"/>
  <c r="G2089" i="2"/>
  <c r="I1012" i="2"/>
  <c r="G1011" i="2"/>
  <c r="I1210" i="2"/>
  <c r="G1209" i="2"/>
  <c r="I2288" i="2"/>
  <c r="G2287" i="2"/>
  <c r="I458" i="2"/>
  <c r="G457" i="2"/>
  <c r="I191" i="2"/>
  <c r="G190" i="2"/>
  <c r="I1202" i="2"/>
  <c r="G1201" i="2"/>
  <c r="I416" i="2"/>
  <c r="G415" i="2"/>
  <c r="I1511" i="2"/>
  <c r="G1510" i="2"/>
  <c r="G1620" i="2"/>
  <c r="I1621" i="2"/>
  <c r="I156" i="2"/>
  <c r="G155" i="2"/>
  <c r="I285" i="2"/>
  <c r="G284" i="2"/>
  <c r="I1201" i="2"/>
  <c r="G1200" i="2"/>
  <c r="I709" i="2"/>
  <c r="G708" i="2"/>
  <c r="I1019" i="2"/>
  <c r="G1018" i="2"/>
  <c r="G1111" i="2"/>
  <c r="I1112" i="2"/>
  <c r="I963" i="2"/>
  <c r="G962" i="2"/>
  <c r="I401" i="2"/>
  <c r="G400" i="2"/>
  <c r="I74" i="2"/>
  <c r="G73" i="2"/>
  <c r="I680" i="2"/>
  <c r="G679" i="2"/>
  <c r="I1852" i="2"/>
  <c r="G1851" i="2"/>
  <c r="G338" i="2"/>
  <c r="I339" i="2"/>
  <c r="I1823" i="2"/>
  <c r="G1822" i="2"/>
  <c r="I2161" i="2"/>
  <c r="G2160" i="2"/>
  <c r="I1129" i="2"/>
  <c r="G1128" i="2"/>
  <c r="I1292" i="2"/>
  <c r="G1291" i="2"/>
  <c r="I1591" i="2"/>
  <c r="G1590" i="2"/>
  <c r="I606" i="2"/>
  <c r="G605" i="2"/>
  <c r="G312" i="2"/>
  <c r="I313" i="2"/>
  <c r="I1582" i="2"/>
  <c r="G1581" i="2"/>
  <c r="I154" i="2"/>
  <c r="G153" i="2"/>
  <c r="G623" i="2"/>
  <c r="I624" i="2"/>
  <c r="G1496" i="2"/>
  <c r="I1497" i="2"/>
  <c r="I1221" i="2"/>
  <c r="G1220" i="2"/>
  <c r="I1897" i="2"/>
  <c r="G1896" i="2"/>
  <c r="I1102" i="2"/>
  <c r="G1101" i="2"/>
  <c r="I1437" i="2"/>
  <c r="G1436" i="2"/>
  <c r="I1122" i="2"/>
  <c r="G1121" i="2"/>
  <c r="I1916" i="2"/>
  <c r="G1915" i="2"/>
  <c r="I2162" i="2"/>
  <c r="G2161" i="2"/>
  <c r="I901" i="2"/>
  <c r="G900" i="2"/>
  <c r="I636" i="2"/>
  <c r="G635" i="2"/>
  <c r="I703" i="2"/>
  <c r="G702" i="2"/>
  <c r="I672" i="2"/>
  <c r="G671" i="2"/>
  <c r="I287" i="2"/>
  <c r="G286" i="2"/>
  <c r="G1211" i="2"/>
  <c r="I1212" i="2"/>
  <c r="I1341" i="2"/>
  <c r="G1340" i="2"/>
  <c r="I1713" i="2"/>
  <c r="G1712" i="2"/>
  <c r="I496" i="2"/>
  <c r="G495" i="2"/>
  <c r="I1445" i="2"/>
  <c r="G1444" i="2"/>
  <c r="I1223" i="2"/>
  <c r="G1222" i="2"/>
  <c r="I977" i="2"/>
  <c r="G976" i="2"/>
  <c r="I1825" i="2"/>
  <c r="G1824" i="2"/>
  <c r="I1026" i="2"/>
  <c r="G1025" i="2"/>
  <c r="G1439" i="2"/>
  <c r="I1440" i="2"/>
  <c r="I1543" i="2"/>
  <c r="G1542" i="2"/>
  <c r="I395" i="2"/>
  <c r="G394" i="2"/>
  <c r="I1649" i="2"/>
  <c r="G1648" i="2"/>
  <c r="G488" i="2"/>
  <c r="I489" i="2"/>
  <c r="I472" i="2"/>
  <c r="G471" i="2"/>
  <c r="I1480" i="2"/>
  <c r="G1479" i="2"/>
  <c r="I792" i="2"/>
  <c r="G791" i="2"/>
  <c r="I1378" i="2"/>
  <c r="G1377" i="2"/>
  <c r="I1619" i="2"/>
  <c r="G1618" i="2"/>
  <c r="I1487" i="2"/>
  <c r="G1486" i="2"/>
  <c r="I1562" i="2"/>
  <c r="G1561" i="2"/>
  <c r="I1697" i="2"/>
  <c r="G1696" i="2"/>
  <c r="I597" i="2"/>
  <c r="G596" i="2"/>
  <c r="I1595" i="2"/>
  <c r="G1594" i="2"/>
  <c r="I1369" i="2"/>
  <c r="G1368" i="2"/>
  <c r="G1580" i="2"/>
  <c r="I1581" i="2"/>
  <c r="I1356" i="2"/>
  <c r="G1355" i="2"/>
  <c r="I1345" i="2"/>
  <c r="G1344" i="2"/>
  <c r="I1553" i="2"/>
  <c r="G1552" i="2"/>
  <c r="I1251" i="2"/>
  <c r="G1250" i="2"/>
  <c r="I1583" i="2"/>
  <c r="G1582" i="2"/>
  <c r="I266" i="2"/>
  <c r="G265" i="2"/>
  <c r="I1900" i="2"/>
  <c r="G1899" i="2"/>
  <c r="I430" i="2"/>
  <c r="G429" i="2"/>
  <c r="I1806" i="2"/>
  <c r="G1805" i="2"/>
  <c r="I1571" i="2"/>
  <c r="G1570" i="2"/>
  <c r="I933" i="2"/>
  <c r="G932" i="2"/>
  <c r="I1403" i="2"/>
  <c r="G1402" i="2"/>
  <c r="I334" i="2"/>
  <c r="G333" i="2"/>
  <c r="I976" i="2"/>
  <c r="G975" i="2"/>
  <c r="I1503" i="2"/>
  <c r="G1502" i="2"/>
  <c r="I2267" i="2"/>
  <c r="G2266" i="2"/>
  <c r="I423" i="2"/>
  <c r="G422" i="2"/>
  <c r="I1268" i="2"/>
  <c r="G1267" i="2"/>
  <c r="I1167" i="2"/>
  <c r="G1166" i="2"/>
  <c r="I998" i="2"/>
  <c r="G997" i="2"/>
  <c r="I1169" i="2"/>
  <c r="G1168" i="2"/>
  <c r="I1187" i="2"/>
  <c r="G1186" i="2"/>
  <c r="G659" i="2"/>
  <c r="I660" i="2"/>
  <c r="G139" i="2"/>
  <c r="I140" i="2"/>
  <c r="I1161" i="2"/>
  <c r="G1160" i="2"/>
  <c r="I2277" i="2"/>
  <c r="G2276" i="2"/>
  <c r="I30" i="2"/>
  <c r="G29" i="2"/>
  <c r="G970" i="2"/>
  <c r="I971" i="2"/>
  <c r="I1899" i="2"/>
  <c r="G1898" i="2"/>
  <c r="I90" i="2"/>
  <c r="G89" i="2"/>
  <c r="I1200" i="2"/>
  <c r="G1199" i="2"/>
  <c r="I1106" i="2"/>
  <c r="G1105" i="2"/>
  <c r="I1560" i="2"/>
  <c r="G1559" i="2"/>
  <c r="I1359" i="2"/>
  <c r="G1358" i="2"/>
  <c r="I2003" i="2"/>
  <c r="G2002" i="2"/>
  <c r="I481" i="2"/>
  <c r="G480" i="2"/>
  <c r="I234" i="2"/>
  <c r="G233" i="2"/>
  <c r="G1569" i="2"/>
  <c r="I1570" i="2"/>
  <c r="I1750" i="2"/>
  <c r="G1749" i="2"/>
  <c r="I1822" i="2"/>
  <c r="G1821" i="2"/>
  <c r="I123" i="2"/>
  <c r="G122" i="2"/>
  <c r="I1643" i="2"/>
  <c r="G1642" i="2"/>
  <c r="I1367" i="2"/>
  <c r="G1366" i="2"/>
  <c r="G703" i="2"/>
  <c r="I704" i="2"/>
  <c r="I1422" i="2"/>
  <c r="G1421" i="2"/>
  <c r="I1132" i="2"/>
  <c r="G1131" i="2"/>
  <c r="I1336" i="2"/>
  <c r="G1335" i="2"/>
  <c r="I2491" i="2"/>
  <c r="G2490" i="2"/>
  <c r="I391" i="2"/>
  <c r="G390" i="2"/>
  <c r="I769" i="2"/>
  <c r="G768" i="2"/>
  <c r="G383" i="2"/>
  <c r="I384" i="2"/>
  <c r="I673" i="2"/>
  <c r="G672" i="2"/>
  <c r="I290" i="2"/>
  <c r="G289" i="2"/>
  <c r="I1479" i="2"/>
  <c r="G1478" i="2"/>
  <c r="I1524" i="2"/>
  <c r="G1523" i="2"/>
  <c r="I1326" i="2"/>
  <c r="G1325" i="2"/>
  <c r="I1266" i="2"/>
  <c r="G1265" i="2"/>
  <c r="I862" i="2"/>
  <c r="G861" i="2"/>
  <c r="I1136" i="2"/>
  <c r="G1135" i="2"/>
  <c r="I729" i="2"/>
  <c r="G728" i="2"/>
  <c r="I1111" i="2"/>
  <c r="G1110" i="2"/>
  <c r="I424" i="2"/>
  <c r="G423" i="2"/>
  <c r="I1147" i="2"/>
  <c r="G1146" i="2"/>
  <c r="I605" i="2"/>
  <c r="G604" i="2"/>
  <c r="I1766" i="2"/>
  <c r="G1765" i="2"/>
  <c r="I2009" i="2"/>
  <c r="G2008" i="2"/>
  <c r="I558" i="2"/>
  <c r="G557" i="2"/>
  <c r="I1318" i="2"/>
  <c r="G1317" i="2"/>
  <c r="I2347" i="2"/>
  <c r="G2346" i="2"/>
  <c r="G1737" i="2"/>
  <c r="I1738" i="2"/>
  <c r="I1847" i="2"/>
  <c r="G1846" i="2"/>
  <c r="I1656" i="2"/>
  <c r="G1655" i="2"/>
  <c r="I1028" i="2"/>
  <c r="G1027" i="2"/>
  <c r="I789" i="2"/>
  <c r="G788" i="2"/>
  <c r="G1963" i="2"/>
  <c r="I1964" i="2"/>
  <c r="I1481" i="2"/>
  <c r="G1480" i="2"/>
  <c r="G1194" i="2"/>
  <c r="I1195" i="2"/>
  <c r="I2449" i="2"/>
  <c r="G2448" i="2"/>
  <c r="I818" i="2"/>
  <c r="G817" i="2"/>
  <c r="I921" i="2"/>
  <c r="G920" i="2"/>
  <c r="I1554" i="2"/>
  <c r="G1553" i="2"/>
  <c r="I2112" i="2"/>
  <c r="G2111" i="2"/>
  <c r="I1634" i="2"/>
  <c r="G1633" i="2"/>
  <c r="I510" i="2"/>
  <c r="G509" i="2"/>
  <c r="I2164" i="2"/>
  <c r="G2163" i="2"/>
  <c r="I1229" i="2"/>
  <c r="G1228" i="2"/>
  <c r="I1091" i="2"/>
  <c r="G1090" i="2"/>
  <c r="I1778" i="2"/>
  <c r="G1777" i="2"/>
  <c r="I1618" i="2"/>
  <c r="G1617" i="2"/>
  <c r="I2018" i="2"/>
  <c r="G2017" i="2"/>
  <c r="I802" i="2"/>
  <c r="G801" i="2"/>
  <c r="G535" i="2"/>
  <c r="I536" i="2"/>
  <c r="G822" i="2"/>
  <c r="I823" i="2"/>
  <c r="I1569" i="2"/>
  <c r="G1568" i="2"/>
  <c r="I1415" i="2"/>
  <c r="G1414" i="2"/>
  <c r="I1248" i="2"/>
  <c r="G1247" i="2"/>
  <c r="I857" i="2"/>
  <c r="G856" i="2"/>
  <c r="I2365" i="2"/>
  <c r="G2364" i="2"/>
  <c r="I2013" i="2"/>
  <c r="G2012" i="2"/>
  <c r="G2426" i="2"/>
  <c r="I2427" i="2"/>
  <c r="I2264" i="2"/>
  <c r="G2263" i="2"/>
  <c r="I622" i="2"/>
  <c r="G621" i="2"/>
  <c r="I274" i="2"/>
  <c r="G273" i="2"/>
  <c r="I1464" i="2"/>
  <c r="G1463" i="2"/>
  <c r="I975" i="2"/>
  <c r="G974" i="2"/>
  <c r="I1265" i="2"/>
  <c r="G1264" i="2"/>
  <c r="I1049" i="2"/>
  <c r="G1048" i="2"/>
  <c r="I1706" i="2"/>
  <c r="G1705" i="2"/>
  <c r="I1669" i="2"/>
  <c r="G1668" i="2"/>
  <c r="I35" i="2"/>
  <c r="G34" i="2"/>
  <c r="I1389" i="2"/>
  <c r="G1388" i="2"/>
  <c r="I1286" i="2"/>
  <c r="G1285" i="2"/>
  <c r="I1937" i="2"/>
  <c r="G1936" i="2"/>
  <c r="I1573" i="2"/>
  <c r="G1572" i="2"/>
  <c r="I1433" i="2"/>
  <c r="G1432" i="2"/>
  <c r="I2105" i="2"/>
  <c r="G2104" i="2"/>
  <c r="I1381" i="2"/>
  <c r="G1380" i="2"/>
  <c r="I1807" i="2"/>
  <c r="G1806" i="2"/>
  <c r="I1534" i="2"/>
  <c r="G1533" i="2"/>
  <c r="I1413" i="2"/>
  <c r="G1412" i="2"/>
  <c r="I1997" i="2"/>
  <c r="G1996" i="2"/>
  <c r="I2044" i="2"/>
  <c r="G2043" i="2"/>
  <c r="G1398" i="2"/>
  <c r="I1399" i="2"/>
  <c r="I868" i="2"/>
  <c r="G867" i="2"/>
  <c r="I798" i="2"/>
  <c r="G797" i="2"/>
  <c r="I1155" i="2"/>
  <c r="G1154" i="2"/>
  <c r="G1284" i="2"/>
  <c r="I1285" i="2"/>
  <c r="I1466" i="2"/>
  <c r="G1465" i="2"/>
  <c r="I1158" i="2"/>
  <c r="G1157" i="2"/>
  <c r="G736" i="2"/>
  <c r="I737" i="2"/>
  <c r="G2054" i="2"/>
  <c r="I2055" i="2"/>
  <c r="I968" i="2"/>
  <c r="G967" i="2"/>
  <c r="I1404" i="2"/>
  <c r="G1403" i="2"/>
  <c r="I2376" i="2"/>
  <c r="G2375" i="2"/>
  <c r="I1981" i="2"/>
  <c r="G1980" i="2"/>
  <c r="I995" i="2"/>
  <c r="G994" i="2"/>
  <c r="I2108" i="2"/>
  <c r="G2107" i="2"/>
  <c r="I1629" i="2"/>
  <c r="G1628" i="2"/>
  <c r="I1647" i="2"/>
  <c r="G1646" i="2"/>
  <c r="I1463" i="2"/>
  <c r="G1462" i="2"/>
  <c r="I1474" i="2"/>
  <c r="G1473" i="2"/>
  <c r="I1969" i="2"/>
  <c r="G1968" i="2"/>
  <c r="I1402" i="2"/>
  <c r="G1401" i="2"/>
  <c r="I1898" i="2"/>
  <c r="G1897" i="2"/>
  <c r="I2219" i="2"/>
  <c r="G2218" i="2"/>
  <c r="I2501" i="2"/>
  <c r="G2500" i="2"/>
  <c r="G990" i="2"/>
  <c r="I991" i="2"/>
  <c r="I1331" i="2"/>
  <c r="G1330" i="2"/>
  <c r="I807" i="2"/>
  <c r="G806" i="2"/>
  <c r="I1470" i="2"/>
  <c r="G1469" i="2"/>
  <c r="I1204" i="2"/>
  <c r="G1203" i="2"/>
  <c r="I1538" i="2"/>
  <c r="G1537" i="2"/>
  <c r="I2081" i="2"/>
  <c r="G2080" i="2"/>
  <c r="I1280" i="2"/>
  <c r="G1279" i="2"/>
  <c r="I1542" i="2"/>
  <c r="G1541" i="2"/>
  <c r="I1249" i="2"/>
  <c r="G1248" i="2"/>
  <c r="I1521" i="2"/>
  <c r="G1520" i="2"/>
  <c r="I1545" i="2"/>
  <c r="G1544" i="2"/>
  <c r="I2444" i="2"/>
  <c r="G2443" i="2"/>
  <c r="I1846" i="2"/>
  <c r="G1845" i="2"/>
  <c r="G1104" i="2"/>
  <c r="I1105" i="2"/>
  <c r="I444" i="2"/>
  <c r="G443" i="2"/>
  <c r="I1058" i="2"/>
  <c r="G1057" i="2"/>
  <c r="I1347" i="2"/>
  <c r="G1346" i="2"/>
  <c r="I1427" i="2"/>
  <c r="G1426" i="2"/>
  <c r="I1236" i="2"/>
  <c r="G1235" i="2"/>
  <c r="I1485" i="2"/>
  <c r="G1484" i="2"/>
  <c r="G1031" i="2"/>
  <c r="I1032" i="2"/>
  <c r="G752" i="2"/>
  <c r="I753" i="2"/>
  <c r="I1198" i="2"/>
  <c r="G1197" i="2"/>
  <c r="I1439" i="2"/>
  <c r="G1438" i="2"/>
  <c r="I1851" i="2"/>
  <c r="G1850" i="2"/>
  <c r="I2145" i="2"/>
  <c r="G2144" i="2"/>
  <c r="I1259" i="2"/>
  <c r="G1258" i="2"/>
  <c r="G945" i="2"/>
  <c r="I946" i="2"/>
  <c r="G1725" i="2"/>
  <c r="I1726" i="2"/>
  <c r="I1337" i="2"/>
  <c r="G1336" i="2"/>
  <c r="I947" i="2"/>
  <c r="G946" i="2"/>
  <c r="I1423" i="2"/>
  <c r="G1422" i="2"/>
  <c r="I1305" i="2"/>
  <c r="G1304" i="2"/>
  <c r="I1174" i="2"/>
  <c r="G1173" i="2"/>
  <c r="I980" i="2"/>
  <c r="G979" i="2"/>
  <c r="I1388" i="2"/>
  <c r="G1387" i="2"/>
  <c r="I1963" i="2"/>
  <c r="G1962" i="2"/>
  <c r="I1972" i="2"/>
  <c r="G1971" i="2"/>
  <c r="I1612" i="2"/>
  <c r="G1611" i="2"/>
  <c r="I1137" i="2"/>
  <c r="G1136" i="2"/>
  <c r="I1998" i="2"/>
  <c r="G1997" i="2"/>
  <c r="I1956" i="2"/>
  <c r="G1955" i="2"/>
  <c r="I1309" i="2"/>
  <c r="G1308" i="2"/>
  <c r="I1657" i="2"/>
  <c r="G1656" i="2"/>
  <c r="I1401" i="2"/>
  <c r="G1400" i="2"/>
  <c r="I2032" i="2"/>
  <c r="G2031" i="2"/>
  <c r="I1761" i="2"/>
  <c r="G1760" i="2"/>
  <c r="I1608" i="2"/>
  <c r="G1607" i="2"/>
  <c r="I1247" i="2"/>
  <c r="G1246" i="2"/>
  <c r="I1255" i="2"/>
  <c r="G1254" i="2"/>
  <c r="I1512" i="2"/>
  <c r="G1511" i="2"/>
  <c r="I647" i="2"/>
  <c r="G646" i="2"/>
  <c r="I1038" i="2"/>
  <c r="G1037" i="2"/>
  <c r="I1826" i="2"/>
  <c r="G1825" i="2"/>
  <c r="I1160" i="2"/>
  <c r="G1159" i="2"/>
  <c r="I1568" i="2"/>
  <c r="G1567" i="2"/>
  <c r="I1548" i="2"/>
  <c r="G1547" i="2"/>
  <c r="I1264" i="2"/>
  <c r="G1263" i="2"/>
  <c r="I1461" i="2"/>
  <c r="G1460" i="2"/>
  <c r="I1321" i="2"/>
  <c r="G1320" i="2"/>
  <c r="G226" i="2"/>
  <c r="I227" i="2"/>
  <c r="I775" i="2"/>
  <c r="G774" i="2"/>
  <c r="I1358" i="2"/>
  <c r="G1357" i="2"/>
  <c r="I679" i="2"/>
  <c r="G678" i="2"/>
  <c r="I2165" i="2"/>
  <c r="G2164" i="2"/>
  <c r="I1586" i="2"/>
  <c r="G1585" i="2"/>
  <c r="I2089" i="2"/>
  <c r="G2088" i="2"/>
  <c r="I199" i="2"/>
  <c r="G198" i="2"/>
  <c r="I985" i="2"/>
  <c r="G984" i="2"/>
  <c r="I1386" i="2"/>
  <c r="G1385" i="2"/>
  <c r="G1255" i="2"/>
  <c r="I1256" i="2"/>
  <c r="I1894" i="2"/>
  <c r="G1893" i="2"/>
  <c r="I1226" i="2"/>
  <c r="G1225" i="2"/>
  <c r="I1694" i="2"/>
  <c r="G1693" i="2"/>
  <c r="I2301" i="2"/>
  <c r="G2300" i="2"/>
  <c r="I2409" i="2"/>
  <c r="G2408" i="2"/>
  <c r="I398" i="2"/>
  <c r="G397" i="2"/>
  <c r="I471" i="2"/>
  <c r="G470" i="2"/>
  <c r="I1406" i="2"/>
  <c r="G1405" i="2"/>
  <c r="I1120" i="2"/>
  <c r="G1119" i="2"/>
  <c r="I1607" i="2"/>
  <c r="G1606" i="2"/>
  <c r="I1935" i="2"/>
  <c r="G1934" i="2"/>
  <c r="I1954" i="2"/>
  <c r="G1953" i="2"/>
  <c r="I103" i="2"/>
  <c r="G102" i="2"/>
  <c r="I1742" i="2"/>
  <c r="G1741" i="2"/>
  <c r="I1602" i="2"/>
  <c r="G1601" i="2"/>
  <c r="I1862" i="2"/>
  <c r="G1861" i="2"/>
  <c r="I1372" i="2"/>
  <c r="G1371" i="2"/>
  <c r="I1317" i="2"/>
  <c r="G1316" i="2"/>
  <c r="I2094" i="2"/>
  <c r="G2093" i="2"/>
  <c r="I1115" i="2"/>
  <c r="G1114" i="2"/>
  <c r="I1884" i="2"/>
  <c r="G1883" i="2"/>
  <c r="I2113" i="2"/>
  <c r="G2112" i="2"/>
  <c r="I1288" i="2"/>
  <c r="G1287" i="2"/>
  <c r="G2434" i="2"/>
  <c r="I2435" i="2"/>
  <c r="I1520" i="2"/>
  <c r="G1519" i="2"/>
  <c r="I1888" i="2"/>
  <c r="G1887" i="2"/>
  <c r="G1879" i="2"/>
  <c r="I1880" i="2"/>
  <c r="I866" i="2"/>
  <c r="G865" i="2"/>
  <c r="I1240" i="2"/>
  <c r="G1239" i="2"/>
  <c r="I1606" i="2"/>
  <c r="G1605" i="2"/>
  <c r="I1164" i="2"/>
  <c r="G1163" i="2"/>
  <c r="I1693" i="2"/>
  <c r="G1692" i="2"/>
  <c r="I974" i="2"/>
  <c r="G973" i="2"/>
  <c r="I1547" i="2"/>
  <c r="G1546" i="2"/>
  <c r="I1650" i="2"/>
  <c r="G1649" i="2"/>
  <c r="I1986" i="2"/>
  <c r="G1985" i="2"/>
  <c r="I1563" i="2"/>
  <c r="G1562" i="2"/>
  <c r="I1804" i="2"/>
  <c r="G1803" i="2"/>
  <c r="I1424" i="2"/>
  <c r="G1423" i="2"/>
  <c r="I791" i="2"/>
  <c r="G790" i="2"/>
  <c r="I1940" i="2"/>
  <c r="G1939" i="2"/>
  <c r="I1665" i="2"/>
  <c r="G1664" i="2"/>
  <c r="I1516" i="2"/>
  <c r="G1515" i="2"/>
  <c r="I2141" i="2"/>
  <c r="G2140" i="2"/>
  <c r="I1385" i="2"/>
  <c r="G1384" i="2"/>
  <c r="I1529" i="2"/>
  <c r="G1528" i="2"/>
  <c r="I2109" i="2"/>
  <c r="G2108" i="2"/>
  <c r="I1500" i="2"/>
  <c r="G1499" i="2"/>
  <c r="I1714" i="2"/>
  <c r="G1713" i="2"/>
  <c r="I1740" i="2"/>
  <c r="G1739" i="2"/>
  <c r="I1188" i="2"/>
  <c r="G1187" i="2"/>
  <c r="I1687" i="2"/>
  <c r="G1686" i="2"/>
  <c r="I2054" i="2"/>
  <c r="G2053" i="2"/>
  <c r="I1754" i="2"/>
  <c r="G1753" i="2"/>
  <c r="I2384" i="2"/>
  <c r="G2383" i="2"/>
  <c r="I2468" i="2"/>
  <c r="G2467" i="2"/>
  <c r="I1096" i="2"/>
  <c r="G1095" i="2"/>
  <c r="I1053" i="2"/>
  <c r="G1052" i="2"/>
  <c r="I587" i="2"/>
  <c r="G586" i="2"/>
  <c r="G1538" i="2"/>
  <c r="I1539" i="2"/>
  <c r="I455" i="2"/>
  <c r="G454" i="2"/>
  <c r="I1609" i="2"/>
  <c r="G1608" i="2"/>
  <c r="I1725" i="2"/>
  <c r="G1724" i="2"/>
  <c r="I1843" i="2"/>
  <c r="G1842" i="2"/>
  <c r="I2129" i="2"/>
  <c r="G2128" i="2"/>
  <c r="I1588" i="2"/>
  <c r="G1587" i="2"/>
  <c r="I1504" i="2"/>
  <c r="G1503" i="2"/>
  <c r="I1869" i="2"/>
  <c r="G1868" i="2"/>
  <c r="I1394" i="2"/>
  <c r="G1393" i="2"/>
  <c r="I1730" i="2"/>
  <c r="G1729" i="2"/>
  <c r="I1773" i="2"/>
  <c r="G1772" i="2"/>
  <c r="I1508" i="2"/>
  <c r="G1507" i="2"/>
  <c r="I1593" i="2"/>
  <c r="G1592" i="2"/>
  <c r="I1454" i="2"/>
  <c r="G1453" i="2"/>
  <c r="I1917" i="2"/>
  <c r="G1916" i="2"/>
  <c r="I1114" i="2"/>
  <c r="G1113" i="2"/>
  <c r="I1689" i="2"/>
  <c r="G1688" i="2"/>
  <c r="I1315" i="2"/>
  <c r="G1314" i="2"/>
  <c r="I1671" i="2"/>
  <c r="G1670" i="2"/>
  <c r="I1552" i="2"/>
  <c r="G1551" i="2"/>
  <c r="I1973" i="2"/>
  <c r="G1972" i="2"/>
  <c r="I1674" i="2"/>
  <c r="G1673" i="2"/>
  <c r="I1953" i="2"/>
  <c r="G1952" i="2"/>
  <c r="I1603" i="2"/>
  <c r="G1602" i="2"/>
  <c r="I1691" i="2"/>
  <c r="G1690" i="2"/>
  <c r="I2327" i="2"/>
  <c r="G2326" i="2"/>
  <c r="I1418" i="2"/>
  <c r="G1417" i="2"/>
  <c r="I1909" i="2"/>
  <c r="G1908" i="2"/>
  <c r="I2034" i="2"/>
  <c r="G2033" i="2"/>
  <c r="I839" i="2"/>
  <c r="G838" i="2"/>
  <c r="I1943" i="2"/>
  <c r="G1942" i="2"/>
  <c r="I1856" i="2"/>
  <c r="G1855" i="2"/>
  <c r="G1286" i="2"/>
  <c r="I1287" i="2"/>
  <c r="I1063" i="2"/>
  <c r="G1062" i="2"/>
  <c r="I951" i="2"/>
  <c r="G950" i="2"/>
  <c r="I1610" i="2"/>
  <c r="G1609" i="2"/>
  <c r="I1382" i="2"/>
  <c r="G1381" i="2"/>
  <c r="I2051" i="2"/>
  <c r="G2050" i="2"/>
  <c r="I961" i="2"/>
  <c r="G960" i="2"/>
  <c r="I722" i="2"/>
  <c r="G721" i="2"/>
  <c r="I1228" i="2"/>
  <c r="G1227" i="2"/>
  <c r="I1599" i="2"/>
  <c r="G1598" i="2"/>
  <c r="I1867" i="2"/>
  <c r="G1866" i="2"/>
  <c r="I1653" i="2"/>
  <c r="G1652" i="2"/>
  <c r="I2010" i="2"/>
  <c r="G2009" i="2"/>
  <c r="I2135" i="2"/>
  <c r="G2134" i="2"/>
  <c r="I1797" i="2"/>
  <c r="G1796" i="2"/>
  <c r="I2432" i="2"/>
  <c r="G2431" i="2"/>
  <c r="I1774" i="2"/>
  <c r="G1773" i="2"/>
  <c r="I1849" i="2"/>
  <c r="G1848" i="2"/>
  <c r="I613" i="2"/>
  <c r="G612" i="2"/>
  <c r="I1154" i="2"/>
  <c r="G1153" i="2"/>
  <c r="I1831" i="2"/>
  <c r="G1830" i="2"/>
  <c r="I1093" i="2"/>
  <c r="G1092" i="2"/>
  <c r="I1079" i="2"/>
  <c r="G1078" i="2"/>
  <c r="I1211" i="2"/>
  <c r="G1210" i="2"/>
  <c r="I1289" i="2"/>
  <c r="G1288" i="2"/>
  <c r="I382" i="2"/>
  <c r="G381" i="2"/>
  <c r="I931" i="2"/>
  <c r="G930" i="2"/>
  <c r="G1087" i="2"/>
  <c r="I1088" i="2"/>
  <c r="I870" i="2"/>
  <c r="G869" i="2"/>
  <c r="I1663" i="2"/>
  <c r="G1662" i="2"/>
  <c r="I1635" i="2"/>
  <c r="G1634" i="2"/>
  <c r="I1295" i="2"/>
  <c r="G1294" i="2"/>
  <c r="I2005" i="2"/>
  <c r="G2004" i="2"/>
  <c r="I1720" i="2"/>
  <c r="G1719" i="2"/>
  <c r="I1272" i="2"/>
  <c r="G1271" i="2"/>
  <c r="I1181" i="2"/>
  <c r="G1180" i="2"/>
  <c r="I2275" i="2"/>
  <c r="G2274" i="2"/>
  <c r="I1580" i="2"/>
  <c r="G1579" i="2"/>
  <c r="I847" i="2"/>
  <c r="G846" i="2"/>
  <c r="I1325" i="2"/>
  <c r="G1324" i="2"/>
  <c r="I958" i="2"/>
  <c r="G957" i="2"/>
  <c r="I1339" i="2"/>
  <c r="G1338" i="2"/>
  <c r="I1805" i="2"/>
  <c r="G1804" i="2"/>
  <c r="I1824" i="2"/>
  <c r="G1823" i="2"/>
  <c r="I1848" i="2"/>
  <c r="G1847" i="2"/>
  <c r="I1592" i="2"/>
  <c r="G1591" i="2"/>
  <c r="I1298" i="2"/>
  <c r="G1297" i="2"/>
  <c r="I2079" i="2"/>
  <c r="G2078" i="2"/>
  <c r="I2151" i="2"/>
  <c r="G2150" i="2"/>
  <c r="I2309" i="2"/>
  <c r="G2308" i="2"/>
  <c r="I1715" i="2"/>
  <c r="G1714" i="2"/>
  <c r="I1350" i="2"/>
  <c r="G1349" i="2"/>
  <c r="I1809" i="2"/>
  <c r="G1808" i="2"/>
  <c r="I1820" i="2"/>
  <c r="G1819" i="2"/>
  <c r="I1253" i="2"/>
  <c r="G1252" i="2"/>
  <c r="I1086" i="2"/>
  <c r="G1085" i="2"/>
  <c r="I1966" i="2"/>
  <c r="G1965" i="2"/>
  <c r="I1431" i="2"/>
  <c r="G1430" i="2"/>
  <c r="I1989" i="2"/>
  <c r="G1988" i="2"/>
  <c r="I1839" i="2"/>
  <c r="G1838" i="2"/>
  <c r="I1661" i="2"/>
  <c r="G1660" i="2"/>
  <c r="I2052" i="2"/>
  <c r="G2051" i="2"/>
  <c r="I1393" i="2"/>
  <c r="G1392" i="2"/>
  <c r="I75" i="2"/>
  <c r="G74" i="2"/>
  <c r="I1189" i="2"/>
  <c r="G1188" i="2"/>
  <c r="I1865" i="2"/>
  <c r="G1864" i="2"/>
  <c r="I1946" i="2"/>
  <c r="G1945" i="2"/>
  <c r="I1642" i="2"/>
  <c r="G1641" i="2"/>
  <c r="I1185" i="2"/>
  <c r="G1184" i="2"/>
  <c r="I1197" i="2"/>
  <c r="G1196" i="2"/>
  <c r="I1343" i="2"/>
  <c r="G1342" i="2"/>
  <c r="I1141" i="2"/>
  <c r="G1140" i="2"/>
  <c r="I1148" i="2"/>
  <c r="G1147" i="2"/>
  <c r="I1098" i="2"/>
  <c r="G1097" i="2"/>
  <c r="I1419" i="2"/>
  <c r="G1418" i="2"/>
  <c r="I1482" i="2"/>
  <c r="G1481" i="2"/>
  <c r="I1734" i="2"/>
  <c r="G1733" i="2"/>
  <c r="I1010" i="2"/>
  <c r="G1009" i="2"/>
  <c r="I1672" i="2"/>
  <c r="G1671" i="2"/>
  <c r="I1791" i="2"/>
  <c r="G1790" i="2"/>
  <c r="I1623" i="2"/>
  <c r="G1622" i="2"/>
  <c r="I1855" i="2"/>
  <c r="G1854" i="2"/>
  <c r="I1737" i="2"/>
  <c r="G1736" i="2"/>
  <c r="I1517" i="2"/>
  <c r="G1516" i="2"/>
  <c r="I1494" i="2"/>
  <c r="G1493" i="2"/>
  <c r="I1971" i="2"/>
  <c r="G1970" i="2"/>
  <c r="I1559" i="2"/>
  <c r="G1558" i="2"/>
  <c r="I1523" i="2"/>
  <c r="G1522" i="2"/>
  <c r="I2377" i="2"/>
  <c r="G2376" i="2"/>
  <c r="I2001" i="2"/>
  <c r="G2000" i="2"/>
  <c r="I1863" i="2"/>
  <c r="G1862" i="2"/>
  <c r="I1535" i="2"/>
  <c r="G1534" i="2"/>
  <c r="I1492" i="2"/>
  <c r="G1491" i="2"/>
  <c r="I1711" i="2"/>
  <c r="G1710" i="2"/>
  <c r="I1785" i="2"/>
  <c r="G1784" i="2"/>
  <c r="I1788" i="2"/>
  <c r="G1787" i="2"/>
  <c r="I1190" i="2"/>
  <c r="G1189" i="2"/>
  <c r="I2100" i="2"/>
  <c r="G2099" i="2"/>
  <c r="I1732" i="2"/>
  <c r="G1731" i="2"/>
  <c r="I1587" i="2"/>
  <c r="G1586" i="2"/>
  <c r="I2008" i="2"/>
  <c r="G2007" i="2"/>
  <c r="I1555" i="2"/>
  <c r="G1554" i="2"/>
  <c r="I569" i="2"/>
  <c r="G568" i="2"/>
  <c r="I1659" i="2"/>
  <c r="G1658" i="2"/>
  <c r="I1526" i="2"/>
  <c r="G1525" i="2"/>
  <c r="I1696" i="2"/>
  <c r="G1695" i="2"/>
  <c r="I1920" i="2"/>
  <c r="G1919" i="2"/>
  <c r="I1633" i="2"/>
  <c r="G1632" i="2"/>
  <c r="I2422" i="2"/>
  <c r="G2421" i="2"/>
  <c r="I1776" i="2"/>
  <c r="G1775" i="2"/>
  <c r="I2026" i="2"/>
  <c r="G2025" i="2"/>
  <c r="I1717" i="2"/>
  <c r="G1716" i="2"/>
  <c r="I1556" i="2"/>
  <c r="G1555" i="2"/>
  <c r="I1636" i="2"/>
  <c r="G1635" i="2"/>
  <c r="I1143" i="2"/>
  <c r="G1142" i="2"/>
  <c r="I2351" i="2"/>
  <c r="G2350" i="2"/>
  <c r="I2294" i="2"/>
  <c r="G2293" i="2"/>
  <c r="I2183" i="2"/>
  <c r="G2182" i="2"/>
  <c r="I2460" i="2"/>
  <c r="G2459" i="2"/>
  <c r="I2082" i="2"/>
  <c r="G2081" i="2"/>
  <c r="I1876" i="2"/>
  <c r="G1875" i="2"/>
  <c r="I1644" i="2"/>
  <c r="G1643" i="2"/>
  <c r="I2073" i="2"/>
  <c r="G2072" i="2"/>
  <c r="I1967" i="2"/>
  <c r="G1966" i="2"/>
  <c r="I1533" i="2"/>
  <c r="G1532" i="2"/>
  <c r="I449" i="2"/>
  <c r="G448" i="2"/>
  <c r="I1616" i="2"/>
  <c r="G1615" i="2"/>
  <c r="I1965" i="2"/>
  <c r="G1964" i="2"/>
  <c r="I1366" i="2"/>
  <c r="G1365" i="2"/>
  <c r="I1746" i="2"/>
  <c r="G1745" i="2"/>
  <c r="I2461" i="2"/>
  <c r="G2460" i="2"/>
  <c r="I2057" i="2"/>
  <c r="G2056" i="2"/>
  <c r="I1841" i="2"/>
  <c r="G1840" i="2"/>
  <c r="I1861" i="2"/>
  <c r="G1860" i="2"/>
  <c r="I1157" i="2"/>
  <c r="G1156" i="2"/>
  <c r="I1987" i="2"/>
  <c r="G1986" i="2"/>
  <c r="I2457" i="2"/>
  <c r="G2456" i="2"/>
  <c r="I2101" i="2"/>
  <c r="G2100" i="2"/>
  <c r="I2433" i="2"/>
  <c r="G2432" i="2"/>
  <c r="I1955" i="2"/>
  <c r="G1954" i="2"/>
  <c r="I2123" i="2"/>
  <c r="G2122" i="2"/>
  <c r="I2169" i="2"/>
  <c r="G2168" i="2"/>
  <c r="I1420" i="2"/>
  <c r="G1419" i="2"/>
  <c r="I2119" i="2"/>
  <c r="G2118" i="2"/>
  <c r="I1673" i="2"/>
  <c r="G1672" i="2"/>
  <c r="I2290" i="2"/>
  <c r="G2289" i="2"/>
  <c r="I1821" i="2"/>
  <c r="G1820" i="2"/>
  <c r="I1789" i="2"/>
  <c r="G1788" i="2"/>
  <c r="I1530" i="2"/>
  <c r="G1529" i="2"/>
  <c r="I1458" i="2"/>
  <c r="G1457" i="2"/>
  <c r="I1262" i="2"/>
  <c r="G1261" i="2"/>
  <c r="I2194" i="2"/>
  <c r="G2193" i="2"/>
  <c r="I1498" i="2"/>
  <c r="G1497" i="2"/>
  <c r="I1370" i="2"/>
  <c r="G1369" i="2"/>
  <c r="I1442" i="2"/>
  <c r="G1441" i="2"/>
  <c r="I1506" i="2"/>
  <c r="G1505" i="2"/>
  <c r="I1850" i="2"/>
  <c r="G1849" i="2"/>
  <c r="I1412" i="2"/>
  <c r="G1411" i="2"/>
  <c r="I924" i="2"/>
  <c r="G923" i="2"/>
  <c r="I1380" i="2"/>
  <c r="G1379" i="2"/>
  <c r="I2083" i="2"/>
  <c r="G2082" i="2"/>
  <c r="I1537" i="2"/>
  <c r="G1536" i="2"/>
  <c r="I1428" i="2"/>
  <c r="G1427" i="2"/>
  <c r="I1927" i="2"/>
  <c r="G1926" i="2"/>
  <c r="I2085" i="2"/>
  <c r="G2084" i="2"/>
  <c r="I1452" i="2"/>
  <c r="G1451" i="2"/>
  <c r="I2024" i="2"/>
  <c r="G2023" i="2"/>
  <c r="I2313" i="2"/>
  <c r="G2312" i="2"/>
  <c r="I2175" i="2"/>
  <c r="G2174" i="2"/>
  <c r="I1243" i="2"/>
  <c r="G1242" i="2"/>
  <c r="I2228" i="2"/>
  <c r="G2227" i="2"/>
  <c r="I2028" i="2"/>
  <c r="G2027" i="2"/>
  <c r="I1522" i="2"/>
  <c r="G1521" i="2"/>
  <c r="I1531" i="2"/>
  <c r="G1530" i="2"/>
  <c r="I1373" i="2"/>
  <c r="G1372" i="2"/>
  <c r="I1632" i="2"/>
  <c r="G1631" i="2"/>
  <c r="I2455" i="2"/>
  <c r="G2454" i="2"/>
  <c r="I1677" i="2"/>
  <c r="G1676" i="2"/>
  <c r="I2274" i="2"/>
  <c r="G2273" i="2"/>
  <c r="I1949" i="2"/>
  <c r="G1948" i="2"/>
  <c r="I2177" i="2"/>
  <c r="G2176" i="2"/>
  <c r="I2021" i="2"/>
  <c r="G2020" i="2"/>
  <c r="I1765" i="2"/>
  <c r="G1764" i="2"/>
  <c r="I456" i="2"/>
  <c r="G455" i="2"/>
  <c r="I1860" i="2"/>
  <c r="G1859" i="2"/>
  <c r="I1133" i="2"/>
  <c r="G1132" i="2"/>
  <c r="I1585" i="2"/>
  <c r="G1584" i="2"/>
  <c r="I1467" i="2"/>
  <c r="G1466" i="2"/>
  <c r="I2017" i="2"/>
  <c r="G2016" i="2"/>
  <c r="I1707" i="2"/>
  <c r="G1706" i="2"/>
  <c r="I1299" i="2"/>
  <c r="G1298" i="2"/>
  <c r="I1892" i="2"/>
  <c r="G1891" i="2"/>
  <c r="I2408" i="2"/>
  <c r="G2407" i="2"/>
  <c r="I1304" i="2"/>
  <c r="G1303" i="2"/>
  <c r="I2220" i="2"/>
  <c r="G2219" i="2"/>
  <c r="I1690" i="2"/>
  <c r="G1689" i="2"/>
  <c r="I1624" i="2"/>
  <c r="G1623" i="2"/>
  <c r="I1488" i="2"/>
  <c r="G1487" i="2"/>
  <c r="I1273" i="2"/>
  <c r="G1272" i="2"/>
  <c r="I2133" i="2"/>
  <c r="G2132" i="2"/>
  <c r="I1760" i="2"/>
  <c r="G1759" i="2"/>
  <c r="I2071" i="2"/>
  <c r="G2070" i="2"/>
  <c r="I2072" i="2"/>
  <c r="G2071" i="2"/>
  <c r="I2375" i="2"/>
  <c r="G2374" i="2"/>
  <c r="I1651" i="2"/>
  <c r="G1650" i="2"/>
  <c r="G2231" i="2"/>
  <c r="I2232" i="2"/>
  <c r="I2096" i="2"/>
  <c r="G2095" i="2"/>
  <c r="I1363" i="2"/>
  <c r="G1362" i="2"/>
  <c r="I1683" i="2"/>
  <c r="G1682" i="2"/>
  <c r="I1224" i="2"/>
  <c r="G1223" i="2"/>
  <c r="I1495" i="2"/>
  <c r="G1494" i="2"/>
  <c r="I1628" i="2"/>
  <c r="G1627" i="2"/>
  <c r="I1645" i="2"/>
  <c r="G1644" i="2"/>
  <c r="I1396" i="2"/>
  <c r="G1395" i="2"/>
  <c r="I1664" i="2"/>
  <c r="G1663" i="2"/>
  <c r="I1646" i="2"/>
  <c r="G1645" i="2"/>
  <c r="I1509" i="2"/>
  <c r="G1508" i="2"/>
  <c r="I2130" i="2"/>
  <c r="G2129" i="2"/>
  <c r="I2042" i="2"/>
  <c r="G2041" i="2"/>
  <c r="I1853" i="2"/>
  <c r="G1852" i="2"/>
  <c r="I2127" i="2"/>
  <c r="G2126" i="2"/>
  <c r="I1891" i="2"/>
  <c r="G1890" i="2"/>
  <c r="I1721" i="2"/>
  <c r="G1720" i="2"/>
  <c r="I1870" i="2"/>
  <c r="G1869" i="2"/>
  <c r="I1890" i="2"/>
  <c r="G1889" i="2"/>
  <c r="I1864" i="2"/>
  <c r="G1863" i="2"/>
  <c r="I1879" i="2"/>
  <c r="G1878" i="2"/>
  <c r="I1840" i="2"/>
  <c r="G1839" i="2"/>
  <c r="I2060" i="2"/>
  <c r="G2059" i="2"/>
  <c r="I1254" i="2"/>
  <c r="G1253" i="2"/>
  <c r="I1729" i="2"/>
  <c r="G1728" i="2"/>
  <c r="I2170" i="2"/>
  <c r="G2169" i="2"/>
  <c r="I2043" i="2"/>
  <c r="G2042" i="2"/>
  <c r="I1688" i="2"/>
  <c r="G1687" i="2"/>
  <c r="I2329" i="2"/>
  <c r="G2328" i="2"/>
  <c r="I1976" i="2"/>
  <c r="G1975" i="2"/>
  <c r="I2321" i="2"/>
  <c r="G2320" i="2"/>
  <c r="I1748" i="2"/>
  <c r="G1747" i="2"/>
  <c r="I1783" i="2"/>
  <c r="G1782" i="2"/>
  <c r="I1360" i="2"/>
  <c r="G1359" i="2"/>
  <c r="I2023" i="2"/>
  <c r="G2022" i="2"/>
  <c r="G2256" i="2"/>
  <c r="I2257" i="2"/>
  <c r="I1829" i="2"/>
  <c r="G1828" i="2"/>
  <c r="I1936" i="2"/>
  <c r="G1935" i="2"/>
  <c r="I2149" i="2"/>
  <c r="G2148" i="2"/>
  <c r="I1652" i="2"/>
  <c r="G1651" i="2"/>
  <c r="I1769" i="2"/>
  <c r="G1768" i="2"/>
  <c r="I1957" i="2"/>
  <c r="G1956" i="2"/>
  <c r="I2138" i="2"/>
  <c r="G2137" i="2"/>
  <c r="I1799" i="2"/>
  <c r="G1798" i="2"/>
  <c r="I1139" i="2"/>
  <c r="G1138" i="2"/>
  <c r="I1929" i="2"/>
  <c r="G1928" i="2"/>
  <c r="I1429" i="2"/>
  <c r="G1428" i="2"/>
  <c r="I1990" i="2"/>
  <c r="G1989" i="2"/>
  <c r="I2437" i="2"/>
  <c r="G2436" i="2"/>
  <c r="I1787" i="2"/>
  <c r="G1786" i="2"/>
  <c r="I1980" i="2"/>
  <c r="G1979" i="2"/>
  <c r="I2067" i="2"/>
  <c r="G2066" i="2"/>
  <c r="I2291" i="2"/>
  <c r="G2290" i="2"/>
  <c r="I1786" i="2"/>
  <c r="G1785" i="2"/>
  <c r="I2372" i="2"/>
  <c r="G2371" i="2"/>
  <c r="I2263" i="2"/>
  <c r="G2262" i="2"/>
  <c r="I1818" i="2"/>
  <c r="G1817" i="2"/>
  <c r="I2037" i="2"/>
  <c r="G2036" i="2"/>
  <c r="I1640" i="2"/>
  <c r="G1639" i="2"/>
  <c r="G2172" i="2"/>
  <c r="I2173" i="2"/>
  <c r="I1883" i="2"/>
  <c r="G1882" i="2"/>
  <c r="I1780" i="2"/>
  <c r="G1779" i="2"/>
  <c r="I1938" i="2"/>
  <c r="G1937" i="2"/>
  <c r="I1968" i="2"/>
  <c r="G1967" i="2"/>
  <c r="I2246" i="2"/>
  <c r="G2245" i="2"/>
  <c r="I1206" i="2"/>
  <c r="G1205" i="2"/>
  <c r="I1477" i="2"/>
  <c r="G1476" i="2"/>
  <c r="I1575" i="2"/>
  <c r="G1574" i="2"/>
  <c r="I1641" i="2"/>
  <c r="G1640" i="2"/>
  <c r="I1094" i="2"/>
  <c r="G1093" i="2"/>
  <c r="I1354" i="2"/>
  <c r="G1353" i="2"/>
  <c r="I2084" i="2"/>
  <c r="G2083" i="2"/>
  <c r="I1245" i="2"/>
  <c r="G1244" i="2"/>
  <c r="I1334" i="2"/>
  <c r="G1333" i="2"/>
  <c r="I2314" i="2"/>
  <c r="G2313" i="2"/>
  <c r="I1728" i="2"/>
  <c r="G1727" i="2"/>
  <c r="I1974" i="2"/>
  <c r="G1973" i="2"/>
  <c r="I1658" i="2"/>
  <c r="G1657" i="2"/>
  <c r="I1682" i="2"/>
  <c r="G1681" i="2"/>
  <c r="I1896" i="2"/>
  <c r="G1895" i="2"/>
  <c r="I2107" i="2"/>
  <c r="G2106" i="2"/>
  <c r="I1902" i="2"/>
  <c r="G1901" i="2"/>
  <c r="I1777" i="2"/>
  <c r="G1776" i="2"/>
  <c r="I1704" i="2"/>
  <c r="G1703" i="2"/>
  <c r="I1213" i="2"/>
  <c r="G1212" i="2"/>
  <c r="I1913" i="2"/>
  <c r="G1912" i="2"/>
  <c r="I1996" i="2"/>
  <c r="G1995" i="2"/>
  <c r="I2098" i="2"/>
  <c r="G2097" i="2"/>
  <c r="I1364" i="2"/>
  <c r="G1363" i="2"/>
  <c r="I1948" i="2"/>
  <c r="G1947" i="2"/>
  <c r="I1813" i="2"/>
  <c r="G1812" i="2"/>
  <c r="G2303" i="2"/>
  <c r="I2304" i="2"/>
  <c r="I1970" i="2"/>
  <c r="G1969" i="2"/>
  <c r="I2029" i="2"/>
  <c r="G2028" i="2"/>
  <c r="I1752" i="2"/>
  <c r="G1751" i="2"/>
  <c r="I2270" i="2"/>
  <c r="G2269" i="2"/>
  <c r="I1460" i="2"/>
  <c r="G1459" i="2"/>
  <c r="I989" i="2"/>
  <c r="G988" i="2"/>
  <c r="I1764" i="2"/>
  <c r="G1763" i="2"/>
  <c r="I1842" i="2"/>
  <c r="G1841" i="2"/>
  <c r="I2284" i="2"/>
  <c r="G2283" i="2"/>
  <c r="I2261" i="2"/>
  <c r="G2260" i="2"/>
  <c r="I1444" i="2"/>
  <c r="G1443" i="2"/>
  <c r="I419" i="2"/>
  <c r="G418" i="2"/>
  <c r="I2452" i="2"/>
  <c r="G2451" i="2"/>
  <c r="I1832" i="2"/>
  <c r="G1831" i="2"/>
  <c r="I2171" i="2"/>
  <c r="G2170" i="2"/>
  <c r="I1762" i="2"/>
  <c r="G1761" i="2"/>
  <c r="I1448" i="2"/>
  <c r="G1447" i="2"/>
  <c r="I1307" i="2"/>
  <c r="G1306" i="2"/>
  <c r="I2131" i="2"/>
  <c r="G2130" i="2"/>
  <c r="I2426" i="2"/>
  <c r="G2425" i="2"/>
  <c r="I1793" i="2"/>
  <c r="G1792" i="2"/>
  <c r="I2118" i="2"/>
  <c r="G2117" i="2"/>
  <c r="I1873" i="2"/>
  <c r="G1872" i="2"/>
  <c r="I1179" i="2"/>
  <c r="G1178" i="2"/>
  <c r="I1911" i="2"/>
  <c r="G1910" i="2"/>
  <c r="I1901" i="2"/>
  <c r="G1900" i="2"/>
  <c r="I1784" i="2"/>
  <c r="G1783" i="2"/>
  <c r="I1918" i="2"/>
  <c r="G1917" i="2"/>
  <c r="I1528" i="2"/>
  <c r="G1527" i="2"/>
  <c r="I1192" i="2"/>
  <c r="G1191" i="2"/>
  <c r="I2472" i="2"/>
  <c r="G2471" i="2"/>
  <c r="I2458" i="2"/>
  <c r="G2457" i="2"/>
  <c r="I2385" i="2"/>
  <c r="G2384" i="2"/>
  <c r="I1925" i="2"/>
  <c r="G1924" i="2"/>
  <c r="I2281" i="2"/>
  <c r="G2280" i="2"/>
  <c r="I2223" i="2"/>
  <c r="G2222" i="2"/>
  <c r="I1435" i="2"/>
  <c r="G1434" i="2"/>
  <c r="I1924" i="2"/>
  <c r="G1923" i="2"/>
  <c r="I2226" i="2"/>
  <c r="G2225" i="2"/>
  <c r="I1557" i="2"/>
  <c r="G1556" i="2"/>
  <c r="I2117" i="2"/>
  <c r="G2116" i="2"/>
  <c r="I1449" i="2"/>
  <c r="G1448" i="2"/>
  <c r="I1293" i="2"/>
  <c r="G1292" i="2"/>
  <c r="I1810" i="2"/>
  <c r="G1809" i="2"/>
  <c r="I1792" i="2"/>
  <c r="G1791" i="2"/>
  <c r="I1425" i="2"/>
  <c r="G1424" i="2"/>
  <c r="I1320" i="2"/>
  <c r="G1319" i="2"/>
  <c r="I2025" i="2"/>
  <c r="G2024" i="2"/>
  <c r="I1692" i="2"/>
  <c r="G1691" i="2"/>
  <c r="I1914" i="2"/>
  <c r="G1913" i="2"/>
  <c r="I2201" i="2"/>
  <c r="G2200" i="2"/>
  <c r="I1995" i="2"/>
  <c r="G1994" i="2"/>
  <c r="I2495" i="2"/>
  <c r="G2494" i="2"/>
  <c r="I2064" i="2"/>
  <c r="G2063" i="2"/>
  <c r="I1744" i="2"/>
  <c r="G1743" i="2"/>
  <c r="I1912" i="2"/>
  <c r="G1911" i="2"/>
  <c r="I2401" i="2"/>
  <c r="G2400" i="2"/>
  <c r="I1355" i="2"/>
  <c r="G1354" i="2"/>
  <c r="I1430" i="2"/>
  <c r="G1429" i="2"/>
  <c r="I1827" i="2"/>
  <c r="G1826" i="2"/>
  <c r="I2000" i="2"/>
  <c r="G1999" i="2"/>
  <c r="I1908" i="2"/>
  <c r="G1907" i="2"/>
  <c r="I2041" i="2"/>
  <c r="G2040" i="2"/>
  <c r="I2239" i="2"/>
  <c r="G2238" i="2"/>
  <c r="I1390" i="2"/>
  <c r="G1389" i="2"/>
  <c r="I1527" i="2"/>
  <c r="G1526" i="2"/>
  <c r="I1735" i="2"/>
  <c r="G1734" i="2"/>
  <c r="I1991" i="2"/>
  <c r="G1990" i="2"/>
  <c r="I2447" i="2"/>
  <c r="G2446" i="2"/>
  <c r="I1941" i="2"/>
  <c r="G1940" i="2"/>
  <c r="I1600" i="2"/>
  <c r="G1599" i="2"/>
  <c r="I1716" i="2"/>
  <c r="G1715" i="2"/>
  <c r="I2482" i="2"/>
  <c r="G2481" i="2"/>
  <c r="I2075" i="2"/>
  <c r="G2074" i="2"/>
  <c r="I2478" i="2"/>
  <c r="G2477" i="2"/>
  <c r="I2370" i="2"/>
  <c r="G2369" i="2"/>
  <c r="I2036" i="2"/>
  <c r="G2035" i="2"/>
  <c r="I2445" i="2"/>
  <c r="G2444" i="2"/>
  <c r="I1859" i="2"/>
  <c r="G1858" i="2"/>
  <c r="I2439" i="2"/>
  <c r="G2438" i="2"/>
  <c r="I2233" i="2"/>
  <c r="G2232" i="2"/>
  <c r="I1594" i="2"/>
  <c r="G1593" i="2"/>
  <c r="I1934" i="2"/>
  <c r="G1933" i="2"/>
  <c r="I2012" i="2"/>
  <c r="G2011" i="2"/>
  <c r="I2143" i="2"/>
  <c r="G2142" i="2"/>
  <c r="I1961" i="2"/>
  <c r="G1960" i="2"/>
  <c r="I2484" i="2"/>
  <c r="G2483" i="2"/>
  <c r="I1261" i="2"/>
  <c r="G1260" i="2"/>
  <c r="I1507" i="2"/>
  <c r="G1506" i="2"/>
  <c r="I1874" i="2"/>
  <c r="G1873" i="2"/>
  <c r="I2312" i="2"/>
  <c r="G2311" i="2"/>
  <c r="I2451" i="2"/>
  <c r="G2450" i="2"/>
  <c r="I2137" i="2"/>
  <c r="G2136" i="2"/>
  <c r="I1817" i="2"/>
  <c r="G1816" i="2"/>
  <c r="I2238" i="2"/>
  <c r="G2237" i="2"/>
  <c r="I2315" i="2"/>
  <c r="G2314" i="2"/>
  <c r="I1751" i="2"/>
  <c r="G1750" i="2"/>
  <c r="I2430" i="2"/>
  <c r="G2429" i="2"/>
  <c r="I2184" i="2"/>
  <c r="G2183" i="2"/>
  <c r="I2111" i="2"/>
  <c r="G2110" i="2"/>
  <c r="I2203" i="2"/>
  <c r="G2202" i="2"/>
  <c r="I1845" i="2"/>
  <c r="G1844" i="2"/>
  <c r="I2152" i="2"/>
  <c r="G2151" i="2"/>
  <c r="I2424" i="2"/>
  <c r="G2423" i="2"/>
  <c r="I2503" i="2"/>
  <c r="G2502" i="2"/>
  <c r="I2224" i="2"/>
  <c r="G2223" i="2"/>
  <c r="I2215" i="2"/>
  <c r="G2214" i="2"/>
  <c r="I1275" i="2"/>
  <c r="G1274" i="2"/>
  <c r="I1739" i="2"/>
  <c r="G1738" i="2"/>
  <c r="I1476" i="2"/>
  <c r="G1475" i="2"/>
  <c r="I1747" i="2"/>
  <c r="G1746" i="2"/>
  <c r="I1745" i="2"/>
  <c r="G1744" i="2"/>
  <c r="I2002" i="2"/>
  <c r="G2001" i="2"/>
  <c r="I1648" i="2"/>
  <c r="G1647" i="2"/>
  <c r="I1781" i="2"/>
  <c r="G1780" i="2"/>
  <c r="I2369" i="2"/>
  <c r="G2368" i="2"/>
  <c r="I2502" i="2"/>
  <c r="G2501" i="2"/>
  <c r="I2510" i="2"/>
  <c r="G2509" i="2"/>
  <c r="I1816" i="2"/>
  <c r="G1815" i="2"/>
  <c r="I2063" i="2"/>
  <c r="G2062" i="2"/>
  <c r="I2182" i="2"/>
  <c r="G2181" i="2"/>
  <c r="G1886" i="2"/>
  <c r="I1887" i="2"/>
  <c r="I1866" i="2"/>
  <c r="G1865" i="2"/>
  <c r="I2116" i="2"/>
  <c r="G2115" i="2"/>
  <c r="I2411" i="2"/>
  <c r="G2410" i="2"/>
  <c r="I2410" i="2"/>
  <c r="G2409" i="2"/>
  <c r="I2033" i="2"/>
  <c r="G2032" i="2"/>
  <c r="I2467" i="2"/>
  <c r="G2466" i="2"/>
  <c r="I2172" i="2"/>
  <c r="G2171" i="2"/>
  <c r="I2126" i="2"/>
  <c r="G2125" i="2"/>
  <c r="I2157" i="2"/>
  <c r="G2156" i="2"/>
  <c r="I1796" i="2"/>
  <c r="G1795" i="2"/>
  <c r="G2506" i="2"/>
  <c r="I2507" i="2"/>
  <c r="I2486" i="2"/>
  <c r="G2485" i="2"/>
  <c r="I1277" i="2"/>
  <c r="G1276" i="2"/>
  <c r="I2287" i="2"/>
  <c r="G2286" i="2"/>
  <c r="I2007" i="2"/>
  <c r="G2006" i="2"/>
  <c r="I1567" i="2"/>
  <c r="G1566" i="2"/>
  <c r="I1944" i="2"/>
  <c r="G1943" i="2"/>
  <c r="I2210" i="2"/>
  <c r="G2209" i="2"/>
  <c r="I1835" i="2"/>
  <c r="G1834" i="2"/>
  <c r="I1830" i="2"/>
  <c r="G1829" i="2"/>
  <c r="I2093" i="2"/>
  <c r="G2092" i="2"/>
  <c r="I1772" i="2"/>
  <c r="G1771" i="2"/>
  <c r="I2332" i="2"/>
  <c r="G2331" i="2"/>
  <c r="I2305" i="2"/>
  <c r="G2304" i="2"/>
  <c r="I1771" i="2"/>
  <c r="G1770" i="2"/>
  <c r="I2059" i="2"/>
  <c r="G2058" i="2"/>
  <c r="I2106" i="2"/>
  <c r="G2105" i="2"/>
  <c r="I2103" i="2"/>
  <c r="G2102" i="2"/>
  <c r="I1768" i="2"/>
  <c r="G1767" i="2"/>
  <c r="I1930" i="2"/>
  <c r="G1929" i="2"/>
  <c r="I2195" i="2"/>
  <c r="G2194" i="2"/>
  <c r="I2260" i="2"/>
  <c r="G2259" i="2"/>
  <c r="I2292" i="2"/>
  <c r="G2291" i="2"/>
  <c r="I1808" i="2"/>
  <c r="G1807" i="2"/>
  <c r="I1149" i="2"/>
  <c r="G1148" i="2"/>
  <c r="I1905" i="2"/>
  <c r="G1904" i="2"/>
  <c r="I2251" i="2"/>
  <c r="G2250" i="2"/>
  <c r="I2268" i="2"/>
  <c r="G2267" i="2"/>
  <c r="I2006" i="2"/>
  <c r="G2005" i="2"/>
  <c r="I1984" i="2"/>
  <c r="G1983" i="2"/>
  <c r="I1872" i="2"/>
  <c r="G1871" i="2"/>
  <c r="I1800" i="2"/>
  <c r="G1799" i="2"/>
  <c r="I1701" i="2"/>
  <c r="G1700" i="2"/>
  <c r="I1988" i="2"/>
  <c r="G1987" i="2"/>
  <c r="I1753" i="2"/>
  <c r="G1752" i="2"/>
  <c r="I1959" i="2"/>
  <c r="G1958" i="2"/>
  <c r="I1676" i="2"/>
  <c r="G1675" i="2"/>
  <c r="I2104" i="2"/>
  <c r="G2103" i="2"/>
  <c r="I2252" i="2"/>
  <c r="G2251" i="2"/>
  <c r="I2235" i="2"/>
  <c r="G2234" i="2"/>
  <c r="I1992" i="2"/>
  <c r="G1991" i="2"/>
  <c r="I1685" i="2"/>
  <c r="G1684" i="2"/>
  <c r="G2455" i="2"/>
  <c r="I2456" i="2"/>
  <c r="I2147" i="2"/>
  <c r="G2146" i="2"/>
  <c r="I1499" i="2"/>
  <c r="G1498" i="2"/>
  <c r="I1679" i="2"/>
  <c r="G1678" i="2"/>
  <c r="I1819" i="2"/>
  <c r="G1818" i="2"/>
  <c r="I2193" i="2"/>
  <c r="G2192" i="2"/>
  <c r="I2350" i="2"/>
  <c r="G2349" i="2"/>
  <c r="I2053" i="2"/>
  <c r="G2052" i="2"/>
  <c r="I1269" i="2"/>
  <c r="G1268" i="2"/>
  <c r="I2091" i="2"/>
  <c r="G2090" i="2"/>
  <c r="I1993" i="2"/>
  <c r="G1992" i="2"/>
  <c r="I2074" i="2"/>
  <c r="G2073" i="2"/>
  <c r="I2140" i="2"/>
  <c r="G2139" i="2"/>
  <c r="I2474" i="2"/>
  <c r="G2473" i="2"/>
  <c r="I2310" i="2"/>
  <c r="G2309" i="2"/>
  <c r="I1436" i="2"/>
  <c r="G1435" i="2"/>
  <c r="I1881" i="2"/>
  <c r="G1880" i="2"/>
  <c r="I2462" i="2"/>
  <c r="G2461" i="2"/>
  <c r="I1723" i="2"/>
  <c r="G1722" i="2"/>
  <c r="I2394" i="2"/>
  <c r="G2393" i="2"/>
  <c r="I1977" i="2"/>
  <c r="G1976" i="2"/>
  <c r="G1905" i="2"/>
  <c r="I1906" i="2"/>
  <c r="I2354" i="2"/>
  <c r="G2353" i="2"/>
  <c r="I1910" i="2"/>
  <c r="G1909" i="2"/>
  <c r="I2352" i="2"/>
  <c r="G2351" i="2"/>
  <c r="I2343" i="2"/>
  <c r="G2342" i="2"/>
  <c r="I2395" i="2"/>
  <c r="G2394" i="2"/>
  <c r="I2191" i="2"/>
  <c r="G2190" i="2"/>
  <c r="I2231" i="2"/>
  <c r="G2230" i="2"/>
  <c r="I2368" i="2"/>
  <c r="G2367" i="2"/>
  <c r="I2047" i="2"/>
  <c r="G2046" i="2"/>
  <c r="I1932" i="2"/>
  <c r="G1931" i="2"/>
  <c r="I2115" i="2"/>
  <c r="G2114" i="2"/>
  <c r="I2308" i="2"/>
  <c r="G2307" i="2"/>
  <c r="I2031" i="2"/>
  <c r="G2030" i="2"/>
  <c r="I2406" i="2"/>
  <c r="G2405" i="2"/>
  <c r="I2480" i="2"/>
  <c r="G2479" i="2"/>
  <c r="I1951" i="2"/>
  <c r="G1950" i="2"/>
  <c r="I2379" i="2"/>
  <c r="G2378" i="2"/>
  <c r="I2124" i="2"/>
  <c r="G2123" i="2"/>
  <c r="I2146" i="2"/>
  <c r="G2145" i="2"/>
  <c r="I2459" i="2"/>
  <c r="G2458" i="2"/>
  <c r="I2371" i="2"/>
  <c r="G2370" i="2"/>
  <c r="I2065" i="2"/>
  <c r="G2064" i="2"/>
  <c r="I2099" i="2"/>
  <c r="G2098" i="2"/>
  <c r="I2197" i="2"/>
  <c r="G2196" i="2"/>
  <c r="I2367" i="2"/>
  <c r="G2366" i="2"/>
  <c r="I1904" i="2"/>
  <c r="G1903" i="2"/>
  <c r="I2190" i="2"/>
  <c r="G2189" i="2"/>
  <c r="I2335" i="2"/>
  <c r="G2334" i="2"/>
  <c r="I2088" i="2"/>
  <c r="G2087" i="2"/>
  <c r="I2061" i="2"/>
  <c r="G2060" i="2"/>
  <c r="I2066" i="2"/>
  <c r="G2065" i="2"/>
  <c r="I2431" i="2"/>
  <c r="G2430" i="2"/>
  <c r="I2333" i="2"/>
  <c r="G2332" i="2"/>
  <c r="I1844" i="2"/>
  <c r="G1843" i="2"/>
  <c r="I2289" i="2"/>
  <c r="G2288" i="2"/>
  <c r="I2189" i="2"/>
  <c r="G2188" i="2"/>
  <c r="I2174" i="2"/>
  <c r="G2173" i="2"/>
  <c r="I1942" i="2"/>
  <c r="G1941" i="2"/>
  <c r="G2441" i="2"/>
  <c r="I2442" i="2"/>
  <c r="G2249" i="2"/>
  <c r="I2250" i="2"/>
  <c r="I2483" i="2"/>
  <c r="G2482" i="2"/>
  <c r="I2469" i="2"/>
  <c r="G2468" i="2"/>
  <c r="I2271" i="2"/>
  <c r="G2270" i="2"/>
  <c r="G2045" i="2"/>
  <c r="I2046" i="2"/>
  <c r="I1922" i="2"/>
  <c r="G1921" i="2"/>
  <c r="I2181" i="2"/>
  <c r="G2180" i="2"/>
  <c r="I1889" i="2"/>
  <c r="G1888" i="2"/>
  <c r="I2259" i="2"/>
  <c r="G2258" i="2"/>
  <c r="I2278" i="2"/>
  <c r="G2277" i="2"/>
  <c r="I2330" i="2"/>
  <c r="G2329" i="2"/>
  <c r="I2443" i="2"/>
  <c r="G2442" i="2"/>
  <c r="G2382" i="2"/>
  <c r="I2383" i="2"/>
  <c r="G1894" i="2"/>
  <c r="I1895" i="2"/>
  <c r="G2240" i="2"/>
  <c r="I2241" i="2"/>
  <c r="I1655" i="2"/>
  <c r="G1654" i="2"/>
  <c r="I1857" i="2"/>
  <c r="G1856" i="2"/>
  <c r="I1775" i="2"/>
  <c r="G1774" i="2"/>
  <c r="G2018" i="2"/>
  <c r="I2019" i="2"/>
  <c r="I2027" i="2"/>
  <c r="G2026" i="2"/>
  <c r="G2186" i="2"/>
  <c r="I2187" i="2"/>
  <c r="I1979" i="2"/>
  <c r="G1978" i="2"/>
  <c r="I1731" i="2"/>
  <c r="G1730" i="2"/>
  <c r="G1683" i="2"/>
  <c r="I1684" i="2"/>
  <c r="G2292" i="2"/>
  <c r="I2293" i="2"/>
  <c r="G2159" i="2"/>
  <c r="I2160" i="2"/>
  <c r="I2373" i="2"/>
  <c r="G2372" i="2"/>
  <c r="I2438" i="2"/>
  <c r="G2437" i="2"/>
  <c r="I2300" i="2"/>
  <c r="G2299" i="2"/>
  <c r="G2212" i="2"/>
  <c r="I2213" i="2"/>
  <c r="I2297" i="2"/>
  <c r="G2296" i="2"/>
  <c r="G2403" i="2"/>
  <c r="I2404" i="2"/>
  <c r="I2176" i="2"/>
  <c r="G2175" i="2"/>
  <c r="I2242" i="2"/>
  <c r="G2241" i="2"/>
  <c r="I2048" i="2"/>
  <c r="G2047" i="2"/>
  <c r="I2355" i="2"/>
  <c r="G2354" i="2"/>
  <c r="I1703" i="2"/>
  <c r="G1702" i="2"/>
  <c r="I1759" i="2"/>
  <c r="G1758" i="2"/>
  <c r="I2298" i="2"/>
  <c r="G2297" i="2"/>
  <c r="G2392" i="2"/>
  <c r="I2393" i="2"/>
  <c r="I2512" i="2"/>
  <c r="G2511" i="2"/>
  <c r="I2504" i="2"/>
  <c r="G2503" i="2"/>
  <c r="I1999" i="2"/>
  <c r="G1998" i="2"/>
  <c r="I2015" i="2"/>
  <c r="G2014" i="2"/>
  <c r="I2366" i="2"/>
  <c r="G2365" i="2"/>
  <c r="I2068" i="2"/>
  <c r="G2067" i="2"/>
  <c r="I2403" i="2"/>
  <c r="G2402" i="2"/>
  <c r="I2114" i="2"/>
  <c r="G2113" i="2"/>
  <c r="I2198" i="2"/>
  <c r="G2197" i="2"/>
  <c r="I2102" i="2"/>
  <c r="G2101" i="2"/>
  <c r="G1802" i="2"/>
  <c r="I1803" i="2"/>
  <c r="I2217" i="2"/>
  <c r="G2216" i="2"/>
  <c r="I2477" i="2"/>
  <c r="G2476" i="2"/>
  <c r="I2471" i="2"/>
  <c r="G2470" i="2"/>
  <c r="I2378" i="2"/>
  <c r="G2377" i="2"/>
  <c r="I2255" i="2"/>
  <c r="G2254" i="2"/>
  <c r="I2132" i="2"/>
  <c r="G2131" i="2"/>
  <c r="I2450" i="2"/>
  <c r="G2449" i="2"/>
  <c r="I2402" i="2"/>
  <c r="G2401" i="2"/>
  <c r="I2202" i="2"/>
  <c r="G2201" i="2"/>
  <c r="I2120" i="2"/>
  <c r="G2119" i="2"/>
  <c r="I1919" i="2"/>
  <c r="G1918" i="2"/>
  <c r="I2446" i="2"/>
  <c r="G2445" i="2"/>
  <c r="I1668" i="2"/>
  <c r="G1667" i="2"/>
  <c r="I2316" i="2"/>
  <c r="G2315" i="2"/>
  <c r="I2222" i="2"/>
  <c r="G2221" i="2"/>
  <c r="I2272" i="2"/>
  <c r="G2271" i="2"/>
  <c r="I2348" i="2"/>
  <c r="G2347" i="2"/>
  <c r="I2237" i="2"/>
  <c r="G2236" i="2"/>
  <c r="I1921" i="2"/>
  <c r="G1920" i="2"/>
  <c r="I2192" i="2"/>
  <c r="G2191" i="2"/>
  <c r="I2188" i="2"/>
  <c r="G2187" i="2"/>
  <c r="I1834" i="2"/>
  <c r="G1833" i="2"/>
  <c r="I2158" i="2"/>
  <c r="G2157" i="2"/>
  <c r="I1705" i="2"/>
  <c r="G1704" i="2"/>
  <c r="I2319" i="2"/>
  <c r="G2318" i="2"/>
  <c r="I2434" i="2"/>
  <c r="G2433" i="2"/>
  <c r="I2487" i="2"/>
  <c r="G2486" i="2"/>
  <c r="I1576" i="2"/>
  <c r="G1575" i="2"/>
  <c r="I1695" i="2"/>
  <c r="G1694" i="2"/>
  <c r="I1755" i="2"/>
  <c r="G1754" i="2"/>
  <c r="I2346" i="2"/>
  <c r="G2345" i="2"/>
  <c r="I2324" i="2"/>
  <c r="G2323" i="2"/>
  <c r="I1833" i="2"/>
  <c r="G1832" i="2"/>
  <c r="G2428" i="2"/>
  <c r="I2429" i="2"/>
  <c r="I2413" i="2"/>
  <c r="G2412" i="2"/>
  <c r="I2139" i="2"/>
  <c r="G2138" i="2"/>
  <c r="I2035" i="2"/>
  <c r="G2034" i="2"/>
  <c r="I2325" i="2"/>
  <c r="G2324" i="2"/>
  <c r="I2148" i="2"/>
  <c r="G2147" i="2"/>
  <c r="I2463" i="2"/>
  <c r="G2462" i="2"/>
  <c r="I2421" i="2"/>
  <c r="G2420" i="2"/>
  <c r="G2210" i="2"/>
  <c r="I2211" i="2"/>
  <c r="I2244" i="2"/>
  <c r="G2243" i="2"/>
  <c r="I2207" i="2"/>
  <c r="G2206" i="2"/>
  <c r="I2269" i="2"/>
  <c r="G2268" i="2"/>
  <c r="G1732" i="2"/>
  <c r="I1733" i="2"/>
  <c r="I1770" i="2"/>
  <c r="G1769" i="2"/>
  <c r="I2128" i="2"/>
  <c r="G2127" i="2"/>
  <c r="I2253" i="2"/>
  <c r="G2252" i="2"/>
  <c r="G2406" i="2"/>
  <c r="I2407" i="2"/>
  <c r="I1828" i="2"/>
  <c r="G1827" i="2"/>
  <c r="I2420" i="2"/>
  <c r="G2419" i="2"/>
  <c r="G2301" i="2"/>
  <c r="I2302" i="2"/>
  <c r="I2381" i="2"/>
  <c r="G2380" i="2"/>
  <c r="I2070" i="2"/>
  <c r="G2069" i="2"/>
  <c r="I2180" i="2"/>
  <c r="G2179" i="2"/>
  <c r="I2154" i="2"/>
  <c r="G2153" i="2"/>
  <c r="I2247" i="2"/>
  <c r="G2246" i="2"/>
  <c r="I2225" i="2"/>
  <c r="G2224" i="2"/>
  <c r="I2392" i="2"/>
  <c r="G2391" i="2"/>
  <c r="I2489" i="2"/>
  <c r="G2488" i="2"/>
  <c r="I2414" i="2"/>
  <c r="G2413" i="2"/>
  <c r="I2476" i="2"/>
  <c r="G2475" i="2"/>
  <c r="G2319" i="2"/>
  <c r="I2320" i="2"/>
  <c r="I2317" i="2"/>
  <c r="G2316" i="2"/>
  <c r="G2424" i="2"/>
  <c r="I2425" i="2"/>
  <c r="I2153" i="2"/>
  <c r="G2152" i="2"/>
  <c r="I2453" i="2"/>
  <c r="G2452" i="2"/>
  <c r="I2156" i="2"/>
  <c r="G2155" i="2"/>
  <c r="I2286" i="2"/>
  <c r="G2285" i="2"/>
  <c r="I2359" i="2"/>
  <c r="G2358" i="2"/>
  <c r="I1907" i="2"/>
  <c r="G1906" i="2"/>
  <c r="G2389" i="2"/>
  <c r="I2390" i="2"/>
  <c r="G2199" i="2"/>
  <c r="I2200" i="2"/>
  <c r="I2110" i="2"/>
  <c r="G2109" i="2"/>
  <c r="I2142" i="2"/>
  <c r="G2141" i="2"/>
  <c r="I2080" i="2"/>
  <c r="G2079" i="2"/>
  <c r="G2484" i="2"/>
  <c r="I2485" i="2"/>
  <c r="G1204" i="2"/>
  <c r="I1205" i="2"/>
  <c r="G2195" i="2"/>
  <c r="I2196" i="2"/>
  <c r="I2150" i="2"/>
  <c r="G2149" i="2"/>
  <c r="I2087" i="2"/>
  <c r="G2086" i="2"/>
  <c r="I2022" i="2"/>
  <c r="G2021" i="2"/>
  <c r="I2121" i="2"/>
  <c r="G2120" i="2"/>
  <c r="I1903" i="2"/>
  <c r="G1902" i="2"/>
  <c r="I1801" i="2"/>
  <c r="G1800" i="2"/>
  <c r="I2388" i="2"/>
  <c r="G2387" i="2"/>
  <c r="I2353" i="2"/>
  <c r="G2352" i="2"/>
  <c r="I2338" i="2"/>
  <c r="G2337" i="2"/>
  <c r="I2227" i="2"/>
  <c r="G2226" i="2"/>
  <c r="G2514" i="2"/>
  <c r="I2514" i="2"/>
  <c r="G2513" i="2"/>
  <c r="I2306" i="2"/>
  <c r="G2305" i="2"/>
  <c r="I2464" i="2"/>
  <c r="G2463" i="2"/>
  <c r="I2122" i="2"/>
  <c r="G2121" i="2"/>
  <c r="G2124" i="2"/>
  <c r="I2125" i="2"/>
  <c r="G2272" i="2"/>
  <c r="I2273" i="2"/>
  <c r="G2264" i="2"/>
  <c r="I2265" i="2"/>
  <c r="I2360" i="2"/>
  <c r="G2359" i="2"/>
  <c r="G2507" i="2"/>
  <c r="I2508" i="2"/>
  <c r="I2254" i="2"/>
  <c r="G2253" i="2"/>
  <c r="I2500" i="2"/>
  <c r="G2499" i="2"/>
  <c r="I1812" i="2"/>
  <c r="G1811" i="2"/>
  <c r="I2045" i="2"/>
  <c r="G2044" i="2"/>
  <c r="I2218" i="2"/>
  <c r="G2217" i="2"/>
  <c r="I2040" i="2"/>
  <c r="G2039" i="2"/>
  <c r="I2303" i="2"/>
  <c r="G2302" i="2"/>
  <c r="I1931" i="2"/>
  <c r="G1930" i="2"/>
  <c r="G2239" i="2"/>
  <c r="I2240" i="2"/>
  <c r="I1926" i="2"/>
  <c r="G1925" i="2"/>
  <c r="I2511" i="2"/>
  <c r="G2510" i="2"/>
  <c r="I2134" i="2"/>
  <c r="G2133" i="2"/>
  <c r="G2344" i="2"/>
  <c r="I2345" i="2"/>
  <c r="I2341" i="2"/>
  <c r="G2340" i="2"/>
  <c r="I1950" i="2"/>
  <c r="G1949" i="2"/>
  <c r="I2168" i="2"/>
  <c r="G2167" i="2"/>
  <c r="I2144" i="2"/>
  <c r="G2143" i="2"/>
  <c r="I2374" i="2"/>
  <c r="G2373" i="2"/>
  <c r="I2328" i="2"/>
  <c r="G2327" i="2"/>
  <c r="I2397" i="2"/>
  <c r="G2396" i="2"/>
  <c r="G2248" i="2"/>
  <c r="I2249" i="2"/>
  <c r="I2398" i="2"/>
  <c r="G2397" i="2"/>
  <c r="G2465" i="2"/>
  <c r="I2466" i="2"/>
  <c r="G1881" i="2"/>
  <c r="I1882" i="2"/>
  <c r="I2307" i="2"/>
  <c r="G2306" i="2"/>
  <c r="I2229" i="2"/>
  <c r="G2228" i="2"/>
  <c r="I2492" i="2"/>
  <c r="G2491" i="2"/>
  <c r="I2361" i="2"/>
  <c r="G2360" i="2"/>
  <c r="I2337" i="2"/>
  <c r="G2336" i="2"/>
  <c r="I2243" i="2"/>
  <c r="G2242" i="2"/>
  <c r="I2318" i="2"/>
  <c r="G2317" i="2"/>
  <c r="I1962" i="2"/>
  <c r="G1961" i="2"/>
  <c r="G2298" i="2"/>
  <c r="I2299" i="2"/>
  <c r="G2418" i="2"/>
  <c r="I2419" i="2"/>
  <c r="I2505" i="2"/>
  <c r="G2504" i="2"/>
  <c r="I2387" i="2"/>
  <c r="G2386" i="2"/>
  <c r="I2262" i="2"/>
  <c r="G2261" i="2"/>
  <c r="I2380" i="2"/>
  <c r="G2379" i="2"/>
  <c r="I2086" i="2"/>
  <c r="G2085" i="2"/>
  <c r="I2167" i="2"/>
  <c r="G2166" i="2"/>
  <c r="G2154" i="2"/>
  <c r="I2155" i="2"/>
  <c r="G2235" i="2"/>
  <c r="I2236" i="2"/>
  <c r="I2334" i="2"/>
  <c r="G2333" i="2"/>
  <c r="I2234" i="2"/>
  <c r="G2233" i="2"/>
  <c r="I2417" i="2"/>
  <c r="G2416" i="2"/>
  <c r="G2495" i="2"/>
  <c r="I2496" i="2"/>
  <c r="I2209" i="2"/>
  <c r="G2208" i="2"/>
  <c r="I2475" i="2"/>
  <c r="G2474" i="2"/>
  <c r="G2363" i="2"/>
  <c r="I2364" i="2"/>
  <c r="I2208" i="2"/>
  <c r="G2207" i="2"/>
  <c r="I2412" i="2"/>
  <c r="G2411" i="2"/>
  <c r="I2245" i="2"/>
  <c r="G2244" i="2"/>
  <c r="I2336" i="2"/>
  <c r="G2335" i="2"/>
  <c r="I2391" i="2"/>
  <c r="G2390" i="2"/>
  <c r="I2428" i="2"/>
  <c r="G2427" i="2"/>
  <c r="G2178" i="2"/>
  <c r="I2179" i="2"/>
  <c r="G2508" i="2"/>
  <c r="I2509" i="2"/>
  <c r="I2323" i="2"/>
  <c r="G2322" i="2"/>
  <c r="G2440" i="2"/>
  <c r="I2441" i="2"/>
  <c r="I2178" i="2"/>
  <c r="G2177" i="2"/>
  <c r="I1333" i="2"/>
  <c r="G1332" i="2"/>
  <c r="I2163" i="2"/>
  <c r="G2162" i="2"/>
  <c r="I2396" i="2"/>
  <c r="G2395" i="2"/>
  <c r="I2399" i="2"/>
  <c r="G2398" i="2"/>
  <c r="I2280" i="2"/>
  <c r="G2279" i="2"/>
  <c r="I2493" i="2"/>
  <c r="G2492" i="2"/>
  <c r="G2091" i="2"/>
  <c r="I2092" i="2"/>
  <c r="I2386" i="2"/>
  <c r="G2385" i="2"/>
  <c r="I2062" i="2"/>
  <c r="G2061" i="2"/>
  <c r="I2282" i="2"/>
  <c r="G2281" i="2"/>
  <c r="I2494" i="2"/>
  <c r="G2493" i="2"/>
  <c r="I2326" i="2"/>
  <c r="G2325" i="2"/>
  <c r="I2362" i="2"/>
  <c r="G2361" i="2"/>
  <c r="I2204" i="2"/>
  <c r="G2203" i="2"/>
  <c r="I2230" i="2"/>
  <c r="G2229" i="2"/>
  <c r="I2331" i="2"/>
  <c r="G2330" i="2"/>
  <c r="I2349" i="2"/>
  <c r="G2348" i="2"/>
  <c r="I2358" i="2"/>
  <c r="G2357" i="2"/>
  <c r="I2159" i="2"/>
  <c r="G2158" i="2"/>
  <c r="G2505" i="2"/>
  <c r="I2506" i="2"/>
  <c r="I2440" i="2"/>
  <c r="G2439" i="2"/>
  <c r="I2311" i="2"/>
  <c r="G2310" i="2"/>
  <c r="I2473" i="2"/>
  <c r="G2472" i="2"/>
  <c r="I2342" i="2"/>
  <c r="G2341" i="2"/>
  <c r="I2097" i="2"/>
  <c r="G2096" i="2"/>
  <c r="I2340" i="2"/>
  <c r="G2339" i="2"/>
  <c r="I2382" i="2"/>
  <c r="G2381" i="2"/>
  <c r="I2389" i="2"/>
  <c r="G2388" i="2"/>
  <c r="G2185" i="2"/>
  <c r="I2186" i="2"/>
  <c r="I2423" i="2"/>
  <c r="G2422" i="2"/>
  <c r="I2216" i="2"/>
  <c r="G2215" i="2"/>
  <c r="G2453" i="2"/>
  <c r="I2454" i="2"/>
  <c r="I1727" i="2"/>
  <c r="G1726" i="2"/>
  <c r="I2499" i="2"/>
  <c r="G2498" i="2"/>
  <c r="I2016" i="2"/>
  <c r="G2015" i="2"/>
  <c r="I2418" i="2"/>
  <c r="G2417" i="2"/>
  <c r="I2004" i="2"/>
  <c r="G2003" i="2"/>
  <c r="I2363" i="2"/>
  <c r="G2362" i="2"/>
  <c r="I2344" i="2"/>
  <c r="G2343" i="2"/>
  <c r="I2488" i="2"/>
  <c r="G2487" i="2"/>
  <c r="I1923" i="2"/>
  <c r="G1922" i="2"/>
  <c r="G2284" i="2"/>
  <c r="I2285" i="2"/>
  <c r="I2513" i="2"/>
  <c r="G2512" i="2"/>
  <c r="I2357" i="2"/>
  <c r="G2356" i="2"/>
  <c r="G2447" i="2"/>
  <c r="I2448" i="2"/>
  <c r="I2185" i="2"/>
  <c r="G2184" i="2"/>
  <c r="I2206" i="2"/>
  <c r="G2205" i="2"/>
  <c r="G2489" i="2"/>
  <c r="I2490" i="2"/>
  <c r="I2258" i="2"/>
  <c r="G2257" i="2"/>
  <c r="I2050" i="2"/>
  <c r="G2049" i="2"/>
  <c r="G1959" i="2"/>
  <c r="I1960" i="2"/>
  <c r="G2404" i="2"/>
  <c r="I2405" i="2"/>
  <c r="G2255" i="2"/>
  <c r="I2256" i="2"/>
  <c r="I2295" i="2"/>
  <c r="G2294" i="2"/>
  <c r="I2479" i="2"/>
  <c r="G2478" i="2"/>
  <c r="I2481" i="2"/>
  <c r="G2480" i="2"/>
  <c r="I1983" i="2"/>
  <c r="G1982" i="2"/>
  <c r="I2322" i="2"/>
  <c r="G2321" i="2"/>
  <c r="I2436" i="2"/>
  <c r="G2435" i="2"/>
  <c r="G2497" i="2"/>
  <c r="I2498" i="2"/>
  <c r="G2278" i="2"/>
  <c r="I2279" i="2"/>
  <c r="I2283" i="2"/>
  <c r="G2282" i="2"/>
  <c r="I2415" i="2"/>
  <c r="G2414" i="2"/>
  <c r="I2078" i="2"/>
  <c r="G2077" i="2"/>
  <c r="G2211" i="2"/>
  <c r="I2212" i="2"/>
  <c r="G2057" i="2"/>
  <c r="I2058" i="2"/>
  <c r="G2247" i="2"/>
  <c r="I2248" i="2"/>
  <c r="I2356" i="2"/>
  <c r="G2355" i="2"/>
  <c r="I2296" i="2"/>
  <c r="G2295" i="2"/>
  <c r="I2276" i="2"/>
  <c r="G2275" i="2"/>
  <c r="I2416" i="2"/>
  <c r="G2415" i="2"/>
  <c r="I2339" i="2"/>
  <c r="G2338" i="2"/>
  <c r="I2400" i="2"/>
  <c r="G2399" i="2"/>
  <c r="I2166" i="2"/>
  <c r="G2165" i="2"/>
  <c r="I2465" i="2"/>
  <c r="G2464" i="2"/>
  <c r="G1742" i="2"/>
  <c r="I1743" i="2"/>
  <c r="I2470" i="2"/>
  <c r="G2469" i="2"/>
  <c r="I2136" i="2"/>
  <c r="G2135" i="2"/>
  <c r="G2037" i="2"/>
  <c r="I2038" i="2"/>
</calcChain>
</file>

<file path=xl/sharedStrings.xml><?xml version="1.0" encoding="utf-8"?>
<sst xmlns="http://schemas.openxmlformats.org/spreadsheetml/2006/main" count="33" uniqueCount="27">
  <si>
    <t xml:space="preserve">Daily Returns </t>
  </si>
  <si>
    <t xml:space="preserve">Year </t>
  </si>
  <si>
    <t>Row Labels</t>
  </si>
  <si>
    <t>Grand Total</t>
  </si>
  <si>
    <t>Max of Close</t>
  </si>
  <si>
    <t>Min of Close</t>
  </si>
  <si>
    <t>Average of Close</t>
  </si>
  <si>
    <t>Daily % Change</t>
  </si>
  <si>
    <t xml:space="preserve">Average of Daily Returns </t>
  </si>
  <si>
    <t xml:space="preserve">StdDev of Daily Returns </t>
  </si>
  <si>
    <t>High average + high std dev → big profits but risky (e.g., Tesla 2020).</t>
  </si>
  <si>
    <t>Low average + low std dev → calm, stable periods.</t>
  </si>
  <si>
    <t>Negative average + high std dev → chaotic losing years (like 2022).</t>
  </si>
  <si>
    <t>Average of Volume</t>
  </si>
  <si>
    <t>Tesla Stock Dashboard</t>
  </si>
  <si>
    <t>2015</t>
  </si>
  <si>
    <t>2016</t>
  </si>
  <si>
    <t>2017</t>
  </si>
  <si>
    <t>2018</t>
  </si>
  <si>
    <t>2019</t>
  </si>
  <si>
    <t>2020</t>
  </si>
  <si>
    <t>2021</t>
  </si>
  <si>
    <t>2022</t>
  </si>
  <si>
    <t>2023</t>
  </si>
  <si>
    <t>2024</t>
  </si>
  <si>
    <t>2025</t>
  </si>
  <si>
    <t xml:space="preserve">Sum of Open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</si>
</sst>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h:mm:ss"/>
    <numFmt numFmtId="165" formatCode="mmm\ dd\,\ yyyy"/>
    <numFmt numFmtId="166" formatCode="yyyy"/>
    <numFmt numFmtId="167" formatCode="0.00000"/>
  </numFmts>
  <fonts count="5" x14ac:knownFonts="1">
    <font>
      <sz val="10"/>
      <color rgb="FF000000"/>
      <name val="Arial"/>
      <scheme val="minor"/>
    </font>
    <font>
      <sz val="10"/>
      <color theme="1"/>
      <name val="Arial"/>
      <scheme val="minor"/>
    </font>
    <font>
      <sz val="10"/>
      <color rgb="FF000000"/>
      <name val="Arial"/>
      <family val="2"/>
      <scheme val="minor"/>
    </font>
    <font>
      <b/>
      <sz val="10"/>
      <color rgb="FF000000"/>
      <name val="Arial"/>
      <scheme val="minor"/>
    </font>
    <font>
      <b/>
      <sz val="22"/>
      <color rgb="FF000000"/>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xf numFmtId="164" fontId="1" fillId="0" borderId="0" xfId="0" applyNumberFormat="1" applyFont="1"/>
    <xf numFmtId="165" fontId="1" fillId="0" borderId="0" xfId="0" applyNumberFormat="1" applyFont="1" applyAlignment="1">
      <alignment horizontal="left"/>
    </xf>
    <xf numFmtId="2" fontId="2" fillId="0" borderId="0" xfId="0" applyNumberFormat="1" applyFont="1" applyAlignment="1"/>
    <xf numFmtId="2"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xf numFmtId="165" fontId="1" fillId="2" borderId="0" xfId="0" applyNumberFormat="1" applyFont="1" applyFill="1" applyAlignment="1">
      <alignment horizontal="left"/>
    </xf>
    <xf numFmtId="0" fontId="1" fillId="2" borderId="0" xfId="0" applyFont="1" applyFill="1"/>
    <xf numFmtId="2" fontId="0" fillId="2" borderId="0" xfId="0" applyNumberFormat="1" applyFont="1" applyFill="1" applyAlignment="1"/>
    <xf numFmtId="0" fontId="0" fillId="2" borderId="0" xfId="0" applyFont="1" applyFill="1" applyAlignment="1"/>
    <xf numFmtId="1" fontId="0" fillId="0" borderId="0" xfId="0" applyNumberFormat="1" applyFont="1" applyAlignment="1"/>
    <xf numFmtId="1" fontId="0" fillId="2" borderId="0" xfId="0" applyNumberFormat="1" applyFont="1" applyFill="1" applyAlignment="1"/>
    <xf numFmtId="14" fontId="0" fillId="0" borderId="0" xfId="0" applyNumberFormat="1" applyFont="1" applyAlignment="1"/>
    <xf numFmtId="1" fontId="0" fillId="0" borderId="0" xfId="0" applyNumberFormat="1" applyFont="1" applyAlignment="1">
      <alignment horizontal="left"/>
    </xf>
    <xf numFmtId="167" fontId="0" fillId="0" borderId="0" xfId="0" applyNumberFormat="1" applyFont="1" applyAlignment="1"/>
    <xf numFmtId="0" fontId="3" fillId="0" borderId="0" xfId="0" applyFont="1" applyAlignment="1"/>
    <xf numFmtId="0" fontId="4" fillId="3" borderId="0" xfId="0" applyFont="1" applyFill="1" applyAlignment="1">
      <alignment horizontal="center" vertical="center"/>
    </xf>
  </cellXfs>
  <cellStyles count="1">
    <cellStyle name="Normal" xfId="0" builtinId="0"/>
  </cellStyles>
  <dxfs count="18">
    <dxf>
      <numFmt numFmtId="1" formatCode="0"/>
    </dxf>
    <dxf>
      <numFmt numFmtId="168" formatCode="0.0"/>
    </dxf>
    <dxf>
      <numFmt numFmtId="2" formatCode="0.00"/>
    </dxf>
    <dxf>
      <numFmt numFmtId="170" formatCode="0.000"/>
    </dxf>
    <dxf>
      <numFmt numFmtId="2" formatCode="0.00"/>
    </dxf>
    <dxf>
      <numFmt numFmtId="167" formatCode="0.00000"/>
    </dxf>
    <dxf>
      <numFmt numFmtId="171" formatCode="0.000000"/>
    </dxf>
    <dxf>
      <numFmt numFmtId="172" formatCode="0.0000000"/>
    </dxf>
    <dxf>
      <numFmt numFmtId="171" formatCode="0.000000"/>
    </dxf>
    <dxf>
      <numFmt numFmtId="172" formatCode="0.0000000"/>
    </dxf>
    <dxf>
      <numFmt numFmtId="173" formatCode="0.00000000"/>
    </dxf>
    <dxf>
      <numFmt numFmtId="2" formatCode="0.00"/>
    </dxf>
    <dxf>
      <numFmt numFmtId="170" formatCode="0.000"/>
    </dxf>
    <dxf>
      <numFmt numFmtId="169" formatCode="0.0000"/>
    </dxf>
    <dxf>
      <numFmt numFmtId="167" formatCode="0.00000"/>
    </dxf>
    <dxf>
      <numFmt numFmtId="2" formatCode="0.00"/>
    </dxf>
    <dxf>
      <numFmt numFmtId="168" formatCode="0.0"/>
    </dxf>
    <dxf>
      <numFmt numFmtId="1" formatCode="0"/>
    </dxf>
  </dxfs>
  <tableStyles count="0" defaultTableStyle="TableStyleMedium2" defaultPivotStyle="PivotStyleLight16"/>
  <colors>
    <mruColors>
      <color rgb="FFC9C6F6"/>
      <color rgb="FFE6B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Stock Price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Highes, Lows, Avgs.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Tables'!$B$1</c:f>
              <c:strCache>
                <c:ptCount val="1"/>
                <c:pt idx="0">
                  <c:v>Max of Close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Tables'!$A$2:$A$13</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Tables'!$B$2:$B$13</c:f>
              <c:numCache>
                <c:formatCode>0.00</c:formatCode>
                <c:ptCount val="11"/>
                <c:pt idx="0">
                  <c:v>16.5</c:v>
                </c:pt>
                <c:pt idx="1">
                  <c:v>17.690000000000001</c:v>
                </c:pt>
                <c:pt idx="2">
                  <c:v>25.67</c:v>
                </c:pt>
                <c:pt idx="3">
                  <c:v>25.3</c:v>
                </c:pt>
                <c:pt idx="4">
                  <c:v>28.73</c:v>
                </c:pt>
                <c:pt idx="5">
                  <c:v>235.22</c:v>
                </c:pt>
                <c:pt idx="6">
                  <c:v>409.97</c:v>
                </c:pt>
                <c:pt idx="7">
                  <c:v>399.93</c:v>
                </c:pt>
                <c:pt idx="8">
                  <c:v>293.33999999999997</c:v>
                </c:pt>
                <c:pt idx="9">
                  <c:v>479.86</c:v>
                </c:pt>
                <c:pt idx="10">
                  <c:v>444.72</c:v>
                </c:pt>
              </c:numCache>
            </c:numRef>
          </c:val>
          <c:smooth val="0"/>
          <c:extLst>
            <c:ext xmlns:c16="http://schemas.microsoft.com/office/drawing/2014/chart" uri="{C3380CC4-5D6E-409C-BE32-E72D297353CC}">
              <c16:uniqueId val="{00000000-60F1-4853-8FEB-3FF48A4366C9}"/>
            </c:ext>
          </c:extLst>
        </c:ser>
        <c:ser>
          <c:idx val="1"/>
          <c:order val="1"/>
          <c:tx>
            <c:strRef>
              <c:f>'Pivot Tables'!$C$1</c:f>
              <c:strCache>
                <c:ptCount val="1"/>
                <c:pt idx="0">
                  <c:v>Min of Close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Tables'!$A$2:$A$13</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Tables'!$C$2:$C$13</c:f>
              <c:numCache>
                <c:formatCode>0.00</c:formatCode>
                <c:ptCount val="11"/>
                <c:pt idx="0">
                  <c:v>13.8</c:v>
                </c:pt>
                <c:pt idx="1">
                  <c:v>9.58</c:v>
                </c:pt>
                <c:pt idx="2">
                  <c:v>14.47</c:v>
                </c:pt>
                <c:pt idx="3">
                  <c:v>16.7</c:v>
                </c:pt>
                <c:pt idx="4">
                  <c:v>11.93</c:v>
                </c:pt>
                <c:pt idx="5">
                  <c:v>24.08</c:v>
                </c:pt>
                <c:pt idx="6">
                  <c:v>187.67</c:v>
                </c:pt>
                <c:pt idx="7">
                  <c:v>109.1</c:v>
                </c:pt>
                <c:pt idx="8">
                  <c:v>108.1</c:v>
                </c:pt>
                <c:pt idx="9">
                  <c:v>142.05000000000001</c:v>
                </c:pt>
                <c:pt idx="10">
                  <c:v>221.86</c:v>
                </c:pt>
              </c:numCache>
            </c:numRef>
          </c:val>
          <c:smooth val="0"/>
          <c:extLst>
            <c:ext xmlns:c16="http://schemas.microsoft.com/office/drawing/2014/chart" uri="{C3380CC4-5D6E-409C-BE32-E72D297353CC}">
              <c16:uniqueId val="{00000001-60F1-4853-8FEB-3FF48A4366C9}"/>
            </c:ext>
          </c:extLst>
        </c:ser>
        <c:ser>
          <c:idx val="2"/>
          <c:order val="2"/>
          <c:tx>
            <c:strRef>
              <c:f>'Pivot Tables'!$D$1</c:f>
              <c:strCache>
                <c:ptCount val="1"/>
                <c:pt idx="0">
                  <c:v>Average of Close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Tables'!$A$2:$A$13</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Tables'!$D$2:$D$13</c:f>
              <c:numCache>
                <c:formatCode>0.00</c:formatCode>
                <c:ptCount val="11"/>
                <c:pt idx="0">
                  <c:v>14.963124999999996</c:v>
                </c:pt>
                <c:pt idx="1">
                  <c:v>13.984642857142857</c:v>
                </c:pt>
                <c:pt idx="2">
                  <c:v>20.954621513944218</c:v>
                </c:pt>
                <c:pt idx="3">
                  <c:v>21.155856573705162</c:v>
                </c:pt>
                <c:pt idx="4">
                  <c:v>18.235198412698406</c:v>
                </c:pt>
                <c:pt idx="5">
                  <c:v>96.665770750988116</c:v>
                </c:pt>
                <c:pt idx="6">
                  <c:v>259.99817460317468</c:v>
                </c:pt>
                <c:pt idx="7">
                  <c:v>263.09314741035854</c:v>
                </c:pt>
                <c:pt idx="8">
                  <c:v>217.4752400000001</c:v>
                </c:pt>
                <c:pt idx="9">
                  <c:v>230.61496031746017</c:v>
                </c:pt>
                <c:pt idx="10">
                  <c:v>326.62529729729721</c:v>
                </c:pt>
              </c:numCache>
            </c:numRef>
          </c:val>
          <c:smooth val="0"/>
          <c:extLst>
            <c:ext xmlns:c16="http://schemas.microsoft.com/office/drawing/2014/chart" uri="{C3380CC4-5D6E-409C-BE32-E72D297353CC}">
              <c16:uniqueId val="{00000003-60F1-4853-8FEB-3FF48A4366C9}"/>
            </c:ext>
          </c:extLst>
        </c:ser>
        <c:dLbls>
          <c:showLegendKey val="0"/>
          <c:showVal val="0"/>
          <c:showCatName val="0"/>
          <c:showSerName val="0"/>
          <c:showPercent val="0"/>
          <c:showBubbleSize val="0"/>
        </c:dLbls>
        <c:marker val="1"/>
        <c:smooth val="0"/>
        <c:axId val="476962408"/>
        <c:axId val="476956832"/>
      </c:lineChart>
      <c:catAx>
        <c:axId val="47696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56832"/>
        <c:crosses val="autoZero"/>
        <c:auto val="1"/>
        <c:lblAlgn val="ctr"/>
        <c:lblOffset val="100"/>
        <c:noMultiLvlLbl val="0"/>
      </c:catAx>
      <c:valAx>
        <c:axId val="47695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Close</a:t>
                </a:r>
                <a:r>
                  <a:rPr lang="en-US" baseline="0"/>
                  <a:t> Values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62408"/>
        <c:crosses val="autoZero"/>
        <c:crossBetween val="between"/>
      </c:valAx>
      <c:spPr>
        <a:noFill/>
        <a:ln>
          <a:noFill/>
        </a:ln>
        <a:effectLst/>
      </c:spPr>
    </c:plotArea>
    <c:legend>
      <c:legendPos val="r"/>
      <c:layout>
        <c:manualLayout>
          <c:xMode val="edge"/>
          <c:yMode val="edge"/>
          <c:x val="0.76679532494746272"/>
          <c:y val="0.46802235306172313"/>
          <c:w val="0.23320471016385591"/>
          <c:h val="0.26572144935557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Stock Price Analysis.xlsx]Pivot Tables!PivotTable2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Tables'!$B$42</c:f>
              <c:strCache>
                <c:ptCount val="1"/>
                <c:pt idx="0">
                  <c:v>Average of Daily Returns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Tables'!$A$43:$A$54</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Tables'!$B$43:$B$54</c:f>
              <c:numCache>
                <c:formatCode>0.00000</c:formatCode>
                <c:ptCount val="11"/>
                <c:pt idx="0">
                  <c:v>-7.1758439566008061E-4</c:v>
                </c:pt>
                <c:pt idx="1">
                  <c:v>1.7702129131293832E-4</c:v>
                </c:pt>
                <c:pt idx="2">
                  <c:v>1.8025498557975531E-3</c:v>
                </c:pt>
                <c:pt idx="3">
                  <c:v>5.3848521292879775E-4</c:v>
                </c:pt>
                <c:pt idx="4">
                  <c:v>1.7746587000774673E-3</c:v>
                </c:pt>
                <c:pt idx="5">
                  <c:v>1.0070079691390338E-2</c:v>
                </c:pt>
                <c:pt idx="6">
                  <c:v>2.5898310014847168E-3</c:v>
                </c:pt>
                <c:pt idx="7">
                  <c:v>-4.3199493580609819E-3</c:v>
                </c:pt>
                <c:pt idx="8">
                  <c:v>3.8761857894046236E-3</c:v>
                </c:pt>
                <c:pt idx="9">
                  <c:v>2.4685602944369478E-3</c:v>
                </c:pt>
                <c:pt idx="10">
                  <c:v>-3.6478321664259027E-3</c:v>
                </c:pt>
              </c:numCache>
            </c:numRef>
          </c:val>
          <c:smooth val="0"/>
          <c:extLst>
            <c:ext xmlns:c16="http://schemas.microsoft.com/office/drawing/2014/chart" uri="{C3380CC4-5D6E-409C-BE32-E72D297353CC}">
              <c16:uniqueId val="{00000000-9D4D-480F-834B-442EEBD7A13E}"/>
            </c:ext>
          </c:extLst>
        </c:ser>
        <c:ser>
          <c:idx val="1"/>
          <c:order val="1"/>
          <c:tx>
            <c:strRef>
              <c:f>'Pivot Tables'!$C$42</c:f>
              <c:strCache>
                <c:ptCount val="1"/>
                <c:pt idx="0">
                  <c:v>StdDev of Daily Returns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Tables'!$A$43:$A$54</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Tables'!$C$43:$C$54</c:f>
              <c:numCache>
                <c:formatCode>0.00000</c:formatCode>
                <c:ptCount val="11"/>
                <c:pt idx="0">
                  <c:v>2.8514114223610856E-2</c:v>
                </c:pt>
                <c:pt idx="1">
                  <c:v>2.4049249936928214E-2</c:v>
                </c:pt>
                <c:pt idx="2">
                  <c:v>2.2300076436628312E-2</c:v>
                </c:pt>
                <c:pt idx="3">
                  <c:v>3.7010568745762959E-2</c:v>
                </c:pt>
                <c:pt idx="4">
                  <c:v>3.0801899513090748E-2</c:v>
                </c:pt>
                <c:pt idx="5">
                  <c:v>5.6272880381092044E-2</c:v>
                </c:pt>
                <c:pt idx="6">
                  <c:v>3.5442721068413542E-2</c:v>
                </c:pt>
                <c:pt idx="7">
                  <c:v>4.1749267225423325E-2</c:v>
                </c:pt>
                <c:pt idx="8">
                  <c:v>3.3099977127708347E-2</c:v>
                </c:pt>
                <c:pt idx="9">
                  <c:v>4.0197801252630935E-2</c:v>
                </c:pt>
                <c:pt idx="10">
                  <c:v>8.5105252274323764E-2</c:v>
                </c:pt>
              </c:numCache>
            </c:numRef>
          </c:val>
          <c:smooth val="0"/>
          <c:extLst>
            <c:ext xmlns:c16="http://schemas.microsoft.com/office/drawing/2014/chart" uri="{C3380CC4-5D6E-409C-BE32-E72D297353CC}">
              <c16:uniqueId val="{00000001-9D4D-480F-834B-442EEBD7A13E}"/>
            </c:ext>
          </c:extLst>
        </c:ser>
        <c:dLbls>
          <c:showLegendKey val="0"/>
          <c:showVal val="0"/>
          <c:showCatName val="0"/>
          <c:showSerName val="0"/>
          <c:showPercent val="0"/>
          <c:showBubbleSize val="0"/>
        </c:dLbls>
        <c:marker val="1"/>
        <c:smooth val="0"/>
        <c:axId val="387183672"/>
        <c:axId val="387178096"/>
      </c:lineChart>
      <c:catAx>
        <c:axId val="38718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78096"/>
        <c:crosses val="autoZero"/>
        <c:auto val="1"/>
        <c:lblAlgn val="ctr"/>
        <c:lblOffset val="100"/>
        <c:noMultiLvlLbl val="0"/>
      </c:catAx>
      <c:valAx>
        <c:axId val="38717809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83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Stock Price 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Volume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Tables'!$B$74</c:f>
              <c:strCache>
                <c:ptCount val="1"/>
                <c:pt idx="0">
                  <c:v>Total</c:v>
                </c:pt>
              </c:strCache>
            </c:strRef>
          </c:tx>
          <c:spPr>
            <a:solidFill>
              <a:schemeClr val="accent1"/>
            </a:solidFill>
            <a:ln>
              <a:noFill/>
            </a:ln>
            <a:effectLst/>
          </c:spPr>
          <c:invertIfNegative val="0"/>
          <c:cat>
            <c:strRef>
              <c:f>'Pivot Tables'!$A$75:$A$86</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Tables'!$B$75:$B$86</c:f>
              <c:numCache>
                <c:formatCode>0</c:formatCode>
                <c:ptCount val="11"/>
                <c:pt idx="0">
                  <c:v>3737425.609375</c:v>
                </c:pt>
                <c:pt idx="1">
                  <c:v>4602061.0912698414</c:v>
                </c:pt>
                <c:pt idx="2">
                  <c:v>6334939.8486055778</c:v>
                </c:pt>
                <c:pt idx="3">
                  <c:v>8583576.4183266927</c:v>
                </c:pt>
                <c:pt idx="4">
                  <c:v>9193539.8095238097</c:v>
                </c:pt>
                <c:pt idx="5">
                  <c:v>29836881.845849801</c:v>
                </c:pt>
                <c:pt idx="6">
                  <c:v>27398330.404761903</c:v>
                </c:pt>
                <c:pt idx="7">
                  <c:v>50551494.266932271</c:v>
                </c:pt>
                <c:pt idx="8">
                  <c:v>137375221.088</c:v>
                </c:pt>
                <c:pt idx="9">
                  <c:v>94857230.099206343</c:v>
                </c:pt>
                <c:pt idx="10">
                  <c:v>101931570.21081081</c:v>
                </c:pt>
              </c:numCache>
            </c:numRef>
          </c:val>
          <c:extLst>
            <c:ext xmlns:c16="http://schemas.microsoft.com/office/drawing/2014/chart" uri="{C3380CC4-5D6E-409C-BE32-E72D297353CC}">
              <c16:uniqueId val="{00000000-C2DF-445E-BFB9-48AAC3D97F9B}"/>
            </c:ext>
          </c:extLst>
        </c:ser>
        <c:dLbls>
          <c:showLegendKey val="0"/>
          <c:showVal val="0"/>
          <c:showCatName val="0"/>
          <c:showSerName val="0"/>
          <c:showPercent val="0"/>
          <c:showBubbleSize val="0"/>
        </c:dLbls>
        <c:gapWidth val="219"/>
        <c:overlap val="-27"/>
        <c:axId val="387745240"/>
        <c:axId val="387749832"/>
      </c:barChart>
      <c:catAx>
        <c:axId val="387745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49832"/>
        <c:crosses val="autoZero"/>
        <c:auto val="1"/>
        <c:lblAlgn val="ctr"/>
        <c:lblOffset val="100"/>
        <c:noMultiLvlLbl val="0"/>
      </c:catAx>
      <c:valAx>
        <c:axId val="387749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a:t>
                </a:r>
                <a:r>
                  <a:rPr lang="en-US" baseline="0"/>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45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Stock Price Analysis.xlsx]Pivot Tables!PivotTable4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Tables'!$B$26:$B$37</c:f>
              <c:numCache>
                <c:formatCode>General</c:formatCode>
                <c:ptCount val="11"/>
                <c:pt idx="0">
                  <c:v>16.5</c:v>
                </c:pt>
                <c:pt idx="1">
                  <c:v>15.38</c:v>
                </c:pt>
                <c:pt idx="2">
                  <c:v>14.32</c:v>
                </c:pt>
                <c:pt idx="3">
                  <c:v>20.8</c:v>
                </c:pt>
                <c:pt idx="4">
                  <c:v>20.41</c:v>
                </c:pt>
                <c:pt idx="5">
                  <c:v>28.3</c:v>
                </c:pt>
                <c:pt idx="6">
                  <c:v>239.82</c:v>
                </c:pt>
                <c:pt idx="7">
                  <c:v>382.58</c:v>
                </c:pt>
                <c:pt idx="8">
                  <c:v>118.47</c:v>
                </c:pt>
                <c:pt idx="9">
                  <c:v>250.08</c:v>
                </c:pt>
                <c:pt idx="10">
                  <c:v>390.1</c:v>
                </c:pt>
              </c:numCache>
            </c:numRef>
          </c:val>
          <c:smooth val="0"/>
          <c:extLst>
            <c:ext xmlns:c16="http://schemas.microsoft.com/office/drawing/2014/chart" uri="{C3380CC4-5D6E-409C-BE32-E72D297353CC}">
              <c16:uniqueId val="{00000000-8D51-40C1-B34A-B4C315884FEB}"/>
            </c:ext>
          </c:extLst>
        </c:ser>
        <c:dLbls>
          <c:showLegendKey val="0"/>
          <c:showVal val="0"/>
          <c:showCatName val="0"/>
          <c:showSerName val="0"/>
          <c:showPercent val="0"/>
          <c:showBubbleSize val="0"/>
        </c:dLbls>
        <c:marker val="1"/>
        <c:smooth val="0"/>
        <c:axId val="478063000"/>
        <c:axId val="478055784"/>
      </c:lineChart>
      <c:catAx>
        <c:axId val="47806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55784"/>
        <c:crosses val="autoZero"/>
        <c:auto val="1"/>
        <c:lblAlgn val="ctr"/>
        <c:lblOffset val="100"/>
        <c:noMultiLvlLbl val="0"/>
      </c:catAx>
      <c:valAx>
        <c:axId val="47805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63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Stock Price Analysis.xlsx]Pivot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Highes, Lows, Avgs.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Tables'!$B$1</c:f>
              <c:strCache>
                <c:ptCount val="1"/>
                <c:pt idx="0">
                  <c:v>Max of Close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Tables'!$A$2:$A$13</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Tables'!$B$2:$B$13</c:f>
              <c:numCache>
                <c:formatCode>0.00</c:formatCode>
                <c:ptCount val="11"/>
                <c:pt idx="0">
                  <c:v>16.5</c:v>
                </c:pt>
                <c:pt idx="1">
                  <c:v>17.690000000000001</c:v>
                </c:pt>
                <c:pt idx="2">
                  <c:v>25.67</c:v>
                </c:pt>
                <c:pt idx="3">
                  <c:v>25.3</c:v>
                </c:pt>
                <c:pt idx="4">
                  <c:v>28.73</c:v>
                </c:pt>
                <c:pt idx="5">
                  <c:v>235.22</c:v>
                </c:pt>
                <c:pt idx="6">
                  <c:v>409.97</c:v>
                </c:pt>
                <c:pt idx="7">
                  <c:v>399.93</c:v>
                </c:pt>
                <c:pt idx="8">
                  <c:v>293.33999999999997</c:v>
                </c:pt>
                <c:pt idx="9">
                  <c:v>479.86</c:v>
                </c:pt>
                <c:pt idx="10">
                  <c:v>444.72</c:v>
                </c:pt>
              </c:numCache>
            </c:numRef>
          </c:val>
          <c:smooth val="0"/>
          <c:extLst>
            <c:ext xmlns:c16="http://schemas.microsoft.com/office/drawing/2014/chart" uri="{C3380CC4-5D6E-409C-BE32-E72D297353CC}">
              <c16:uniqueId val="{00000000-BD30-47EA-A6E5-FA854C4B2B77}"/>
            </c:ext>
          </c:extLst>
        </c:ser>
        <c:ser>
          <c:idx val="1"/>
          <c:order val="1"/>
          <c:tx>
            <c:strRef>
              <c:f>'Pivot Tables'!$C$1</c:f>
              <c:strCache>
                <c:ptCount val="1"/>
                <c:pt idx="0">
                  <c:v>Min of Close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Tables'!$A$2:$A$13</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Tables'!$C$2:$C$13</c:f>
              <c:numCache>
                <c:formatCode>0.00</c:formatCode>
                <c:ptCount val="11"/>
                <c:pt idx="0">
                  <c:v>13.8</c:v>
                </c:pt>
                <c:pt idx="1">
                  <c:v>9.58</c:v>
                </c:pt>
                <c:pt idx="2">
                  <c:v>14.47</c:v>
                </c:pt>
                <c:pt idx="3">
                  <c:v>16.7</c:v>
                </c:pt>
                <c:pt idx="4">
                  <c:v>11.93</c:v>
                </c:pt>
                <c:pt idx="5">
                  <c:v>24.08</c:v>
                </c:pt>
                <c:pt idx="6">
                  <c:v>187.67</c:v>
                </c:pt>
                <c:pt idx="7">
                  <c:v>109.1</c:v>
                </c:pt>
                <c:pt idx="8">
                  <c:v>108.1</c:v>
                </c:pt>
                <c:pt idx="9">
                  <c:v>142.05000000000001</c:v>
                </c:pt>
                <c:pt idx="10">
                  <c:v>221.86</c:v>
                </c:pt>
              </c:numCache>
            </c:numRef>
          </c:val>
          <c:smooth val="0"/>
          <c:extLst>
            <c:ext xmlns:c16="http://schemas.microsoft.com/office/drawing/2014/chart" uri="{C3380CC4-5D6E-409C-BE32-E72D297353CC}">
              <c16:uniqueId val="{00000001-BD30-47EA-A6E5-FA854C4B2B77}"/>
            </c:ext>
          </c:extLst>
        </c:ser>
        <c:ser>
          <c:idx val="2"/>
          <c:order val="2"/>
          <c:tx>
            <c:strRef>
              <c:f>'Pivot Tables'!$D$1</c:f>
              <c:strCache>
                <c:ptCount val="1"/>
                <c:pt idx="0">
                  <c:v>Average of Close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Tables'!$A$2:$A$13</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Tables'!$D$2:$D$13</c:f>
              <c:numCache>
                <c:formatCode>0.00</c:formatCode>
                <c:ptCount val="11"/>
                <c:pt idx="0">
                  <c:v>14.963124999999996</c:v>
                </c:pt>
                <c:pt idx="1">
                  <c:v>13.984642857142857</c:v>
                </c:pt>
                <c:pt idx="2">
                  <c:v>20.954621513944218</c:v>
                </c:pt>
                <c:pt idx="3">
                  <c:v>21.155856573705162</c:v>
                </c:pt>
                <c:pt idx="4">
                  <c:v>18.235198412698406</c:v>
                </c:pt>
                <c:pt idx="5">
                  <c:v>96.665770750988116</c:v>
                </c:pt>
                <c:pt idx="6">
                  <c:v>259.99817460317468</c:v>
                </c:pt>
                <c:pt idx="7">
                  <c:v>263.09314741035854</c:v>
                </c:pt>
                <c:pt idx="8">
                  <c:v>217.4752400000001</c:v>
                </c:pt>
                <c:pt idx="9">
                  <c:v>230.61496031746017</c:v>
                </c:pt>
                <c:pt idx="10">
                  <c:v>326.62529729729721</c:v>
                </c:pt>
              </c:numCache>
            </c:numRef>
          </c:val>
          <c:smooth val="0"/>
          <c:extLst>
            <c:ext xmlns:c16="http://schemas.microsoft.com/office/drawing/2014/chart" uri="{C3380CC4-5D6E-409C-BE32-E72D297353CC}">
              <c16:uniqueId val="{00000002-BD30-47EA-A6E5-FA854C4B2B77}"/>
            </c:ext>
          </c:extLst>
        </c:ser>
        <c:dLbls>
          <c:showLegendKey val="0"/>
          <c:showVal val="0"/>
          <c:showCatName val="0"/>
          <c:showSerName val="0"/>
          <c:showPercent val="0"/>
          <c:showBubbleSize val="0"/>
        </c:dLbls>
        <c:marker val="1"/>
        <c:smooth val="0"/>
        <c:axId val="476962408"/>
        <c:axId val="476956832"/>
      </c:lineChart>
      <c:catAx>
        <c:axId val="47696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56832"/>
        <c:crosses val="autoZero"/>
        <c:auto val="1"/>
        <c:lblAlgn val="ctr"/>
        <c:lblOffset val="100"/>
        <c:noMultiLvlLbl val="0"/>
      </c:catAx>
      <c:valAx>
        <c:axId val="47695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Close</a:t>
                </a:r>
                <a:r>
                  <a:rPr lang="en-US" baseline="0"/>
                  <a:t> Values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62408"/>
        <c:crosses val="autoZero"/>
        <c:crossBetween val="between"/>
      </c:valAx>
      <c:spPr>
        <a:noFill/>
        <a:ln>
          <a:noFill/>
        </a:ln>
        <a:effectLst/>
      </c:spPr>
    </c:plotArea>
    <c:legend>
      <c:legendPos val="r"/>
      <c:layout>
        <c:manualLayout>
          <c:xMode val="edge"/>
          <c:yMode val="edge"/>
          <c:x val="0.76679532494746272"/>
          <c:y val="0.46802235306172313"/>
          <c:w val="0.23320471016385591"/>
          <c:h val="0.26572144935557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Stock Price Analysis.xlsx]Pivot Tables!PivotTable2</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Tables'!$B$42</c:f>
              <c:strCache>
                <c:ptCount val="1"/>
                <c:pt idx="0">
                  <c:v>Average of Daily Returns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Tables'!$A$43:$A$54</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Tables'!$B$43:$B$54</c:f>
              <c:numCache>
                <c:formatCode>0.00000</c:formatCode>
                <c:ptCount val="11"/>
                <c:pt idx="0">
                  <c:v>-7.1758439566008061E-4</c:v>
                </c:pt>
                <c:pt idx="1">
                  <c:v>1.7702129131293832E-4</c:v>
                </c:pt>
                <c:pt idx="2">
                  <c:v>1.8025498557975531E-3</c:v>
                </c:pt>
                <c:pt idx="3">
                  <c:v>5.3848521292879775E-4</c:v>
                </c:pt>
                <c:pt idx="4">
                  <c:v>1.7746587000774673E-3</c:v>
                </c:pt>
                <c:pt idx="5">
                  <c:v>1.0070079691390338E-2</c:v>
                </c:pt>
                <c:pt idx="6">
                  <c:v>2.5898310014847168E-3</c:v>
                </c:pt>
                <c:pt idx="7">
                  <c:v>-4.3199493580609819E-3</c:v>
                </c:pt>
                <c:pt idx="8">
                  <c:v>3.8761857894046236E-3</c:v>
                </c:pt>
                <c:pt idx="9">
                  <c:v>2.4685602944369478E-3</c:v>
                </c:pt>
                <c:pt idx="10">
                  <c:v>-3.6478321664259027E-3</c:v>
                </c:pt>
              </c:numCache>
            </c:numRef>
          </c:val>
          <c:smooth val="0"/>
          <c:extLst>
            <c:ext xmlns:c16="http://schemas.microsoft.com/office/drawing/2014/chart" uri="{C3380CC4-5D6E-409C-BE32-E72D297353CC}">
              <c16:uniqueId val="{00000000-2FDD-4D1C-9D21-70C10B6E0532}"/>
            </c:ext>
          </c:extLst>
        </c:ser>
        <c:ser>
          <c:idx val="1"/>
          <c:order val="1"/>
          <c:tx>
            <c:strRef>
              <c:f>'Pivot Tables'!$C$42</c:f>
              <c:strCache>
                <c:ptCount val="1"/>
                <c:pt idx="0">
                  <c:v>StdDev of Daily Returns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Tables'!$A$43:$A$54</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Tables'!$C$43:$C$54</c:f>
              <c:numCache>
                <c:formatCode>0.00000</c:formatCode>
                <c:ptCount val="11"/>
                <c:pt idx="0">
                  <c:v>2.8514114223610856E-2</c:v>
                </c:pt>
                <c:pt idx="1">
                  <c:v>2.4049249936928214E-2</c:v>
                </c:pt>
                <c:pt idx="2">
                  <c:v>2.2300076436628312E-2</c:v>
                </c:pt>
                <c:pt idx="3">
                  <c:v>3.7010568745762959E-2</c:v>
                </c:pt>
                <c:pt idx="4">
                  <c:v>3.0801899513090748E-2</c:v>
                </c:pt>
                <c:pt idx="5">
                  <c:v>5.6272880381092044E-2</c:v>
                </c:pt>
                <c:pt idx="6">
                  <c:v>3.5442721068413542E-2</c:v>
                </c:pt>
                <c:pt idx="7">
                  <c:v>4.1749267225423325E-2</c:v>
                </c:pt>
                <c:pt idx="8">
                  <c:v>3.3099977127708347E-2</c:v>
                </c:pt>
                <c:pt idx="9">
                  <c:v>4.0197801252630935E-2</c:v>
                </c:pt>
                <c:pt idx="10">
                  <c:v>8.5105252274323764E-2</c:v>
                </c:pt>
              </c:numCache>
            </c:numRef>
          </c:val>
          <c:smooth val="0"/>
          <c:extLst>
            <c:ext xmlns:c16="http://schemas.microsoft.com/office/drawing/2014/chart" uri="{C3380CC4-5D6E-409C-BE32-E72D297353CC}">
              <c16:uniqueId val="{00000001-2FDD-4D1C-9D21-70C10B6E0532}"/>
            </c:ext>
          </c:extLst>
        </c:ser>
        <c:dLbls>
          <c:showLegendKey val="0"/>
          <c:showVal val="0"/>
          <c:showCatName val="0"/>
          <c:showSerName val="0"/>
          <c:showPercent val="0"/>
          <c:showBubbleSize val="0"/>
        </c:dLbls>
        <c:marker val="1"/>
        <c:smooth val="0"/>
        <c:axId val="387183672"/>
        <c:axId val="387178096"/>
      </c:lineChart>
      <c:catAx>
        <c:axId val="38718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78096"/>
        <c:crosses val="autoZero"/>
        <c:auto val="1"/>
        <c:lblAlgn val="ctr"/>
        <c:lblOffset val="100"/>
        <c:noMultiLvlLbl val="0"/>
      </c:catAx>
      <c:valAx>
        <c:axId val="38717809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83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[Tesla Stock Price Analysis.xlsx]Pivot Tables!PivotTable3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Volume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Tables'!$B$74</c:f>
              <c:strCache>
                <c:ptCount val="1"/>
                <c:pt idx="0">
                  <c:v>Total</c:v>
                </c:pt>
              </c:strCache>
            </c:strRef>
          </c:tx>
          <c:spPr>
            <a:solidFill>
              <a:schemeClr val="accent1"/>
            </a:solidFill>
            <a:ln>
              <a:noFill/>
            </a:ln>
            <a:effectLst/>
          </c:spPr>
          <c:invertIfNegative val="0"/>
          <c:cat>
            <c:strRef>
              <c:f>'Pivot Tables'!$A$75:$A$86</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Tables'!$B$75:$B$86</c:f>
              <c:numCache>
                <c:formatCode>0</c:formatCode>
                <c:ptCount val="11"/>
                <c:pt idx="0">
                  <c:v>3737425.609375</c:v>
                </c:pt>
                <c:pt idx="1">
                  <c:v>4602061.0912698414</c:v>
                </c:pt>
                <c:pt idx="2">
                  <c:v>6334939.8486055778</c:v>
                </c:pt>
                <c:pt idx="3">
                  <c:v>8583576.4183266927</c:v>
                </c:pt>
                <c:pt idx="4">
                  <c:v>9193539.8095238097</c:v>
                </c:pt>
                <c:pt idx="5">
                  <c:v>29836881.845849801</c:v>
                </c:pt>
                <c:pt idx="6">
                  <c:v>27398330.404761903</c:v>
                </c:pt>
                <c:pt idx="7">
                  <c:v>50551494.266932271</c:v>
                </c:pt>
                <c:pt idx="8">
                  <c:v>137375221.088</c:v>
                </c:pt>
                <c:pt idx="9">
                  <c:v>94857230.099206343</c:v>
                </c:pt>
                <c:pt idx="10">
                  <c:v>101931570.21081081</c:v>
                </c:pt>
              </c:numCache>
            </c:numRef>
          </c:val>
          <c:extLst>
            <c:ext xmlns:c16="http://schemas.microsoft.com/office/drawing/2014/chart" uri="{C3380CC4-5D6E-409C-BE32-E72D297353CC}">
              <c16:uniqueId val="{00000000-18CF-4171-8986-A7F79D6DECAD}"/>
            </c:ext>
          </c:extLst>
        </c:ser>
        <c:dLbls>
          <c:showLegendKey val="0"/>
          <c:showVal val="0"/>
          <c:showCatName val="0"/>
          <c:showSerName val="0"/>
          <c:showPercent val="0"/>
          <c:showBubbleSize val="0"/>
        </c:dLbls>
        <c:gapWidth val="219"/>
        <c:overlap val="-27"/>
        <c:axId val="387745240"/>
        <c:axId val="387749832"/>
      </c:barChart>
      <c:catAx>
        <c:axId val="387745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49832"/>
        <c:crosses val="autoZero"/>
        <c:auto val="1"/>
        <c:lblAlgn val="ctr"/>
        <c:lblOffset val="100"/>
        <c:noMultiLvlLbl val="0"/>
      </c:catAx>
      <c:valAx>
        <c:axId val="387749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a:t>
                </a:r>
                <a:r>
                  <a:rPr lang="en-US" baseline="0"/>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45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Stock Price 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Growth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Tables'!$B$26:$B$37</c:f>
              <c:numCache>
                <c:formatCode>General</c:formatCode>
                <c:ptCount val="11"/>
                <c:pt idx="0">
                  <c:v>16.5</c:v>
                </c:pt>
                <c:pt idx="1">
                  <c:v>15.38</c:v>
                </c:pt>
                <c:pt idx="2">
                  <c:v>14.32</c:v>
                </c:pt>
                <c:pt idx="3">
                  <c:v>20.8</c:v>
                </c:pt>
                <c:pt idx="4">
                  <c:v>20.41</c:v>
                </c:pt>
                <c:pt idx="5">
                  <c:v>28.3</c:v>
                </c:pt>
                <c:pt idx="6">
                  <c:v>239.82</c:v>
                </c:pt>
                <c:pt idx="7">
                  <c:v>382.58</c:v>
                </c:pt>
                <c:pt idx="8">
                  <c:v>118.47</c:v>
                </c:pt>
                <c:pt idx="9">
                  <c:v>250.08</c:v>
                </c:pt>
                <c:pt idx="10">
                  <c:v>390.1</c:v>
                </c:pt>
              </c:numCache>
            </c:numRef>
          </c:val>
          <c:smooth val="0"/>
          <c:extLst>
            <c:ext xmlns:c16="http://schemas.microsoft.com/office/drawing/2014/chart" uri="{C3380CC4-5D6E-409C-BE32-E72D297353CC}">
              <c16:uniqueId val="{00000000-8DAD-44AF-8788-DA5810CBDE63}"/>
            </c:ext>
          </c:extLst>
        </c:ser>
        <c:dLbls>
          <c:showLegendKey val="0"/>
          <c:showVal val="0"/>
          <c:showCatName val="0"/>
          <c:showSerName val="0"/>
          <c:showPercent val="0"/>
          <c:showBubbleSize val="0"/>
        </c:dLbls>
        <c:marker val="1"/>
        <c:smooth val="0"/>
        <c:axId val="478063000"/>
        <c:axId val="478055784"/>
      </c:lineChart>
      <c:catAx>
        <c:axId val="478063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55784"/>
        <c:crosses val="autoZero"/>
        <c:auto val="1"/>
        <c:lblAlgn val="ctr"/>
        <c:lblOffset val="100"/>
        <c:noMultiLvlLbl val="0"/>
      </c:catAx>
      <c:valAx>
        <c:axId val="478055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Open</a:t>
                </a:r>
                <a:r>
                  <a:rPr lang="en-US" baseline="0"/>
                  <a:t>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63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242887</xdr:colOff>
      <xdr:row>1</xdr:row>
      <xdr:rowOff>66675</xdr:rowOff>
    </xdr:from>
    <xdr:to>
      <xdr:col>16</xdr:col>
      <xdr:colOff>371474</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404811</xdr:colOff>
      <xdr:row>40</xdr:row>
      <xdr:rowOff>66675</xdr:rowOff>
    </xdr:from>
    <xdr:to>
      <xdr:col>17</xdr:col>
      <xdr:colOff>409574</xdr:colOff>
      <xdr:row>57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771525</xdr:colOff>
      <xdr:row>72</xdr:row>
      <xdr:rowOff>76200</xdr:rowOff>
    </xdr:from>
    <xdr:to>
      <xdr:col>13</xdr:col>
      <xdr:colOff>161925</xdr:colOff>
      <xdr:row>88</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819150</xdr:colOff>
      <xdr:row>21</xdr:row>
      <xdr:rowOff>95250</xdr:rowOff>
    </xdr:from>
    <xdr:to>
      <xdr:col>14</xdr:col>
      <xdr:colOff>123825</xdr:colOff>
      <xdr:row>38</xdr:row>
      <xdr:rowOff>85725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6</xdr:row>
      <xdr:rowOff>19050</xdr:rowOff>
    </xdr:from>
    <xdr:to>
      <xdr:col>11</xdr:col>
      <xdr:colOff>485775</xdr:colOff>
      <xdr:row>23</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23</xdr:row>
      <xdr:rowOff>123826</xdr:rowOff>
    </xdr:from>
    <xdr:to>
      <xdr:col>11</xdr:col>
      <xdr:colOff>495300</xdr:colOff>
      <xdr:row>40</xdr:row>
      <xdr:rowOff>19051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504824</xdr:colOff>
      <xdr:row>23</xdr:row>
      <xdr:rowOff>114300</xdr:rowOff>
    </xdr:from>
    <xdr:to>
      <xdr:col>21</xdr:col>
      <xdr:colOff>133349</xdr:colOff>
      <xdr:row>40</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6</xdr:row>
      <xdr:rowOff>9525</xdr:rowOff>
    </xdr:from>
    <xdr:to>
      <xdr:col>2</xdr:col>
      <xdr:colOff>514351</xdr:colOff>
      <xdr:row>23</xdr:row>
      <xdr:rowOff>123825</xdr:rowOff>
    </xdr:to>
    <mc:AlternateContent xmlns:mc="http://schemas.openxmlformats.org/markup-compatibility/2006" xmlns:a14="http://schemas.microsoft.com/office/drawing/2010/main">
      <mc:Choice Requires="a14">
        <xdr:graphicFrame macro="">
          <xdr:nvGraphicFramePr>
            <xdr:cNvPr id="27" name="Year "/>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19051" y="981075"/>
              <a:ext cx="1714500" cy="286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23</xdr:row>
      <xdr:rowOff>142876</xdr:rowOff>
    </xdr:from>
    <xdr:to>
      <xdr:col>2</xdr:col>
      <xdr:colOff>504824</xdr:colOff>
      <xdr:row>40</xdr:row>
      <xdr:rowOff>9525</xdr:rowOff>
    </xdr:to>
    <mc:AlternateContent xmlns:mc="http://schemas.openxmlformats.org/markup-compatibility/2006" xmlns:a14="http://schemas.microsoft.com/office/drawing/2010/main">
      <mc:Choice Requires="a14">
        <xdr:graphicFrame macro="">
          <xdr:nvGraphicFramePr>
            <xdr:cNvPr id="28"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049" y="3867151"/>
              <a:ext cx="1704975" cy="2619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495300</xdr:colOff>
      <xdr:row>6</xdr:row>
      <xdr:rowOff>9525</xdr:rowOff>
    </xdr:from>
    <xdr:to>
      <xdr:col>21</xdr:col>
      <xdr:colOff>133350</xdr:colOff>
      <xdr:row>23</xdr:row>
      <xdr:rowOff>95250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133350</xdr:colOff>
      <xdr:row>6</xdr:row>
      <xdr:rowOff>19049</xdr:rowOff>
    </xdr:from>
    <xdr:to>
      <xdr:col>24</xdr:col>
      <xdr:colOff>133350</xdr:colOff>
      <xdr:row>23</xdr:row>
      <xdr:rowOff>114299</xdr:rowOff>
    </xdr:to>
    <mc:AlternateContent xmlns:mc="http://schemas.openxmlformats.org/markup-compatibility/2006" xmlns:a14="http://schemas.microsoft.com/office/drawing/2010/main">
      <mc:Choice Requires="a14">
        <xdr:graphicFrame macro="">
          <xdr:nvGraphicFramePr>
            <xdr:cNvPr id="3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934950" y="990599"/>
              <a:ext cx="1828800" cy="2847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152400</xdr:colOff>
      <xdr:row>23</xdr:row>
      <xdr:rowOff>123824</xdr:rowOff>
    </xdr:from>
    <xdr:to>
      <xdr:col>24</xdr:col>
      <xdr:colOff>152400</xdr:colOff>
      <xdr:row>40</xdr:row>
      <xdr:rowOff>0</xdr:rowOff>
    </xdr:to>
    <mc:AlternateContent xmlns:mc="http://schemas.openxmlformats.org/markup-compatibility/2006" xmlns:a14="http://schemas.microsoft.com/office/drawing/2010/main">
      <mc:Choice Requires="a14">
        <xdr:graphicFrame macro="">
          <xdr:nvGraphicFramePr>
            <xdr:cNvPr id="31"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2954000" y="3848099"/>
              <a:ext cx="1828800" cy="2628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Tesla%20Stock%20Price%20Last%2010%20Years.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assan Al-Qadi" refreshedDate="45934.419341782406" createdVersion="6" refreshedVersion="6" minRefreshableVersion="3" recordCount="2513">
  <cacheSource type="worksheet">
    <worksheetSource ref="A1:H2514" sheet="Working Sheet"/>
  </cacheSource>
  <cacheFields count="8">
    <cacheField name="Date" numFmtId="165">
      <sharedItems containsSemiMixedTypes="0" containsNonDate="0" containsDate="1" containsString="0" minDate="2015-10-01T00:00:00" maxDate="2025-10-01T00:00:00" count="2513">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d v="2018-02-08T00:00:00"/>
        <d v="2018-02-09T00:00:00"/>
        <d v="2018-02-12T00:00:00"/>
        <d v="2018-02-13T00:00:00"/>
        <d v="2018-02-14T00:00:00"/>
        <d v="2018-02-15T00:00:00"/>
        <d v="2018-02-16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3-29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d v="2018-08-20T00:00:00"/>
        <d v="2018-08-21T00:00:00"/>
        <d v="2018-08-22T00:00:00"/>
        <d v="2018-08-23T00:00:00"/>
        <d v="2018-08-24T00:00:00"/>
        <d v="2018-08-27T00:00:00"/>
        <d v="2018-08-28T00:00:00"/>
        <d v="2018-08-29T00:00:00"/>
        <d v="2018-08-30T00:00:00"/>
        <d v="2018-08-31T00:00:00"/>
        <d v="2018-09-04T00:00:00"/>
        <d v="2018-09-05T00:00:00"/>
        <d v="2018-09-06T00:00:00"/>
        <d v="2018-09-07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8T00:00:00"/>
        <d v="2018-11-09T00:00:00"/>
        <d v="2018-11-12T00:00:00"/>
        <d v="2018-11-13T00:00:00"/>
        <d v="2018-11-14T00:00:00"/>
        <d v="2018-11-15T00:00:00"/>
        <d v="2018-11-16T00:00:00"/>
        <d v="2018-11-19T00:00:00"/>
        <d v="2018-11-20T00:00:00"/>
        <d v="2018-11-21T00:00:00"/>
        <d v="2018-11-23T00:00:00"/>
        <d v="2018-11-26T00:00:00"/>
        <d v="2018-11-27T00:00:00"/>
        <d v="2018-11-28T00:00:00"/>
        <d v="2018-11-29T00:00:00"/>
        <d v="2018-11-30T00:00:00"/>
        <d v="2018-12-03T00:00:00"/>
        <d v="2018-12-04T00:00:00"/>
        <d v="2018-12-06T00:00:00"/>
        <d v="2018-12-07T00:00:00"/>
        <d v="2018-12-10T00:00:00"/>
        <d v="2018-12-11T00:00:00"/>
        <d v="2018-12-12T00:00:00"/>
        <d v="2018-12-13T00:00:00"/>
        <d v="2018-12-14T00:00:00"/>
        <d v="2018-12-17T00:00:00"/>
        <d v="2018-12-18T00:00:00"/>
        <d v="2018-12-19T00:00:00"/>
        <d v="2018-12-20T00:00:00"/>
        <d v="2018-12-21T00:00:00"/>
        <d v="2018-12-24T00:00:00"/>
        <d v="2018-12-26T00:00:00"/>
        <d v="2018-12-27T00:00:00"/>
        <d v="2018-12-28T00:00:00"/>
        <d v="2018-12-31T00:00:00"/>
        <d v="2019-01-02T00:00:00"/>
        <d v="2019-01-03T00:00:00"/>
        <d v="2019-01-04T00:00:00"/>
        <d v="2019-01-07T00:00:00"/>
        <d v="2019-01-08T00:00:00"/>
        <d v="2019-01-09T00:00:00"/>
        <d v="2019-01-10T00:00:00"/>
        <d v="2019-01-11T00:00:00"/>
        <d v="2019-01-14T00:00:00"/>
        <d v="2019-01-15T00:00:00"/>
        <d v="2019-01-16T00:00:00"/>
        <d v="2019-01-17T00:00:00"/>
        <d v="2019-01-18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22T00:00:00"/>
        <d v="2019-04-23T00:00:00"/>
        <d v="2019-04-24T00:00:00"/>
        <d v="2019-04-25T00:00:00"/>
        <d v="2019-04-26T00:00:00"/>
        <d v="2019-04-29T00:00:00"/>
        <d v="2019-04-30T00:00:00"/>
        <d v="2019-05-01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d v="2020-01-02T00:00:00"/>
        <d v="2020-01-03T00:00:00"/>
        <d v="2020-01-06T00:00:00"/>
        <d v="2020-01-07T00:00:00"/>
        <d v="2020-01-08T00:00:00"/>
        <d v="2020-01-09T00:00:00"/>
        <d v="2020-01-10T00:00:00"/>
        <d v="2020-01-13T00:00:00"/>
        <d v="2020-01-14T00:00:00"/>
        <d v="2020-01-15T00:00:00"/>
        <d v="2020-01-16T00:00:00"/>
        <d v="2020-01-17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2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7T00:00:00"/>
        <d v="2020-11-30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d v="2022-01-03T00:00:00"/>
        <d v="2022-01-04T00:00:00"/>
        <d v="2022-01-05T00:00:00"/>
        <d v="2022-01-06T00:00:00"/>
        <d v="2022-01-07T00:00:00"/>
        <d v="2022-01-10T00:00:00"/>
        <d v="2022-01-11T00:00:00"/>
        <d v="2022-01-12T00:00:00"/>
        <d v="2022-01-13T00:00:00"/>
        <d v="2022-01-14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22-03-25T00:00:00"/>
        <d v="2022-03-28T00:00:00"/>
        <d v="2022-03-29T00:00:00"/>
        <d v="2022-03-30T00:00:00"/>
        <d v="2022-03-31T00:00:00"/>
        <d v="2022-04-01T00:00:00"/>
        <d v="2022-04-04T00:00:00"/>
        <d v="2022-04-05T00:00:00"/>
        <d v="2022-04-06T00:00:00"/>
        <d v="2022-04-07T00:00:00"/>
        <d v="2022-04-08T00:00:00"/>
        <d v="2022-04-11T00:00:00"/>
        <d v="2022-04-12T00:00:00"/>
        <d v="2022-04-13T00:00:00"/>
        <d v="2022-04-14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3T00:00:00"/>
        <d v="2022-05-24T00:00:00"/>
        <d v="2022-05-25T00:00:00"/>
        <d v="2022-05-26T00:00:00"/>
        <d v="2022-05-27T00:00:00"/>
        <d v="2022-05-31T00:00:00"/>
        <d v="2022-06-01T00:00:00"/>
        <d v="2022-06-02T00:00:00"/>
        <d v="2022-06-03T00:00:00"/>
        <d v="2022-06-06T00:00:00"/>
        <d v="2022-06-07T00:00:00"/>
        <d v="2022-06-08T00:00:00"/>
        <d v="2022-06-09T00:00:00"/>
        <d v="2022-06-10T00:00:00"/>
        <d v="2022-06-13T00:00:00"/>
        <d v="2022-06-14T00:00:00"/>
        <d v="2022-06-15T00:00:00"/>
        <d v="2022-06-16T00:00:00"/>
        <d v="2022-06-17T00:00:00"/>
        <d v="2022-06-21T00:00:00"/>
        <d v="2022-06-22T00:00:00"/>
        <d v="2022-06-23T00:00:00"/>
        <d v="2022-06-24T00:00:00"/>
        <d v="2022-06-27T00:00:00"/>
        <d v="2022-06-28T00:00:00"/>
        <d v="2022-06-29T00:00:00"/>
        <d v="2022-06-30T00:00:00"/>
        <d v="2022-07-01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d v="2022-09-01T00:00:00"/>
        <d v="2022-09-02T00:00:00"/>
        <d v="2022-09-06T00:00:00"/>
        <d v="2022-09-07T00:00:00"/>
        <d v="2022-09-08T00:00:00"/>
        <d v="2022-09-09T00:00:00"/>
        <d v="2022-09-12T00:00:00"/>
        <d v="2022-09-13T00:00:00"/>
        <d v="2022-09-14T00:00:00"/>
        <d v="2022-09-15T00:00:00"/>
        <d v="2022-09-16T00:00:00"/>
        <d v="2022-09-19T00:00:00"/>
        <d v="2022-09-20T00:00:00"/>
        <d v="2022-09-21T00:00:00"/>
        <d v="2022-09-22T00:00:00"/>
        <d v="2022-09-23T00:00:00"/>
        <d v="2022-09-26T00:00:00"/>
        <d v="2022-09-27T00:00:00"/>
        <d v="2022-09-28T00:00:00"/>
        <d v="2022-09-29T00:00:00"/>
        <d v="2022-09-30T00:00:00"/>
        <d v="2022-10-03T00:00:00"/>
        <d v="2022-10-04T00:00:00"/>
        <d v="2022-10-05T00:00:00"/>
        <d v="2022-10-06T00:00:00"/>
        <d v="2022-10-07T00:00:00"/>
        <d v="2022-10-10T00:00:00"/>
        <d v="2022-10-11T00:00:00"/>
        <d v="2022-10-12T00:00:00"/>
        <d v="2022-10-13T00:00:00"/>
        <d v="2022-10-14T00:00:00"/>
        <d v="2022-10-17T00:00:00"/>
        <d v="2022-10-18T00:00:00"/>
        <d v="2022-10-19T00:00:00"/>
        <d v="2022-10-20T00:00:00"/>
        <d v="2022-10-21T00:00:00"/>
        <d v="2022-10-24T00:00:00"/>
        <d v="2022-10-25T00:00:00"/>
        <d v="2022-10-26T00:00:00"/>
        <d v="2022-10-27T00:00:00"/>
        <d v="2022-10-28T00:00:00"/>
        <d v="2022-10-31T00:00:00"/>
        <d v="2022-11-01T00:00:00"/>
        <d v="2022-11-02T00:00:00"/>
        <d v="2022-11-03T00:00:00"/>
        <d v="2022-11-04T00:00:00"/>
        <d v="2022-11-07T00:00:00"/>
        <d v="2022-11-08T00:00:00"/>
        <d v="2022-11-09T00:00:00"/>
        <d v="2022-11-10T00:00:00"/>
        <d v="2022-11-11T00:00:00"/>
        <d v="2022-11-14T00:00:00"/>
        <d v="2022-11-15T00:00:00"/>
        <d v="2022-11-16T00:00:00"/>
        <d v="2022-11-17T00:00:00"/>
        <d v="2022-11-18T00:00:00"/>
        <d v="2022-11-21T00:00:00"/>
        <d v="2022-11-22T00:00:00"/>
        <d v="2022-11-23T00:00:00"/>
        <d v="2022-11-25T00:00:00"/>
        <d v="2022-11-28T00:00:00"/>
        <d v="2022-11-29T00:00:00"/>
        <d v="2022-11-30T00:00:00"/>
        <d v="2022-12-01T00:00:00"/>
        <d v="2022-12-02T00:00:00"/>
        <d v="2022-12-05T00:00:00"/>
        <d v="2022-12-06T00:00:00"/>
        <d v="2022-12-07T00:00:00"/>
        <d v="2022-12-08T00:00:00"/>
        <d v="2022-12-09T00:00:00"/>
        <d v="2022-12-12T00:00:00"/>
        <d v="2022-12-13T00:00:00"/>
        <d v="2022-12-14T00:00:00"/>
        <d v="2022-12-15T00:00:00"/>
        <d v="2022-12-16T00:00:00"/>
        <d v="2022-12-19T00:00:00"/>
        <d v="2022-12-20T00:00:00"/>
        <d v="2022-12-21T00:00:00"/>
        <d v="2022-12-22T00:00:00"/>
        <d v="2022-12-23T00:00:00"/>
        <d v="2022-12-27T00:00:00"/>
        <d v="2022-12-28T00:00:00"/>
        <d v="2022-12-29T00:00:00"/>
        <d v="2022-12-30T00:00:00"/>
        <d v="2023-01-03T00:00:00"/>
        <d v="2023-01-04T00:00:00"/>
        <d v="2023-01-05T00:00:00"/>
        <d v="2023-01-06T00:00:00"/>
        <d v="2023-01-09T00:00:00"/>
        <d v="2023-01-10T00:00:00"/>
        <d v="2023-01-11T00:00:00"/>
        <d v="2023-01-12T00:00:00"/>
        <d v="2023-01-13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30T00:00:00"/>
        <d v="2023-05-31T00:00:00"/>
        <d v="2023-06-01T00:00:00"/>
        <d v="2023-06-02T00:00:00"/>
        <d v="2023-06-05T00:00:00"/>
        <d v="2023-06-06T00:00:00"/>
        <d v="2023-06-07T00:00:00"/>
        <d v="2023-06-08T00:00:00"/>
        <d v="2023-06-09T00:00:00"/>
        <d v="2023-06-12T00:00:00"/>
        <d v="2023-06-13T00:00:00"/>
        <d v="2023-06-14T00:00:00"/>
        <d v="2023-06-15T00:00:00"/>
        <d v="2023-06-16T00:00:00"/>
        <d v="2023-06-20T00:00:00"/>
        <d v="2023-06-21T00:00:00"/>
        <d v="2023-06-22T00:00:00"/>
        <d v="2023-06-23T00:00:00"/>
        <d v="2023-06-26T00:00:00"/>
        <d v="2023-06-27T00:00:00"/>
        <d v="2023-06-28T00:00:00"/>
        <d v="2023-06-29T00:00:00"/>
        <d v="2023-06-30T00:00:00"/>
        <d v="2023-07-03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6T00:00:00"/>
        <d v="2023-12-27T00:00:00"/>
        <d v="2023-12-28T00:00:00"/>
        <d v="2023-12-29T00:00:00"/>
        <d v="2024-01-02T00:00:00"/>
        <d v="2024-01-03T00:00:00"/>
        <d v="2024-01-04T00:00:00"/>
        <d v="2024-01-05T00:00:00"/>
        <d v="2024-01-08T00:00:00"/>
        <d v="2024-01-09T00:00:00"/>
        <d v="2024-01-10T00:00:00"/>
        <d v="2024-01-11T00:00:00"/>
        <d v="2024-01-12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7T00:00:00"/>
        <d v="2024-06-18T00:00:00"/>
        <d v="2024-06-20T00:00:00"/>
        <d v="2024-06-21T00:00:00"/>
        <d v="2024-06-24T00:00:00"/>
        <d v="2024-06-25T00:00:00"/>
        <d v="2024-06-26T00:00:00"/>
        <d v="2024-06-27T00:00:00"/>
        <d v="2024-06-28T00:00:00"/>
        <d v="2024-07-01T00:00:00"/>
        <d v="2024-07-02T00:00:00"/>
        <d v="2024-07-03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8-01T00:00:00"/>
        <d v="2024-08-02T00:00:00"/>
        <d v="2024-08-05T00:00:00"/>
        <d v="2024-08-06T00:00:00"/>
        <d v="2024-08-07T00:00:00"/>
        <d v="2024-08-08T00:00:00"/>
        <d v="2024-08-09T00:00:00"/>
        <d v="2024-08-12T00:00:00"/>
        <d v="2024-08-13T00:00:00"/>
        <d v="2024-08-14T00:00:00"/>
        <d v="2024-08-15T00:00:00"/>
        <d v="2024-08-16T00:00:00"/>
        <d v="2024-08-19T00:00:00"/>
        <d v="2024-08-20T00:00:00"/>
        <d v="2024-08-21T00:00:00"/>
        <d v="2024-08-22T00:00:00"/>
        <d v="2024-08-23T00:00:00"/>
        <d v="2024-08-26T00:00:00"/>
        <d v="2024-08-27T00:00:00"/>
        <d v="2024-08-28T00:00:00"/>
        <d v="2024-08-29T00:00:00"/>
        <d v="2024-08-30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d v="2024-10-01T00:00:00"/>
        <d v="2024-10-02T00:00:00"/>
        <d v="2024-10-03T00:00:00"/>
        <d v="2024-10-04T00:00:00"/>
        <d v="2024-10-07T00:00:00"/>
        <d v="2024-10-08T00:00:00"/>
        <d v="2024-10-09T00:00:00"/>
        <d v="2024-10-10T00:00:00"/>
        <d v="2024-10-11T00:00:00"/>
        <d v="2024-10-14T00:00:00"/>
        <d v="2024-10-15T00:00:00"/>
        <d v="2024-10-16T00:00:00"/>
        <d v="2024-10-17T00:00:00"/>
        <d v="2024-10-18T00:00:00"/>
        <d v="2024-10-21T00:00:00"/>
        <d v="2024-10-22T00:00:00"/>
        <d v="2024-10-23T00:00:00"/>
        <d v="2024-10-24T00:00:00"/>
        <d v="2024-10-25T00:00:00"/>
        <d v="2024-10-28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5T00:00:00"/>
        <d v="2024-11-26T00:00:00"/>
        <d v="2024-11-27T00:00:00"/>
        <d v="2024-11-29T00:00:00"/>
        <d v="2024-12-02T00:00:00"/>
        <d v="2024-12-03T00:00:00"/>
        <d v="2024-12-04T00:00:00"/>
        <d v="2024-12-05T00:00:00"/>
        <d v="2024-12-06T00:00:00"/>
        <d v="2024-12-09T00:00:00"/>
        <d v="2024-12-10T00:00:00"/>
        <d v="2024-12-11T00:00:00"/>
        <d v="2024-12-12T00:00:00"/>
        <d v="2024-12-13T00:00:00"/>
        <d v="2024-12-16T00:00:00"/>
        <d v="2024-12-17T00:00:00"/>
        <d v="2024-12-18T00:00:00"/>
        <d v="2024-12-19T00:00:00"/>
        <d v="2024-12-20T00:00:00"/>
        <d v="2024-12-23T00:00:00"/>
        <d v="2024-12-24T00:00:00"/>
        <d v="2024-12-26T00:00:00"/>
        <d v="2024-12-27T00:00:00"/>
        <d v="2024-12-30T00:00:00"/>
        <d v="2024-12-31T00:00:00"/>
        <d v="2025-01-02T00:00:00"/>
        <d v="2025-01-03T00:00:00"/>
        <d v="2025-01-06T00:00:00"/>
        <d v="2025-01-07T00:00:00"/>
        <d v="2025-01-08T00:00:00"/>
        <d v="2025-01-10T00:00:00"/>
        <d v="2025-01-13T00:00:00"/>
        <d v="2025-01-14T00:00:00"/>
        <d v="2025-01-15T00:00:00"/>
        <d v="2025-01-16T00:00:00"/>
        <d v="2025-01-17T00:00:00"/>
        <d v="2025-01-21T00:00:00"/>
        <d v="2025-01-22T00:00:00"/>
        <d v="2025-01-23T00:00:00"/>
        <d v="2025-01-24T00:00:00"/>
        <d v="2025-01-27T00:00:00"/>
        <d v="2025-01-28T00:00:00"/>
        <d v="2025-01-29T00:00:00"/>
        <d v="2025-01-30T00:00:00"/>
        <d v="2025-01-31T00:00:00"/>
        <d v="2025-02-03T00:00:00"/>
        <d v="2025-02-04T00:00:00"/>
        <d v="2025-02-05T00:00:00"/>
        <d v="2025-02-06T00:00:00"/>
        <d v="2025-02-07T00:00:00"/>
        <d v="2025-02-10T00:00:00"/>
        <d v="2025-02-11T00:00:00"/>
        <d v="2025-02-12T00:00:00"/>
        <d v="2025-02-13T00:00:00"/>
        <d v="2025-02-14T00:00:00"/>
        <d v="2025-02-18T00:00:00"/>
        <d v="2025-02-19T00:00:00"/>
        <d v="2025-02-20T00:00:00"/>
        <d v="2025-02-21T00:00:00"/>
        <d v="2025-02-24T00:00:00"/>
        <d v="2025-02-25T00:00:00"/>
        <d v="2025-02-26T00:00:00"/>
        <d v="2025-02-27T00:00:00"/>
        <d v="2025-02-28T00:00:00"/>
        <d v="2025-03-03T00:00:00"/>
        <d v="2025-03-04T00:00:00"/>
        <d v="2025-03-05T00:00:00"/>
        <d v="2025-03-06T00:00:00"/>
        <d v="2025-03-07T00:00:00"/>
        <d v="2025-03-10T00:00:00"/>
        <d v="2025-03-11T00:00:00"/>
        <d v="2025-03-12T00:00:00"/>
        <d v="2025-03-13T00:00:00"/>
        <d v="2025-03-14T00:00:00"/>
        <d v="2025-03-17T00:00:00"/>
        <d v="2025-03-18T00:00:00"/>
        <d v="2025-03-19T00:00:00"/>
        <d v="2025-03-20T00:00:00"/>
        <d v="2025-03-21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1T00:00:00"/>
        <d v="2025-04-14T00:00:00"/>
        <d v="2025-04-15T00:00:00"/>
        <d v="2025-04-16T00:00:00"/>
        <d v="2025-04-17T00:00:00"/>
        <d v="2025-04-21T00:00:00"/>
        <d v="2025-04-22T00:00:00"/>
        <d v="2025-04-23T00:00:00"/>
        <d v="2025-04-24T00:00:00"/>
        <d v="2025-04-25T00:00:00"/>
        <d v="2025-04-28T00:00:00"/>
        <d v="2025-04-29T00:00:00"/>
        <d v="2025-04-30T00:00:00"/>
        <d v="2025-05-01T00:00:00"/>
        <d v="2025-05-02T00:00:00"/>
        <d v="2025-05-05T00:00:00"/>
        <d v="2025-05-06T00:00:00"/>
        <d v="2025-05-07T00:00:00"/>
        <d v="2025-05-08T00:00:00"/>
        <d v="2025-05-09T00:00:00"/>
        <d v="2025-05-12T00:00:00"/>
        <d v="2025-05-13T00:00:00"/>
        <d v="2025-05-14T00:00:00"/>
        <d v="2025-05-15T00:00:00"/>
        <d v="2025-05-16T00:00:00"/>
        <d v="2025-05-19T00:00:00"/>
        <d v="2025-05-20T00:00:00"/>
        <d v="2025-05-21T00:00:00"/>
        <d v="2025-05-22T00:00:00"/>
        <d v="2025-05-23T00:00:00"/>
        <d v="2025-05-27T00:00:00"/>
        <d v="2025-05-28T00:00:00"/>
        <d v="2025-05-29T00:00:00"/>
        <d v="2025-05-30T00:00:00"/>
        <d v="2025-06-02T00:00:00"/>
        <d v="2025-06-03T00:00:00"/>
        <d v="2025-06-04T00:00:00"/>
        <d v="2025-06-05T00:00:00"/>
        <d v="2025-06-06T00:00:00"/>
        <d v="2025-06-09T00:00:00"/>
        <d v="2025-06-10T00:00:00"/>
        <d v="2025-06-11T00:00:00"/>
        <d v="2025-06-12T00:00:00"/>
        <d v="2025-06-13T00:00:00"/>
        <d v="2025-06-16T00:00:00"/>
        <d v="2025-06-17T00:00:00"/>
        <d v="2025-06-18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18T00:00:00"/>
        <d v="2025-07-21T00:00:00"/>
        <d v="2025-07-22T00:00:00"/>
        <d v="2025-07-23T00:00:00"/>
        <d v="2025-07-24T00:00:00"/>
        <d v="2025-07-25T00:00:00"/>
        <d v="2025-07-28T00:00:00"/>
        <d v="2025-07-29T00:00:00"/>
        <d v="2025-07-30T00:00:00"/>
        <d v="2025-07-31T00:00:00"/>
        <d v="2025-08-01T00:00:00"/>
        <d v="2025-08-04T00:00:00"/>
        <d v="2025-08-05T00:00:00"/>
        <d v="2025-08-06T00:00:00"/>
        <d v="2025-08-07T00:00:00"/>
        <d v="2025-08-08T00:00:00"/>
        <d v="2025-08-11T00:00:00"/>
        <d v="2025-08-12T00:00:00"/>
        <d v="2025-08-13T00:00:00"/>
        <d v="2025-08-14T00:00:00"/>
        <d v="2025-08-15T00:00:00"/>
        <d v="2025-08-18T00:00:00"/>
        <d v="2025-08-19T00:00:00"/>
        <d v="2025-08-20T00:00:00"/>
        <d v="2025-08-21T00:00:00"/>
        <d v="2025-08-22T00:00:00"/>
        <d v="2025-08-25T00:00:00"/>
        <d v="2025-08-26T00:00:00"/>
        <d v="2025-08-27T00:00:00"/>
        <d v="2025-08-28T00:00:00"/>
        <d v="2025-08-29T00:00:00"/>
        <d v="2025-09-02T00:00:00"/>
        <d v="2025-09-03T00:00:00"/>
        <d v="2025-09-04T00:00:00"/>
        <d v="2025-09-05T00:00:00"/>
        <d v="2025-09-08T00:00:00"/>
        <d v="2025-09-09T00:00:00"/>
        <d v="2025-09-10T00:00:00"/>
        <d v="2025-09-11T00:00:00"/>
        <d v="2025-09-12T00:00:00"/>
        <d v="2025-09-15T00:00:00"/>
        <d v="2025-09-16T00:00:00"/>
        <d v="2025-09-17T00:00:00"/>
        <d v="2025-09-18T00:00:00"/>
        <d v="2025-09-19T00:00:00"/>
        <d v="2025-09-22T00:00:00"/>
        <d v="2025-09-23T00:00:00"/>
        <d v="2025-09-24T00:00:00"/>
        <d v="2025-09-26T00:00:00"/>
        <d v="2025-09-29T00:00:00"/>
        <d v="2025-09-30T00:00:00"/>
      </sharedItems>
    </cacheField>
    <cacheField name="Open" numFmtId="0">
      <sharedItems containsSemiMixedTypes="0" containsString="0" containsNumber="1" minValue="9.49" maxValue="475.9"/>
    </cacheField>
    <cacheField name="High" numFmtId="0">
      <sharedItems containsSemiMixedTypes="0" containsString="0" containsNumber="1" minValue="10.33" maxValue="488.54" count="2093">
        <n v="16.57"/>
        <n v="16.510000000000002"/>
        <n v="16.66"/>
        <n v="16.2"/>
        <n v="15.85"/>
        <n v="15.38"/>
        <n v="14.96"/>
        <n v="14.87"/>
        <n v="14.83"/>
        <n v="14.73"/>
        <n v="14.78"/>
        <n v="15.37"/>
        <n v="15.41"/>
        <n v="15.24"/>
        <n v="14.32"/>
        <n v="14.38"/>
        <n v="14.36"/>
        <n v="14.39"/>
        <n v="14.47"/>
        <n v="14.23"/>
        <n v="14.25"/>
        <n v="14.11"/>
        <n v="14.3"/>
        <n v="15.52"/>
        <n v="15.64"/>
        <n v="15.56"/>
        <n v="15.53"/>
        <n v="14.91"/>
        <n v="14.63"/>
        <n v="14.6"/>
        <n v="14.2"/>
        <n v="14.33"/>
        <n v="14.4"/>
        <n v="14.76"/>
        <n v="15.08"/>
        <n v="15"/>
        <n v="14.61"/>
        <n v="15.39"/>
        <n v="15.48"/>
        <n v="15.62"/>
        <n v="15.87"/>
        <n v="15.91"/>
        <n v="15.83"/>
        <n v="15.55"/>
        <n v="15.71"/>
        <n v="15.25"/>
        <n v="15.17"/>
        <n v="15.23"/>
        <n v="15.05"/>
        <n v="14.81"/>
        <n v="15.66"/>
        <n v="15.73"/>
        <n v="15.72"/>
        <n v="15.77"/>
        <n v="15.46"/>
        <n v="15.47"/>
        <n v="16.239999999999998"/>
        <n v="16.23"/>
        <n v="15.43"/>
        <n v="15.13"/>
        <n v="14.67"/>
        <n v="14.56"/>
        <n v="14.7"/>
        <n v="14.18"/>
        <n v="14"/>
        <n v="13.67"/>
        <n v="14.03"/>
        <n v="13.42"/>
        <n v="13.55"/>
        <n v="13.7"/>
        <n v="13.57"/>
        <n v="13.19"/>
        <n v="12.88"/>
        <n v="12.75"/>
        <n v="12.92"/>
        <n v="13.3"/>
        <n v="12.87"/>
        <n v="12.26"/>
        <n v="11.73"/>
        <n v="11.53"/>
        <n v="10.48"/>
        <n v="10.65"/>
        <n v="10.33"/>
        <n v="10.88"/>
        <n v="10.47"/>
        <n v="10.86"/>
        <n v="11.29"/>
        <n v="11.17"/>
        <n v="11.93"/>
        <n v="12.12"/>
        <n v="11.97"/>
        <n v="12.57"/>
        <n v="12.8"/>
        <n v="13.09"/>
        <n v="13.06"/>
        <n v="13.16"/>
        <n v="13.6"/>
        <n v="13.98"/>
        <n v="13.83"/>
        <n v="13.96"/>
        <n v="14.22"/>
        <n v="14.45"/>
        <n v="14.84"/>
        <n v="15.63"/>
        <n v="15.99"/>
        <n v="15.93"/>
        <n v="15.65"/>
        <n v="15.26"/>
        <n v="15.49"/>
        <n v="15.7"/>
        <n v="16.53"/>
        <n v="16.809999999999999"/>
        <n v="17.100000000000001"/>
        <n v="17.850000000000001"/>
        <n v="17.96"/>
        <n v="17.39"/>
        <n v="17.27"/>
        <n v="16.79"/>
        <n v="17.03"/>
        <n v="17.12"/>
        <n v="16.97"/>
        <n v="17.22"/>
        <n v="16.96"/>
        <n v="16.91"/>
        <n v="16.73"/>
        <n v="16.93"/>
        <n v="17.16"/>
        <n v="17.05"/>
        <n v="17"/>
        <n v="16.899999999999999"/>
        <n v="16.559999999999999"/>
        <n v="16.21"/>
        <n v="14.42"/>
        <n v="14.41"/>
        <n v="14.37"/>
        <n v="14.08"/>
        <n v="14.21"/>
        <n v="13.99"/>
        <n v="14.35"/>
        <n v="14.58"/>
        <n v="15.02"/>
        <n v="15.06"/>
        <n v="14.98"/>
        <n v="14.66"/>
        <n v="14.8"/>
        <n v="16.059999999999999"/>
        <n v="15.69"/>
        <n v="15.2"/>
        <n v="14.79"/>
        <n v="14.54"/>
        <n v="14.92"/>
        <n v="13.73"/>
        <n v="13.17"/>
        <n v="13.01"/>
        <n v="13.25"/>
        <n v="14.12"/>
        <n v="14.55"/>
        <n v="14.65"/>
        <n v="15.12"/>
        <n v="15.04"/>
        <n v="14.85"/>
        <n v="15.14"/>
        <n v="15.27"/>
        <n v="15.32"/>
        <n v="15.19"/>
        <n v="14.97"/>
        <n v="15.33"/>
        <n v="15.78"/>
        <n v="15.31"/>
        <n v="15.44"/>
        <n v="15.11"/>
        <n v="15.3"/>
        <n v="15.15"/>
        <n v="14.99"/>
        <n v="15.01"/>
        <n v="14.86"/>
        <n v="14.69"/>
        <n v="14.17"/>
        <n v="14.07"/>
        <n v="13.77"/>
        <n v="13.33"/>
        <n v="13.23"/>
        <n v="13.5"/>
        <n v="13.71"/>
        <n v="13.85"/>
        <n v="13.8"/>
        <n v="13.82"/>
        <n v="14.01"/>
        <n v="13.88"/>
        <n v="13.61"/>
        <n v="13.48"/>
        <n v="13.59"/>
        <n v="13.39"/>
        <n v="13.43"/>
        <n v="13.78"/>
        <n v="13.53"/>
        <n v="13.44"/>
        <n v="13.65"/>
        <n v="13.69"/>
        <n v="12.85"/>
        <n v="12.76"/>
        <n v="12.9"/>
        <n v="12.95"/>
        <n v="12.77"/>
        <n v="12.59"/>
        <n v="12.55"/>
        <n v="12.43"/>
        <n v="12.32"/>
        <n v="12.63"/>
        <n v="13.04"/>
        <n v="13.15"/>
        <n v="13.29"/>
        <n v="13.12"/>
        <n v="12.79"/>
        <n v="12.33"/>
        <n v="12.44"/>
        <n v="12.89"/>
        <n v="12.83"/>
        <n v="12.96"/>
        <n v="13.38"/>
        <n v="13.51"/>
        <n v="13.63"/>
        <n v="13.93"/>
        <n v="14.15"/>
        <n v="14.82"/>
        <n v="14.5"/>
        <n v="15.35"/>
        <n v="15.86"/>
        <n v="16"/>
        <n v="15.98"/>
        <n v="16.579999999999998"/>
        <n v="16.399999999999999"/>
        <n v="16.989999999999998"/>
        <n v="17.23"/>
        <n v="16.87"/>
        <n v="17.02"/>
        <n v="17.059999999999999"/>
        <n v="16.88"/>
        <n v="16.829999999999998"/>
        <n v="17.190000000000001"/>
        <n v="17.329999999999998"/>
        <n v="17.559999999999999"/>
        <n v="18.079999999999998"/>
        <n v="18.059999999999999"/>
        <n v="18.72"/>
        <n v="19.16"/>
        <n v="18.82"/>
        <n v="18.670000000000002"/>
        <n v="18.190000000000001"/>
        <n v="18.760000000000002"/>
        <n v="18.899999999999999"/>
        <n v="17.64"/>
        <n v="16.89"/>
        <n v="16.78"/>
        <n v="16.670000000000002"/>
        <n v="16.43"/>
        <n v="16.46"/>
        <n v="17.21"/>
        <n v="17.399999999999999"/>
        <n v="17.72"/>
        <n v="17.690000000000001"/>
        <n v="17.649999999999999"/>
        <n v="17.18"/>
        <n v="17.59"/>
        <n v="18.04"/>
        <n v="18.71"/>
        <n v="18.64"/>
        <n v="18.8"/>
        <n v="18.649999999999999"/>
        <n v="19.93"/>
        <n v="20.32"/>
        <n v="20.329999999999998"/>
        <n v="20.13"/>
        <n v="20.18"/>
        <n v="20.92"/>
        <n v="20.9"/>
        <n v="20.56"/>
        <n v="20.49"/>
        <n v="20.27"/>
        <n v="20.059999999999999"/>
        <n v="20.440000000000001"/>
        <n v="20.61"/>
        <n v="20.43"/>
        <n v="20.7"/>
        <n v="20.93"/>
        <n v="20.97"/>
        <n v="20.87"/>
        <n v="20.99"/>
        <n v="21.82"/>
        <n v="21.84"/>
        <n v="21.44"/>
        <n v="20.52"/>
        <n v="20.57"/>
        <n v="21.47"/>
        <n v="21.7"/>
        <n v="21.73"/>
        <n v="21.8"/>
        <n v="21.35"/>
        <n v="21.34"/>
        <n v="20.98"/>
        <n v="21.1"/>
        <n v="20.96"/>
        <n v="20.72"/>
        <n v="20.73"/>
        <n v="21.13"/>
        <n v="22.42"/>
        <n v="22.86"/>
        <n v="22.99"/>
        <n v="23.23"/>
        <n v="23.97"/>
        <n v="24.03"/>
        <n v="24.79"/>
        <n v="25.12"/>
        <n v="24.3"/>
        <n v="25.07"/>
        <n v="25.62"/>
        <n v="25.03"/>
        <n v="25.2"/>
        <n v="25.11"/>
        <n v="25.26"/>
        <n v="25.13"/>
        <n v="25.67"/>
        <n v="25.8"/>
        <n v="25.09"/>
        <n v="24.78"/>
        <n v="24.73"/>
        <n v="24.45"/>
        <n v="24.76"/>
        <n v="23.15"/>
        <n v="21.39"/>
        <n v="21.2"/>
        <n v="22.21"/>
        <n v="22.11"/>
        <n v="21.89"/>
        <n v="21.81"/>
        <n v="21.94"/>
        <n v="22.01"/>
        <n v="22.08"/>
        <n v="22.89"/>
        <n v="23.04"/>
        <n v="23.03"/>
        <n v="23.17"/>
        <n v="22.64"/>
        <n v="22.77"/>
        <n v="21.63"/>
        <n v="23.33"/>
        <n v="23.82"/>
        <n v="24.57"/>
        <n v="24.67"/>
        <n v="24.44"/>
        <n v="24.08"/>
        <n v="24.51"/>
        <n v="24.37"/>
        <n v="24.43"/>
        <n v="24.22"/>
        <n v="23.6"/>
        <n v="23.05"/>
        <n v="22.82"/>
        <n v="23.57"/>
        <n v="23.78"/>
        <n v="23.71"/>
        <n v="23.16"/>
        <n v="23.27"/>
        <n v="23.56"/>
        <n v="23.9"/>
        <n v="23.84"/>
        <n v="23.7"/>
        <n v="23.4"/>
        <n v="23.5"/>
        <n v="23.32"/>
        <n v="24.25"/>
        <n v="24.58"/>
        <n v="24.54"/>
        <n v="25.33"/>
        <n v="25.97"/>
        <n v="25.49"/>
        <n v="25.22"/>
        <n v="24.66"/>
        <n v="23.83"/>
        <n v="23.42"/>
        <n v="23.43"/>
        <n v="22.85"/>
        <n v="22.98"/>
        <n v="22.91"/>
        <n v="23.24"/>
        <n v="23.91"/>
        <n v="24.01"/>
        <n v="23.45"/>
        <n v="23.99"/>
        <n v="23.63"/>
        <n v="23.75"/>
        <n v="24.2"/>
        <n v="23.81"/>
        <n v="23.64"/>
        <n v="22.5"/>
        <n v="22.02"/>
        <n v="21.64"/>
        <n v="21.59"/>
        <n v="22.13"/>
        <n v="22.17"/>
        <n v="20.58"/>
        <n v="20.420000000000002"/>
        <n v="20.5"/>
        <n v="20.46"/>
        <n v="20.3"/>
        <n v="21.12"/>
        <n v="21.09"/>
        <n v="20.83"/>
        <n v="21.21"/>
        <n v="21.78"/>
        <n v="21.03"/>
        <n v="21.22"/>
        <n v="21.16"/>
        <n v="21.33"/>
        <n v="20.71"/>
        <n v="20.69"/>
        <n v="20.55"/>
        <n v="20.53"/>
        <n v="20.89"/>
        <n v="21.24"/>
        <n v="21.93"/>
        <n v="22.76"/>
        <n v="22.95"/>
        <n v="22.93"/>
        <n v="23.12"/>
        <n v="22.25"/>
        <n v="22.06"/>
        <n v="21.6"/>
        <n v="21.18"/>
        <n v="21.05"/>
        <n v="21.68"/>
        <n v="21.15"/>
        <n v="22.47"/>
        <n v="22.59"/>
        <n v="22.69"/>
        <n v="23"/>
        <n v="23.49"/>
        <n v="23.37"/>
        <n v="23.86"/>
        <n v="23.65"/>
        <n v="23.28"/>
        <n v="23.39"/>
        <n v="23.22"/>
        <n v="23.98"/>
        <n v="23.46"/>
        <n v="22.96"/>
        <n v="22.41"/>
        <n v="23.07"/>
        <n v="21.4"/>
        <n v="21.61"/>
        <n v="21.74"/>
        <n v="22.27"/>
        <n v="22.87"/>
        <n v="22.72"/>
        <n v="22.65"/>
        <n v="23.67"/>
        <n v="23.93"/>
        <n v="24"/>
        <n v="23.68"/>
        <n v="22.35"/>
        <n v="22.52"/>
        <n v="22.22"/>
        <n v="21.9"/>
        <n v="23.01"/>
        <n v="22.19"/>
        <n v="21.83"/>
        <n v="21.38"/>
        <n v="21.08"/>
        <n v="21.5"/>
        <n v="21.25"/>
        <n v="20.77"/>
        <n v="20.51"/>
        <n v="20.28"/>
        <n v="17.91"/>
        <n v="17.36"/>
        <n v="18.22"/>
        <n v="19.22"/>
        <n v="20.62"/>
        <n v="20.63"/>
        <n v="20.47"/>
        <n v="20.6"/>
        <n v="20.260000000000002"/>
        <n v="19.98"/>
        <n v="19.48"/>
        <n v="20.02"/>
        <n v="20.07"/>
        <n v="20"/>
        <n v="19.440000000000001"/>
        <n v="19.14"/>
        <n v="19.010000000000002"/>
        <n v="19.05"/>
        <n v="19.63"/>
        <n v="19.920000000000002"/>
        <n v="20.05"/>
        <n v="19.2"/>
        <n v="19.79"/>
        <n v="20.399999999999999"/>
        <n v="20.59"/>
        <n v="19.13"/>
        <n v="19.25"/>
        <n v="19.28"/>
        <n v="19.43"/>
        <n v="18.66"/>
        <n v="18.739999999999998"/>
        <n v="19.100000000000001"/>
        <n v="19.670000000000002"/>
        <n v="19.36"/>
        <n v="19.46"/>
        <n v="19.850000000000001"/>
        <n v="21.48"/>
        <n v="22"/>
        <n v="22.31"/>
        <n v="23.66"/>
        <n v="23.92"/>
        <n v="24.31"/>
        <n v="24.92"/>
        <n v="24.29"/>
        <n v="24.41"/>
        <n v="23.48"/>
        <n v="22.56"/>
        <n v="22.9"/>
        <n v="23.8"/>
        <n v="23.59"/>
        <n v="24.32"/>
        <n v="20.8"/>
        <n v="21.23"/>
        <n v="21.85"/>
        <n v="21.46"/>
        <n v="21.55"/>
        <n v="21.31"/>
        <n v="21.01"/>
        <n v="21.65"/>
        <n v="21.57"/>
        <n v="20.37"/>
        <n v="20.64"/>
        <n v="19.739999999999998"/>
        <n v="19.89"/>
        <n v="20.2"/>
        <n v="25.83"/>
        <n v="25.51"/>
        <n v="24.47"/>
        <n v="24.21"/>
        <n v="23.95"/>
        <n v="22.97"/>
        <n v="21.26"/>
        <n v="20.79"/>
        <n v="20.309999999999999"/>
        <n v="20.350000000000001"/>
        <n v="19.88"/>
        <n v="19.12"/>
        <n v="19.41"/>
        <n v="17.89"/>
        <n v="19.07"/>
        <n v="19.5"/>
        <n v="19.82"/>
        <n v="20.04"/>
        <n v="21"/>
        <n v="18.53"/>
        <n v="20.76"/>
        <n v="19.600000000000001"/>
        <n v="18.329999999999998"/>
        <n v="17.78"/>
        <n v="17.7"/>
        <n v="17.48"/>
        <n v="17.47"/>
        <n v="17.55"/>
        <n v="18.489999999999998"/>
        <n v="18.850000000000001"/>
        <n v="18.07"/>
        <n v="17.98"/>
        <n v="17.46"/>
        <n v="19.86"/>
        <n v="22.66"/>
        <n v="23.14"/>
        <n v="22.53"/>
        <n v="22.8"/>
        <n v="23.19"/>
        <n v="23.25"/>
        <n v="23.41"/>
        <n v="23.54"/>
        <n v="23.08"/>
        <n v="23.13"/>
        <n v="23.44"/>
        <n v="24.4"/>
        <n v="24.49"/>
        <n v="25.3"/>
        <n v="24.81"/>
        <n v="25.16"/>
        <n v="25.19"/>
        <n v="24.38"/>
        <n v="21.56"/>
        <n v="22.61"/>
        <n v="22.45"/>
        <n v="22.83"/>
        <n v="23.47"/>
        <n v="19.579999999999998"/>
        <n v="19.899999999999999"/>
        <n v="19.829999999999998"/>
        <n v="21.07"/>
        <n v="21.02"/>
        <n v="21.62"/>
        <n v="20.85"/>
        <n v="20.45"/>
        <n v="20.22"/>
        <n v="19.77"/>
        <n v="20.190000000000001"/>
        <n v="20.48"/>
        <n v="18.93"/>
        <n v="18.77"/>
        <n v="18.98"/>
        <n v="19.04"/>
        <n v="19.420000000000002"/>
        <n v="19.47"/>
        <n v="19.690000000000001"/>
        <n v="18.91"/>
        <n v="18.54"/>
        <n v="18.43"/>
        <n v="18.02"/>
        <n v="18.36"/>
        <n v="18.690000000000001"/>
        <n v="18.68"/>
        <n v="19.3"/>
        <n v="18.41"/>
        <n v="18.559999999999999"/>
        <n v="18.03"/>
        <n v="18.13"/>
        <n v="17.93"/>
        <n v="18.32"/>
        <n v="17.71"/>
        <n v="16.45"/>
        <n v="16.27"/>
        <n v="16.28"/>
        <n v="16.48"/>
        <n v="17.11"/>
        <n v="17.149999999999999"/>
        <n v="16.71"/>
        <n v="16.25"/>
        <n v="16.13"/>
        <n v="15.5"/>
        <n v="15.4"/>
        <n v="13"/>
        <n v="12.82"/>
        <n v="12.66"/>
        <n v="12.45"/>
        <n v="12.93"/>
        <n v="14.06"/>
        <n v="14.46"/>
        <n v="14.89"/>
        <n v="14.44"/>
        <n v="15.18"/>
        <n v="15.54"/>
        <n v="15.28"/>
        <n v="16.100000000000001"/>
        <n v="16.36"/>
        <n v="17.37"/>
        <n v="17.739999999999998"/>
        <n v="16.22"/>
        <n v="16.3"/>
        <n v="15.75"/>
        <n v="15.42"/>
        <n v="15.57"/>
        <n v="14.77"/>
        <n v="14.88"/>
        <n v="15.03"/>
        <n v="14.74"/>
        <n v="14.59"/>
        <n v="14.48"/>
        <n v="15.58"/>
        <n v="16.54"/>
        <n v="16.5"/>
        <n v="16.37"/>
        <n v="16.350000000000001"/>
        <n v="16.309999999999999"/>
        <n v="15.9"/>
        <n v="16.260000000000002"/>
        <n v="16.489999999999998"/>
        <n v="16.62"/>
        <n v="16.739999999999998"/>
        <n v="17.239999999999998"/>
        <n v="17.52"/>
        <n v="17.3"/>
        <n v="17.079999999999998"/>
        <n v="21.27"/>
        <n v="23.36"/>
        <n v="23.76"/>
        <n v="23.52"/>
        <n v="24.06"/>
        <n v="22.73"/>
        <n v="22.37"/>
        <n v="22.26"/>
        <n v="22.43"/>
        <n v="22.29"/>
        <n v="23.38"/>
        <n v="24.18"/>
        <n v="24.35"/>
        <n v="25.57"/>
        <n v="25.7"/>
        <n v="26.35"/>
        <n v="27.12"/>
        <n v="27.53"/>
        <n v="28.13"/>
        <n v="28.36"/>
        <n v="28.9"/>
        <n v="29.02"/>
        <n v="28.6"/>
        <n v="28.09"/>
        <n v="28.71"/>
        <n v="30.27"/>
        <n v="30.1"/>
        <n v="31.44"/>
        <n v="33.229999999999997"/>
        <n v="33.25"/>
        <n v="32.33"/>
        <n v="35.04"/>
        <n v="36.49"/>
        <n v="35.86"/>
        <n v="34.299999999999997"/>
        <n v="34.380000000000003"/>
        <n v="36.57"/>
        <n v="39.630000000000003"/>
        <n v="38.799999999999997"/>
        <n v="38.26"/>
        <n v="37.630000000000003"/>
        <n v="38.450000000000003"/>
        <n v="39.32"/>
        <n v="43.39"/>
        <n v="43.53"/>
        <n v="52.41"/>
        <n v="64.599999999999994"/>
        <n v="56.4"/>
        <n v="53.06"/>
        <n v="51.32"/>
        <n v="54.67"/>
        <n v="52.23"/>
        <n v="52.65"/>
        <n v="54.53"/>
        <n v="54.2"/>
        <n v="57.33"/>
        <n v="62.99"/>
        <n v="60.8"/>
        <n v="60.87"/>
        <n v="57.57"/>
        <n v="57.11"/>
        <n v="54.22"/>
        <n v="49.32"/>
        <n v="46.03"/>
        <n v="49.58"/>
        <n v="53.8"/>
        <n v="51.1"/>
        <n v="49.72"/>
        <n v="47.13"/>
        <n v="44.2"/>
        <n v="44.53"/>
        <n v="43.57"/>
        <n v="40.5"/>
        <n v="32.99"/>
        <n v="31.46"/>
        <n v="26.99"/>
        <n v="30.13"/>
        <n v="31.8"/>
        <n v="29.47"/>
        <n v="34.25"/>
        <n v="37.130000000000003"/>
        <n v="37.33"/>
        <n v="35.049999999999997"/>
        <n v="34.44"/>
        <n v="36.200000000000003"/>
        <n v="34.26"/>
        <n v="32.950000000000003"/>
        <n v="34.369999999999997"/>
        <n v="34.729999999999997"/>
        <n v="37.67"/>
        <n v="37.15"/>
        <n v="38.35"/>
        <n v="43.47"/>
        <n v="49.46"/>
        <n v="50.21"/>
        <n v="50.63"/>
        <n v="51.66"/>
        <n v="51.04"/>
        <n v="50.22"/>
        <n v="48.93"/>
        <n v="48.72"/>
        <n v="53.3"/>
        <n v="53.67"/>
        <n v="53.55"/>
        <n v="57.99"/>
        <n v="51.52"/>
        <n v="50.8"/>
        <n v="53.26"/>
        <n v="53.09"/>
        <n v="54.93"/>
        <n v="56.22"/>
        <n v="55.07"/>
        <n v="53.56"/>
        <n v="55.65"/>
        <n v="54.8"/>
        <n v="55.5"/>
        <n v="55.45"/>
        <n v="55.64"/>
        <n v="55.18"/>
        <n v="54.98"/>
        <n v="55.67"/>
        <n v="59.93"/>
        <n v="60.58"/>
        <n v="59.86"/>
        <n v="59.72"/>
        <n v="59.1"/>
        <n v="63.33"/>
        <n v="63.63"/>
        <n v="68.5"/>
        <n v="67.930000000000007"/>
        <n v="65.87"/>
        <n v="66.59"/>
        <n v="67.53"/>
        <n v="67"/>
        <n v="67.95"/>
        <n v="67.73"/>
        <n v="67.260000000000005"/>
        <n v="67.47"/>
        <n v="66.73"/>
        <n v="65.73"/>
        <n v="66.33"/>
        <n v="67.33"/>
        <n v="72.510000000000005"/>
        <n v="75.69"/>
        <n v="81.87"/>
        <n v="91.85"/>
        <n v="95.3"/>
        <n v="94.48"/>
        <n v="93.9"/>
        <n v="103.26"/>
        <n v="119.67"/>
        <n v="106"/>
        <n v="103.33"/>
        <n v="102.11"/>
        <n v="102.5"/>
        <n v="110"/>
        <n v="111.67"/>
        <n v="108.43"/>
        <n v="112.6"/>
        <n v="97.67"/>
        <n v="103.2"/>
        <n v="104.31"/>
        <n v="102.32"/>
        <n v="100.88"/>
        <n v="101.14"/>
        <n v="100.65"/>
        <n v="101.83"/>
        <n v="99.99"/>
        <n v="101.15"/>
        <n v="99.98"/>
        <n v="97.17"/>
        <n v="94.67"/>
        <n v="105.67"/>
        <n v="110.08"/>
        <n v="111.25"/>
        <n v="123.06"/>
        <n v="128.26"/>
        <n v="127.4"/>
        <n v="134.80000000000001"/>
        <n v="139.69999999999999"/>
        <n v="141.93"/>
        <n v="135.19999999999999"/>
        <n v="144.4"/>
        <n v="153.04"/>
        <n v="154.57"/>
        <n v="166.71"/>
        <n v="167.5"/>
        <n v="159.68"/>
        <n v="143.93"/>
        <n v="142.66999999999999"/>
        <n v="122.91"/>
        <n v="123"/>
        <n v="133"/>
        <n v="127.5"/>
        <n v="140"/>
        <n v="153.97999999999999"/>
        <n v="152.6"/>
        <n v="145.93"/>
        <n v="150.33000000000001"/>
        <n v="151.88999999999999"/>
        <n v="145.91999999999999"/>
        <n v="137.38"/>
        <n v="133.16999999999999"/>
        <n v="136.24"/>
        <n v="142.69"/>
        <n v="142.83000000000001"/>
        <n v="144.63999999999999"/>
        <n v="149.63"/>
        <n v="146.38"/>
        <n v="144.55000000000001"/>
        <n v="142.93"/>
        <n v="143.30000000000001"/>
        <n v="146.33000000000001"/>
        <n v="144.86000000000001"/>
        <n v="149.58000000000001"/>
        <n v="155.30000000000001"/>
        <n v="152.19"/>
        <n v="151.97999999999999"/>
        <n v="149"/>
        <n v="143.91999999999999"/>
        <n v="144.32"/>
        <n v="148.41"/>
        <n v="140.96"/>
        <n v="141.91999999999999"/>
        <n v="143.5"/>
        <n v="139.53"/>
        <n v="139.35"/>
        <n v="135.86000000000001"/>
        <n v="135.66"/>
        <n v="142.59"/>
        <n v="145.13"/>
        <n v="146.66999999999999"/>
        <n v="145.52000000000001"/>
        <n v="150.83000000000001"/>
        <n v="140.03"/>
        <n v="139.57"/>
        <n v="141"/>
        <n v="137.51"/>
        <n v="137.47999999999999"/>
        <n v="154"/>
        <n v="165.33"/>
        <n v="169.54"/>
        <n v="175.33"/>
        <n v="186.66"/>
        <n v="191.33"/>
        <n v="199.59"/>
        <n v="202.6"/>
        <n v="199.28"/>
        <n v="190.51"/>
        <n v="199.66"/>
        <n v="199.68"/>
        <n v="216.26"/>
        <n v="217.09"/>
        <n v="218.11"/>
        <n v="209.25"/>
        <n v="208"/>
        <n v="214.25"/>
        <n v="215.63"/>
        <n v="210.83"/>
        <n v="219.61"/>
        <n v="231.67"/>
        <n v="222.83"/>
        <n v="216.63"/>
        <n v="217.17"/>
        <n v="222.03"/>
        <n v="227.13"/>
        <n v="223.3"/>
        <n v="232.2"/>
        <n v="239.57"/>
        <n v="248.16"/>
        <n v="246.95"/>
        <n v="258"/>
        <n v="272.33"/>
        <n v="294.83"/>
        <n v="284.81"/>
        <n v="289.33"/>
        <n v="286.82"/>
        <n v="287.67"/>
        <n v="286.63"/>
        <n v="283.33"/>
        <n v="286.5"/>
        <n v="285.24"/>
        <n v="282.67"/>
        <n v="300.13"/>
        <n v="298.63"/>
        <n v="297.17"/>
        <n v="280.8"/>
        <n v="280.67"/>
        <n v="293.5"/>
        <n v="292.69"/>
        <n v="285.5"/>
        <n v="288.26"/>
        <n v="292.58999999999997"/>
        <n v="286.60000000000002"/>
        <n v="281.61"/>
        <n v="276.63"/>
        <n v="272.44"/>
        <n v="273.67"/>
        <n v="266.61"/>
        <n v="264.89999999999998"/>
        <n v="265.60000000000002"/>
        <n v="256.17"/>
        <n v="237.87"/>
        <n v="248.33"/>
        <n v="245.74"/>
        <n v="235.57"/>
        <n v="290.67"/>
        <n v="240.37"/>
        <n v="233.57"/>
        <n v="291.31"/>
        <n v="209.28"/>
        <n v="206.71"/>
        <n v="226.03"/>
        <n v="239.28"/>
        <n v="234.17"/>
        <n v="231.63"/>
        <n v="237.73"/>
        <n v="235.97"/>
        <n v="234.58"/>
        <n v="229.74"/>
        <n v="219.08"/>
        <n v="233.21"/>
        <n v="225.93"/>
        <n v="222.67"/>
        <n v="215.17"/>
        <n v="214.61"/>
        <n v="205.49"/>
        <n v="212.55"/>
        <n v="224"/>
        <n v="230.81"/>
        <n v="236.05"/>
        <n v="232.18"/>
        <n v="230.46"/>
        <n v="229.85"/>
        <n v="226.99"/>
        <n v="234.93"/>
        <n v="254.33"/>
        <n v="260.26"/>
        <n v="247.9"/>
        <n v="249.8"/>
        <n v="241.8"/>
        <n v="245.75"/>
        <n v="248.28"/>
        <n v="251.26"/>
        <n v="245.79"/>
        <n v="249.77"/>
        <n v="241.33"/>
        <n v="236.17"/>
        <n v="234.08"/>
        <n v="238.49"/>
        <n v="235.33"/>
        <n v="227.82"/>
        <n v="228.43"/>
        <n v="227.01"/>
        <n v="230"/>
        <n v="221.68"/>
        <n v="209.03"/>
        <n v="206.8"/>
        <n v="202.15"/>
        <n v="197.62"/>
        <n v="196.58"/>
        <n v="198.75"/>
        <n v="188.74"/>
        <n v="196.28"/>
        <n v="198.89"/>
        <n v="204.83"/>
        <n v="204.66"/>
        <n v="208.72"/>
        <n v="210.38"/>
        <n v="211.86"/>
        <n v="211.27"/>
        <n v="207.79"/>
        <n v="201.52"/>
        <n v="200.2"/>
        <n v="203.33"/>
        <n v="207.7"/>
        <n v="203.93"/>
        <n v="205.53"/>
        <n v="204.19"/>
        <n v="208.5"/>
        <n v="205.6"/>
        <n v="202.83"/>
        <n v="207.16"/>
        <n v="209.45"/>
        <n v="210.46"/>
        <n v="209.52"/>
        <n v="219.07"/>
        <n v="232.54"/>
        <n v="231.27"/>
        <n v="231.57"/>
        <n v="229.17"/>
        <n v="230.94"/>
        <n v="229.33"/>
        <n v="233.33"/>
        <n v="228"/>
        <n v="221.9"/>
        <n v="218.14"/>
        <n v="219.64"/>
        <n v="229.08"/>
        <n v="231.09"/>
        <n v="226.2"/>
        <n v="222.05"/>
        <n v="218.9"/>
        <n v="215.73"/>
        <n v="220.8"/>
        <n v="221.62"/>
        <n v="220.72"/>
        <n v="216.27"/>
        <n v="222.73"/>
        <n v="222.17"/>
        <n v="218.32"/>
        <n v="227.9"/>
        <n v="232.51"/>
        <n v="242.31"/>
        <n v="240.88"/>
        <n v="241.63"/>
        <n v="240.32"/>
        <n v="238.78"/>
        <n v="239.68"/>
        <n v="238.86"/>
        <n v="238.39"/>
        <n v="240.93"/>
        <n v="243.3"/>
        <n v="236.5"/>
        <n v="224.86"/>
        <n v="231.92"/>
        <n v="228.85"/>
        <n v="230.71"/>
        <n v="237.38"/>
        <n v="238.41"/>
        <n v="238.99"/>
        <n v="238.47"/>
        <n v="238.33"/>
        <n v="243.67"/>
        <n v="246.8"/>
        <n v="247.33"/>
        <n v="246.99"/>
        <n v="244.67"/>
        <n v="253.4"/>
        <n v="254.82"/>
        <n v="254.03"/>
        <n v="254.2"/>
        <n v="248.26"/>
        <n v="251.49"/>
        <n v="252.29"/>
        <n v="252.97"/>
        <n v="253.68"/>
        <n v="248.25"/>
        <n v="251.22"/>
        <n v="252.73"/>
        <n v="258.27"/>
        <n v="266.33"/>
        <n v="265.20999999999998"/>
        <n v="264.5"/>
        <n v="263.04000000000002"/>
        <n v="268.99"/>
        <n v="265.77"/>
        <n v="262.22000000000003"/>
        <n v="268.33"/>
        <n v="265.45999999999998"/>
        <n v="267.08"/>
        <n v="270.77"/>
        <n v="271.8"/>
        <n v="273.42"/>
        <n v="281.07"/>
        <n v="291.75"/>
        <n v="292.64999999999998"/>
        <n v="289.83"/>
        <n v="300"/>
        <n v="303.33"/>
        <n v="348.34"/>
        <n v="364.98"/>
        <n v="356.96"/>
        <n v="360.33"/>
        <n v="371.74"/>
        <n v="403.25"/>
        <n v="402.86"/>
        <n v="405.13"/>
        <n v="414.5"/>
        <n v="413.29"/>
        <n v="399"/>
        <n v="391.5"/>
        <n v="359.37"/>
        <n v="368.32"/>
        <n v="351.5"/>
        <n v="343.99"/>
        <n v="352.4"/>
        <n v="373.21"/>
        <n v="370.67"/>
        <n v="379.57"/>
        <n v="400.65"/>
        <n v="393.5"/>
        <n v="377.59"/>
        <n v="369.59"/>
        <n v="380.89"/>
        <n v="389.33"/>
        <n v="390.95"/>
        <n v="371"/>
        <n v="363.53"/>
        <n v="340.55"/>
        <n v="352.56"/>
        <n v="357.46"/>
        <n v="354.16"/>
        <n v="340.33"/>
        <n v="335"/>
        <n v="322.14"/>
        <n v="326.25"/>
        <n v="331.66"/>
        <n v="320.22000000000003"/>
        <n v="307.23"/>
        <n v="313.17"/>
        <n v="338.55"/>
        <n v="357.66"/>
        <n v="372.33"/>
        <n v="373"/>
        <n v="368"/>
        <n v="365.18"/>
        <n v="360.67"/>
        <n v="400.36"/>
        <n v="402.67"/>
        <n v="390.11"/>
        <n v="362.67"/>
        <n v="360.31"/>
        <n v="353.03"/>
        <n v="358.62"/>
        <n v="371.61"/>
        <n v="371.87"/>
        <n v="350.67"/>
        <n v="356.93"/>
        <n v="351.56"/>
        <n v="347.22"/>
        <n v="334.85"/>
        <n v="311.17"/>
        <n v="317.08999999999997"/>
        <n v="329.23"/>
        <n v="311.8"/>
        <n v="285.83"/>
        <n v="312.66000000000003"/>
        <n v="314.57"/>
        <n v="310.5"/>
        <n v="312.33"/>
        <n v="312.17"/>
        <n v="315.92"/>
        <n v="308.76"/>
        <n v="315.42"/>
        <n v="314.60000000000002"/>
        <n v="305.32"/>
        <n v="299.63"/>
        <n v="307.67"/>
        <n v="308.81"/>
        <n v="306.17"/>
        <n v="295.62"/>
        <n v="285.58"/>
        <n v="278.43"/>
        <n v="267.49"/>
        <n v="273.17"/>
        <n v="292.29000000000002"/>
        <n v="296.63"/>
        <n v="295.49"/>
        <n v="295.48"/>
        <n v="285.22000000000003"/>
        <n v="288.70999999999998"/>
        <n v="286.85000000000002"/>
        <n v="284.82"/>
        <n v="281.27"/>
        <n v="266.89999999999998"/>
        <n v="268.52"/>
        <n v="291.67"/>
        <n v="302.62"/>
        <n v="314.27999999999997"/>
        <n v="332.62"/>
        <n v="346.9"/>
        <n v="341.5"/>
        <n v="340.6"/>
        <n v="365.96"/>
        <n v="371.59"/>
        <n v="371.32"/>
        <n v="367.71"/>
        <n v="364.92"/>
        <n v="383.3"/>
        <n v="384.29"/>
        <n v="359.67"/>
        <n v="358.86"/>
        <n v="349.48"/>
        <n v="336.16"/>
        <n v="340.4"/>
        <n v="342.08"/>
        <n v="337.57"/>
        <n v="338.31"/>
        <n v="344.98"/>
        <n v="344.67"/>
        <n v="364.07"/>
        <n v="344.95"/>
        <n v="336.21"/>
        <n v="333.33"/>
        <n v="306"/>
        <n v="311.47000000000003"/>
        <n v="302.12"/>
        <n v="308.02999999999997"/>
        <n v="318.5"/>
        <n v="315.2"/>
        <n v="296"/>
        <n v="281.88"/>
        <n v="275.12"/>
        <n v="269.92"/>
        <n v="253.22"/>
        <n v="262.45"/>
        <n v="256.58999999999997"/>
        <n v="254.83"/>
        <n v="253.5"/>
        <n v="240.53"/>
        <n v="226.65"/>
        <n v="217.97"/>
        <n v="223.11"/>
        <n v="239.56"/>
        <n v="253.27"/>
        <n v="259.60000000000002"/>
        <n v="257.33"/>
        <n v="264.20999999999998"/>
        <n v="247.8"/>
        <n v="244.87"/>
        <n v="240"/>
        <n v="249.96"/>
        <n v="255.55"/>
        <n v="239.5"/>
        <n v="226.63"/>
        <n v="226.33"/>
        <n v="235.66"/>
        <n v="225.17"/>
        <n v="220.97"/>
        <n v="243.58"/>
        <n v="246.83"/>
        <n v="239.32"/>
        <n v="246.07"/>
        <n v="252.07"/>
        <n v="249.97"/>
        <n v="231.17"/>
        <n v="229.46"/>
        <n v="230.23"/>
        <n v="233.15"/>
        <n v="234.56"/>
        <n v="245.36"/>
        <n v="254.98"/>
        <n v="253.06"/>
        <n v="239.77"/>
        <n v="242.06"/>
        <n v="238.65"/>
        <n v="243.62"/>
        <n v="250.52"/>
        <n v="247.14"/>
        <n v="250.66"/>
        <n v="273.27"/>
        <n v="280.79000000000002"/>
        <n v="274.14999999999998"/>
        <n v="267.31"/>
        <n v="275.93"/>
        <n v="283.3"/>
        <n v="298.32"/>
        <n v="311.88"/>
        <n v="307.83"/>
        <n v="309.55"/>
        <n v="313.61"/>
        <n v="304.61"/>
        <n v="305.2"/>
        <n v="292.39999999999998"/>
        <n v="297.51"/>
        <n v="298.24"/>
        <n v="300.16000000000003"/>
        <n v="313.13"/>
        <n v="314.67"/>
        <n v="309.66000000000003"/>
        <n v="306.5"/>
        <n v="300.36"/>
        <n v="298.83"/>
        <n v="303.64999999999998"/>
        <n v="302.95999999999998"/>
        <n v="302"/>
        <n v="287.74"/>
        <n v="288.48"/>
        <n v="281.25"/>
        <n v="277.58"/>
        <n v="282.35000000000002"/>
        <n v="275.99"/>
        <n v="283.83999999999997"/>
        <n v="289.5"/>
        <n v="299.85000000000002"/>
        <n v="305.49"/>
        <n v="297.39999999999998"/>
        <n v="309.12"/>
        <n v="303.70999999999998"/>
        <n v="309.83999999999997"/>
        <n v="313.33"/>
        <n v="313.8"/>
        <n v="301.29000000000002"/>
        <n v="284.5"/>
        <n v="284.08999999999997"/>
        <n v="288.67"/>
        <n v="289"/>
        <n v="283.64999999999998"/>
        <n v="275.57"/>
        <n v="255.16"/>
        <n v="257.5"/>
        <n v="246.67"/>
        <n v="244.58"/>
        <n v="234.57"/>
        <n v="225.75"/>
        <n v="219.3"/>
        <n v="222.99"/>
        <n v="226.26"/>
        <n v="221.86"/>
        <n v="229.82"/>
        <n v="222.93"/>
        <n v="215.55"/>
        <n v="214.66"/>
        <n v="213.5"/>
        <n v="224.35"/>
        <n v="230.6"/>
        <n v="233.81"/>
        <n v="228.86"/>
        <n v="237.4"/>
        <n v="227.87"/>
        <n v="221.2"/>
        <n v="223.8"/>
        <n v="208.9"/>
        <n v="195.2"/>
        <n v="195.89"/>
        <n v="191"/>
        <n v="196.52"/>
        <n v="195.73"/>
        <n v="200.82"/>
        <n v="192.57"/>
        <n v="186.16"/>
        <n v="185.19"/>
        <n v="176.77"/>
        <n v="170.92"/>
        <n v="183.62"/>
        <n v="185.2"/>
        <n v="188.5"/>
        <n v="186.38"/>
        <n v="194.76"/>
        <n v="198.92"/>
        <n v="196.25"/>
        <n v="191.27"/>
        <n v="183.65"/>
        <n v="179.38"/>
        <n v="175.2"/>
        <n v="182.5"/>
        <n v="177.37"/>
        <n v="175.05"/>
        <n v="161.62"/>
        <n v="160.93"/>
        <n v="160.99"/>
        <n v="155.25"/>
        <n v="148.47"/>
        <n v="141.26"/>
        <n v="136.63"/>
        <n v="128.62"/>
        <n v="116.27"/>
        <n v="123.57"/>
        <n v="124.48"/>
        <n v="118.8"/>
        <n v="114.59"/>
        <n v="111.75"/>
        <n v="114.39"/>
        <n v="123.52"/>
        <n v="122.76"/>
        <n v="125.95"/>
        <n v="124.13"/>
        <n v="122.63"/>
        <n v="131.69999999999999"/>
        <n v="136.68"/>
        <n v="129.99"/>
        <n v="133.51"/>
        <n v="145.38"/>
        <n v="146.5"/>
        <n v="146.41"/>
        <n v="161.41999999999999"/>
        <n v="180.68"/>
        <n v="179.77"/>
        <n v="174.3"/>
        <n v="183.81"/>
        <n v="196.75"/>
        <n v="199"/>
        <n v="198.17"/>
        <n v="197.5"/>
        <n v="203"/>
        <n v="214"/>
        <n v="206.2"/>
        <n v="196.3"/>
        <n v="209.82"/>
        <n v="217.65"/>
        <n v="208.44"/>
        <n v="209.71"/>
        <n v="201.99"/>
        <n v="205.14"/>
        <n v="197.67"/>
        <n v="209.42"/>
        <n v="211.23"/>
        <n v="207.2"/>
        <n v="193.75"/>
        <n v="200.48"/>
        <n v="198.6"/>
        <n v="194.2"/>
        <n v="186.5"/>
        <n v="185.18"/>
        <n v="178.29"/>
        <n v="177.35"/>
        <n v="183.8"/>
        <n v="182.34"/>
        <n v="185.81"/>
        <n v="186.22"/>
        <n v="186.44"/>
        <n v="198"/>
        <n v="200.66"/>
        <n v="199.31"/>
        <n v="192.36"/>
        <n v="197.39"/>
        <n v="192.35"/>
        <n v="195.29"/>
        <n v="197.33"/>
        <n v="202.69"/>
        <n v="198.74"/>
        <n v="190.68"/>
        <n v="186.39"/>
        <n v="185.1"/>
        <n v="189.19"/>
        <n v="191.58"/>
        <n v="186.28"/>
        <n v="189.69"/>
        <n v="187.69"/>
        <n v="183.5"/>
        <n v="169.7"/>
        <n v="166"/>
        <n v="165.65"/>
        <n v="163.47"/>
        <n v="160.66999999999999"/>
        <n v="160.47999999999999"/>
        <n v="165"/>
        <n v="163.28"/>
        <n v="165.49"/>
        <n v="162.94999999999999"/>
        <n v="170.79"/>
        <n v="173.8"/>
        <n v="169.82"/>
        <n v="174.43"/>
        <n v="173.57"/>
        <n v="177.38"/>
        <n v="169.76"/>
        <n v="169.52"/>
        <n v="174.5"/>
        <n v="177.06"/>
        <n v="181.95"/>
        <n v="189.32"/>
        <n v="192.96"/>
        <n v="184.22"/>
        <n v="186.78"/>
        <n v="204.48"/>
        <n v="203.95"/>
        <n v="209.8"/>
        <n v="217.25"/>
        <n v="221.29"/>
        <n v="221.91"/>
        <n v="230.83"/>
        <n v="235.23"/>
        <n v="252.42"/>
        <n v="250.97"/>
        <n v="259.68"/>
        <n v="261.57"/>
        <n v="258.95"/>
        <n v="263.60000000000002"/>
        <n v="274.75"/>
        <n v="276.99"/>
        <n v="265"/>
        <n v="258.37"/>
        <n v="250.39"/>
        <n v="259.88"/>
        <n v="260.74"/>
        <n v="264.45"/>
        <n v="284.25"/>
        <n v="283.85000000000002"/>
        <n v="279.97000000000003"/>
        <n v="280.77999999999997"/>
        <n v="277.52"/>
        <n v="270.89999999999998"/>
        <n v="276.52"/>
        <n v="279.45"/>
        <n v="285.3"/>
        <n v="292.23"/>
        <n v="295.26"/>
        <n v="299.29000000000002"/>
        <n v="280.93"/>
        <n v="268"/>
        <n v="269.85000000000002"/>
        <n v="272.89999999999998"/>
        <n v="268.04000000000002"/>
        <n v="269.13"/>
        <n v="267.25"/>
        <n v="269.08"/>
        <n v="266.47000000000003"/>
        <n v="259.52"/>
        <n v="260.49"/>
        <n v="264.77"/>
        <n v="253.65"/>
        <n v="250.92"/>
        <n v="251.1"/>
        <n v="251.8"/>
        <n v="243.79"/>
        <n v="240.66"/>
        <n v="240.5"/>
        <n v="233.97"/>
        <n v="226.74"/>
        <n v="217.58"/>
        <n v="232.13"/>
        <n v="240.82"/>
        <n v="238.98"/>
        <n v="238.92"/>
        <n v="239"/>
        <n v="244.38"/>
        <n v="257.48"/>
        <n v="260.51"/>
        <n v="261.18"/>
        <n v="259.08"/>
        <n v="255.39"/>
        <n v="252.81"/>
        <n v="256.52"/>
        <n v="274.85000000000002"/>
        <n v="278.39"/>
        <n v="274.98"/>
        <n v="276.70999999999998"/>
        <n v="278.98"/>
        <n v="271.44"/>
        <n v="267.85000000000002"/>
        <n v="273.93"/>
        <n v="260.86"/>
        <n v="257.79000000000002"/>
        <n v="247.1"/>
        <n v="249.55"/>
        <n v="245.33"/>
        <n v="247.55"/>
        <n v="254.77"/>
        <n v="254.28"/>
        <n v="250.02"/>
        <n v="261.86"/>
        <n v="261.64999999999998"/>
        <n v="261.36"/>
        <n v="268.94"/>
        <n v="268.60000000000002"/>
        <n v="265.41000000000003"/>
        <n v="255.4"/>
        <n v="257.18"/>
        <n v="254.63"/>
        <n v="230.61"/>
        <n v="218.86"/>
        <n v="216.98"/>
        <n v="220.1"/>
        <n v="214.8"/>
        <n v="212.41"/>
        <n v="210.88"/>
        <n v="202.8"/>
        <n v="205.99"/>
        <n v="219.2"/>
        <n v="226.37"/>
        <n v="226.32"/>
        <n v="223.12"/>
        <n v="224.15"/>
        <n v="215.38"/>
        <n v="225.4"/>
        <n v="238.14"/>
        <n v="246.7"/>
        <n v="237.39"/>
        <n v="237.1"/>
        <n v="244.01"/>
        <n v="238.75"/>
        <n v="247"/>
        <n v="252.75"/>
        <n v="245.22"/>
        <n v="240.19"/>
        <n v="239.37"/>
        <n v="246.66"/>
        <n v="246.57"/>
        <n v="244.08"/>
        <n v="245.27"/>
        <n v="243.44"/>
        <n v="240.3"/>
        <n v="253.88"/>
        <n v="254.13"/>
        <n v="258.74"/>
        <n v="258.33999999999997"/>
        <n v="259.83999999999997"/>
        <n v="254.8"/>
        <n v="258.22000000000003"/>
        <n v="257.97000000000003"/>
        <n v="263.33999999999997"/>
        <n v="265.13"/>
        <n v="255.19"/>
        <n v="251.25"/>
        <n v="245.68"/>
        <n v="242.7"/>
        <n v="240.12"/>
        <n v="241.25"/>
        <n v="238.96"/>
        <n v="235.5"/>
        <n v="230.93"/>
        <n v="225.34"/>
        <n v="223.49"/>
        <n v="215.67"/>
        <n v="217.45"/>
        <n v="213.19"/>
        <n v="217.8"/>
        <n v="215.65"/>
        <n v="212.73"/>
        <n v="193"/>
        <n v="191.48"/>
        <n v="196.36"/>
        <n v="193.97"/>
        <n v="189.88"/>
        <n v="188.69"/>
        <n v="184.68"/>
        <n v="186.49"/>
        <n v="189.79"/>
        <n v="191.62"/>
        <n v="194.12"/>
        <n v="194.73"/>
        <n v="187.26"/>
        <n v="188.89"/>
        <n v="200.88"/>
        <n v="203.17"/>
        <n v="199.44"/>
        <n v="198.32"/>
        <n v="197.57"/>
        <n v="201.78"/>
        <n v="205.3"/>
        <n v="205.28"/>
        <n v="204.52"/>
        <n v="199.75"/>
        <n v="184.59"/>
        <n v="181.58"/>
        <n v="180.04"/>
        <n v="182.73"/>
        <n v="182.87"/>
        <n v="179.43"/>
        <n v="176.05"/>
        <n v="171.17"/>
        <n v="165.18"/>
        <n v="174.72"/>
        <n v="172.82"/>
        <n v="176.25"/>
        <n v="178.18"/>
        <n v="171.2"/>
        <n v="175.24"/>
        <n v="184.25"/>
        <n v="181.91"/>
        <n v="179.57"/>
        <n v="176.75"/>
        <n v="167.69"/>
        <n v="168.82"/>
        <n v="177.19"/>
        <n v="170.86"/>
        <n v="179.22"/>
        <n v="174.93"/>
        <n v="175.88"/>
        <n v="173.81"/>
        <n v="170.69"/>
        <n v="158.19"/>
        <n v="158.33000000000001"/>
        <n v="152.19999999999999"/>
        <n v="150.94"/>
        <n v="144.44"/>
        <n v="147.26"/>
        <n v="167.97"/>
        <n v="170.88"/>
        <n v="172.12"/>
        <n v="198.87"/>
        <n v="190.95"/>
        <n v="185.86"/>
        <n v="184.6"/>
        <n v="184.78"/>
        <n v="187.56"/>
        <n v="183.26"/>
        <n v="176.06"/>
        <n v="175.62"/>
        <n v="173.06"/>
        <n v="175.4"/>
        <n v="179.49"/>
        <n v="180"/>
        <n v="175.79"/>
        <n v="179.63"/>
        <n v="177.75"/>
        <n v="186.88"/>
        <n v="181.9"/>
        <n v="180.08"/>
        <n v="178.25"/>
        <n v="178.15"/>
        <n v="182.67"/>
        <n v="180.32"/>
        <n v="182.64"/>
        <n v="177.76"/>
        <n v="176.15"/>
        <n v="179.73"/>
        <n v="179.35"/>
        <n v="178.57"/>
        <n v="174.75"/>
        <n v="180.55"/>
        <n v="191.08"/>
        <n v="186"/>
        <n v="188.81"/>
        <n v="187.2"/>
        <n v="185.21"/>
        <n v="183.95"/>
        <n v="188.8"/>
        <n v="187.97"/>
        <n v="197.76"/>
        <n v="198.72"/>
        <n v="203.2"/>
        <n v="213.23"/>
        <n v="231.3"/>
        <n v="248.35"/>
        <n v="252.37"/>
        <n v="259.44"/>
        <n v="265.61"/>
        <n v="267.58999999999997"/>
        <n v="271"/>
        <n v="251.84"/>
        <n v="258.62"/>
        <n v="258.47000000000003"/>
        <n v="257.14"/>
        <n v="249.44"/>
        <n v="253.21"/>
        <n v="255.76"/>
        <n v="225.99"/>
        <n v="226"/>
        <n v="222.28"/>
        <n v="234.27"/>
        <n v="232.41"/>
        <n v="234.68"/>
        <n v="231.87"/>
        <n v="216.13"/>
        <n v="203.88"/>
        <n v="202.9"/>
        <n v="203.49"/>
        <n v="200.7"/>
        <n v="199.26"/>
        <n v="208.49"/>
        <n v="215.88"/>
        <n v="219.8"/>
        <n v="222.98"/>
        <n v="228.22"/>
        <n v="224.66"/>
        <n v="224.8"/>
        <n v="221.48"/>
        <n v="219.09"/>
        <n v="215.66"/>
        <n v="211.84"/>
        <n v="214.89"/>
        <n v="214.57"/>
        <n v="219.9"/>
        <n v="222.22"/>
        <n v="235"/>
        <n v="233.6"/>
        <n v="219.87"/>
        <n v="226.4"/>
        <n v="228.47"/>
        <n v="231.45"/>
        <n v="232.67"/>
        <n v="229.96"/>
        <n v="235.68"/>
        <n v="244.24"/>
        <n v="243.99"/>
        <n v="250"/>
        <n v="257.19"/>
        <n v="257.05"/>
        <n v="261.75"/>
        <n v="260.7"/>
        <n v="264.86"/>
        <n v="263.98"/>
        <n v="251.16"/>
        <n v="249.79"/>
        <n v="250.96"/>
        <n v="249.83"/>
        <n v="246.21"/>
        <n v="247.43"/>
        <n v="242.79"/>
        <n v="223.34"/>
        <n v="224.26"/>
        <n v="222.82"/>
        <n v="222.08"/>
        <n v="220.48"/>
        <n v="218.22"/>
        <n v="218.72"/>
        <n v="262.12"/>
        <n v="269.49"/>
        <n v="273.54000000000002"/>
        <n v="264.98"/>
        <n v="263.35000000000002"/>
        <n v="259.75"/>
        <n v="254"/>
        <n v="248.9"/>
        <n v="255.28"/>
        <n v="289.58999999999997"/>
        <n v="299.75"/>
        <n v="328.71"/>
        <n v="358.64"/>
        <n v="345.84"/>
        <n v="344.6"/>
        <n v="329.98"/>
        <n v="324.68"/>
        <n v="348.55"/>
        <n v="347.38"/>
        <n v="346.6"/>
        <n v="347.99"/>
        <n v="361.53"/>
        <n v="361.93"/>
        <n v="346.96"/>
        <n v="342.55"/>
        <n v="345.45"/>
        <n v="360"/>
        <n v="355.69"/>
        <n v="358.1"/>
        <n v="375.43"/>
        <n v="389.49"/>
        <n v="404.8"/>
        <n v="409.73"/>
        <n v="424.88"/>
        <n v="429.3"/>
        <n v="436.3"/>
        <n v="463.19"/>
        <n v="483.99"/>
        <n v="488.54"/>
        <n v="456.36"/>
        <n v="447.08"/>
        <n v="434.51"/>
        <n v="462.78"/>
        <n v="465.33"/>
        <n v="450"/>
        <n v="427"/>
        <n v="427.93"/>
        <n v="392.73"/>
        <n v="411.88"/>
        <n v="426.43"/>
        <n v="414.33"/>
        <n v="402.5"/>
        <n v="399.28"/>
        <n v="403.79"/>
        <n v="422.64"/>
        <n v="429.8"/>
        <n v="424"/>
        <n v="439.74"/>
        <n v="433.2"/>
        <n v="428"/>
        <n v="420.73"/>
        <n v="418.88"/>
        <n v="406.69"/>
        <n v="400.59"/>
        <n v="398.59"/>
        <n v="412.5"/>
        <n v="419.99"/>
        <n v="389.17"/>
        <n v="394"/>
        <n v="388.39"/>
        <n v="375.4"/>
        <n v="380.55"/>
        <n v="362.7"/>
        <n v="349.37"/>
        <n v="346.4"/>
        <n v="358.69"/>
        <n v="362"/>
        <n v="359.1"/>
        <n v="367.34"/>
        <n v="362.3"/>
        <n v="354.98"/>
        <n v="342.4"/>
        <n v="328.89"/>
        <n v="309"/>
        <n v="297.23"/>
        <n v="293.88"/>
        <n v="303.94"/>
        <n v="284.35000000000002"/>
        <n v="279.55"/>
        <n v="272.64999999999998"/>
        <n v="266.25"/>
        <n v="253.37"/>
        <n v="237.06"/>
        <n v="248.29"/>
        <n v="251.58"/>
        <n v="245.4"/>
        <n v="230.1"/>
        <n v="241.41"/>
        <n v="238"/>
        <n v="249.52"/>
        <n v="278.64"/>
        <n v="288.2"/>
        <n v="284.89999999999998"/>
        <n v="291.85000000000002"/>
        <n v="276.10000000000002"/>
        <n v="260.56"/>
        <n v="277.45"/>
        <n v="284.99"/>
        <n v="276.3"/>
        <n v="261"/>
        <n v="252"/>
        <n v="250.44"/>
        <n v="274.69"/>
        <n v="262.49"/>
        <n v="257.74"/>
        <n v="261.8"/>
        <n v="258.75"/>
        <n v="251.97"/>
        <n v="244.34"/>
        <n v="232.21"/>
        <n v="259.45"/>
        <n v="259.54000000000002"/>
        <n v="294.86"/>
        <n v="293.32"/>
        <n v="284.45"/>
        <n v="290.87"/>
        <n v="294.77999999999997"/>
        <n v="284.85000000000002"/>
        <n v="277.73"/>
        <n v="277.92"/>
        <n v="289.8"/>
        <n v="307.04000000000002"/>
        <n v="322.20999999999998"/>
        <n v="337.59"/>
        <n v="350"/>
        <n v="346.14"/>
        <n v="351.62"/>
        <n v="343"/>
        <n v="354.99"/>
        <n v="347.35"/>
        <n v="343.18"/>
        <n v="363.79"/>
        <n v="365"/>
        <n v="363.68"/>
        <n v="348.02"/>
        <n v="355.4"/>
        <n v="345.6"/>
        <n v="324.55"/>
        <n v="305.5"/>
        <n v="309.83"/>
        <n v="327.83"/>
        <n v="335.5"/>
        <n v="332.56"/>
        <n v="332.99"/>
        <n v="332.05"/>
        <n v="327.26"/>
        <n v="329.32"/>
        <n v="332.36"/>
        <n v="357.54"/>
        <n v="356.26"/>
        <n v="331.05"/>
        <n v="329.34"/>
        <n v="325.58"/>
        <n v="305.89"/>
        <n v="316.83"/>
        <n v="318.45"/>
        <n v="296.14999999999998"/>
        <n v="304.05"/>
        <n v="300.14999999999998"/>
        <n v="310.48"/>
        <n v="314.08999999999997"/>
        <n v="322.60000000000002"/>
        <n v="321.2"/>
        <n v="323.5"/>
        <n v="324.33999999999997"/>
        <n v="330.9"/>
        <n v="338"/>
        <n v="335.41"/>
        <n v="336.2"/>
        <n v="310.14999999999998"/>
        <n v="323.63"/>
        <n v="330.49"/>
        <n v="324.45"/>
        <n v="321.37"/>
        <n v="309.31"/>
        <n v="312.12"/>
        <n v="312.45"/>
        <n v="320.47000000000003"/>
        <n v="322.39999999999998"/>
        <n v="335.15"/>
        <n v="346.64"/>
        <n v="345.26"/>
        <n v="348.98"/>
        <n v="340.47"/>
        <n v="339.3"/>
        <n v="336.27"/>
        <n v="331.37"/>
        <n v="324.89999999999998"/>
        <n v="340.25"/>
        <n v="349.53"/>
        <n v="351.9"/>
        <n v="355.39"/>
        <n v="353.55"/>
        <n v="348.75"/>
        <n v="343.33"/>
        <n v="338.89"/>
        <n v="355.87"/>
        <n v="358.44"/>
        <n v="350.77"/>
        <n v="356.33"/>
        <n v="368.99"/>
        <n v="396.69"/>
        <n v="425.7"/>
        <n v="423.25"/>
        <n v="428.31"/>
        <n v="432.22"/>
        <n v="429.47"/>
        <n v="444.98"/>
        <n v="440.97"/>
        <n v="440.47"/>
        <n v="450.98"/>
        <n v="445"/>
      </sharedItems>
    </cacheField>
    <cacheField name="Low" numFmtId="0">
      <sharedItems containsSemiMixedTypes="0" containsString="0" containsNumber="1" minValue="9.4" maxValue="457.51" count="2117">
        <n v="15.81"/>
        <n v="15.66"/>
        <n v="16.28"/>
        <n v="15.71"/>
        <n v="15.27"/>
        <n v="14.75"/>
        <n v="14.56"/>
        <n v="14.35"/>
        <n v="14.08"/>
        <n v="14.36"/>
        <n v="14.25"/>
        <n v="14.86"/>
        <n v="15"/>
        <n v="13.47"/>
        <n v="13.92"/>
        <n v="13.96"/>
        <n v="13.85"/>
        <n v="14"/>
        <n v="13.83"/>
        <n v="13.89"/>
        <n v="14.04"/>
        <n v="13.59"/>
        <n v="13.81"/>
        <n v="15.01"/>
        <n v="15.28"/>
        <n v="15.3"/>
        <n v="14.95"/>
        <n v="14.41"/>
        <n v="14.24"/>
        <n v="14.18"/>
        <n v="13.77"/>
        <n v="13.72"/>
        <n v="14.09"/>
        <n v="14.17"/>
        <n v="14.69"/>
        <n v="14.31"/>
        <n v="14.33"/>
        <n v="15.13"/>
        <n v="15.4"/>
        <n v="15.42"/>
        <n v="15.33"/>
        <n v="15.18"/>
        <n v="15.08"/>
        <n v="14.71"/>
        <n v="14.91"/>
        <n v="14.44"/>
        <n v="14.32"/>
        <n v="14.53"/>
        <n v="14.72"/>
        <n v="15.32"/>
        <n v="15.29"/>
        <n v="15.41"/>
        <n v="15.31"/>
        <n v="15.21"/>
        <n v="15.22"/>
        <n v="15.04"/>
        <n v="15.89"/>
        <n v="14.6"/>
        <n v="14.67"/>
        <n v="14.4"/>
        <n v="14.05"/>
        <n v="13.53"/>
        <n v="13.69"/>
        <n v="13.33"/>
        <n v="12.89"/>
        <n v="13.15"/>
        <n v="13.39"/>
        <n v="12.75"/>
        <n v="13"/>
        <n v="13.27"/>
        <n v="13.06"/>
        <n v="12.59"/>
        <n v="12.38"/>
        <n v="12.16"/>
        <n v="12.54"/>
        <n v="12.18"/>
        <n v="12.02"/>
        <n v="11.35"/>
        <n v="11.13"/>
        <n v="10.52"/>
        <n v="9.73"/>
        <n v="9.4"/>
        <n v="9.4499999999999993"/>
        <n v="9.8000000000000007"/>
        <n v="9.58"/>
        <n v="10.27"/>
        <n v="10.45"/>
        <n v="10.98"/>
        <n v="10.83"/>
        <n v="11.32"/>
        <n v="11.58"/>
        <n v="11.19"/>
        <n v="11.68"/>
        <n v="12.33"/>
        <n v="12.61"/>
        <n v="12.1"/>
        <n v="12.28"/>
        <n v="13.17"/>
        <n v="13.16"/>
        <n v="13.48"/>
        <n v="13.52"/>
        <n v="13.38"/>
        <n v="14.1"/>
        <n v="14.47"/>
        <n v="15.2"/>
        <n v="15.67"/>
        <n v="15.5"/>
        <n v="14.8"/>
        <n v="15.02"/>
        <n v="15.1"/>
        <n v="15.55"/>
        <n v="16.239999999999998"/>
        <n v="16"/>
        <n v="16.899999999999999"/>
        <n v="16.97"/>
        <n v="16.53"/>
        <n v="16.350000000000001"/>
        <n v="16.489999999999998"/>
        <n v="16.739999999999998"/>
        <n v="16.61"/>
        <n v="16.78"/>
        <n v="16.079999999999998"/>
        <n v="16.100000000000001"/>
        <n v="16.46"/>
        <n v="16.38"/>
        <n v="16.72"/>
        <n v="16.63"/>
        <n v="16.5"/>
        <n v="15.85"/>
        <n v="15.65"/>
        <n v="15.44"/>
        <n v="13.99"/>
        <n v="13.87"/>
        <n v="13.79"/>
        <n v="13.67"/>
        <n v="13.74"/>
        <n v="13.58"/>
        <n v="13.78"/>
        <n v="13.86"/>
        <n v="13.6"/>
        <n v="13.82"/>
        <n v="14.42"/>
        <n v="14.39"/>
        <n v="14.43"/>
        <n v="14.77"/>
        <n v="14.46"/>
        <n v="15.51"/>
        <n v="15.14"/>
        <n v="14.51"/>
        <n v="14.34"/>
        <n v="14.23"/>
        <n v="14.3"/>
        <n v="14.55"/>
        <n v="14.59"/>
        <n v="13.05"/>
        <n v="12.81"/>
        <n v="12.65"/>
        <n v="12.52"/>
        <n v="13.29"/>
        <n v="13.93"/>
        <n v="13.73"/>
        <n v="14.2"/>
        <n v="14.63"/>
        <n v="14.88"/>
        <n v="14.74"/>
        <n v="14.64"/>
        <n v="14.98"/>
        <n v="14.61"/>
        <n v="14.76"/>
        <n v="15.11"/>
        <n v="15.35"/>
        <n v="15.16"/>
        <n v="15.07"/>
        <n v="14.97"/>
        <n v="14.89"/>
        <n v="14.94"/>
        <n v="14.85"/>
        <n v="14.82"/>
        <n v="14.84"/>
        <n v="14.81"/>
        <n v="14.03"/>
        <n v="13.91"/>
        <n v="13.37"/>
        <n v="13.08"/>
        <n v="13.09"/>
        <n v="12.91"/>
        <n v="12.94"/>
        <n v="12.9"/>
        <n v="12.99"/>
        <n v="13.44"/>
        <n v="13.71"/>
        <n v="13.64"/>
        <n v="13.68"/>
        <n v="13.3"/>
        <n v="13.88"/>
        <n v="13.35"/>
        <n v="13.31"/>
        <n v="13.22"/>
        <n v="13.36"/>
        <n v="13.14"/>
        <n v="12.8"/>
        <n v="12.88"/>
        <n v="13.2"/>
        <n v="13.41"/>
        <n v="13.34"/>
        <n v="13.32"/>
        <n v="12.5"/>
        <n v="12.47"/>
        <n v="12.4"/>
        <n v="12.67"/>
        <n v="12.26"/>
        <n v="12.03"/>
        <n v="12.2"/>
        <n v="11.88"/>
        <n v="12.14"/>
        <n v="12.08"/>
        <n v="12.29"/>
        <n v="12.25"/>
        <n v="12.6"/>
        <n v="12.97"/>
        <n v="12.63"/>
        <n v="12.07"/>
        <n v="12"/>
        <n v="12.17"/>
        <n v="12.64"/>
        <n v="12.72"/>
        <n v="12.74"/>
        <n v="12.87"/>
        <n v="13.12"/>
        <n v="13.5"/>
        <n v="14.29"/>
        <n v="14.48"/>
        <n v="14.27"/>
        <n v="14.11"/>
        <n v="14.06"/>
        <n v="15.03"/>
        <n v="15.62"/>
        <n v="16.05"/>
        <n v="16.2"/>
        <n v="16.37"/>
        <n v="16.64"/>
        <n v="16.79"/>
        <n v="16.57"/>
        <n v="16.47"/>
        <n v="16.510000000000002"/>
        <n v="16.600000000000001"/>
        <n v="16.649999999999999"/>
        <n v="16.71"/>
        <n v="17.09"/>
        <n v="17.079999999999998"/>
        <n v="17.739999999999998"/>
        <n v="18.03"/>
        <n v="18.57"/>
        <n v="18.43"/>
        <n v="17.899999999999999"/>
        <n v="17.61"/>
        <n v="18.27"/>
        <n v="18.170000000000002"/>
        <n v="17.04"/>
        <n v="16.68"/>
        <n v="16.13"/>
        <n v="16.260000000000002"/>
        <n v="16.55"/>
        <n v="16.190000000000001"/>
        <n v="16.399999999999999"/>
        <n v="16.95"/>
        <n v="17.27"/>
        <n v="17.41"/>
        <n v="17.25"/>
        <n v="16.7"/>
        <n v="16.89"/>
        <n v="17"/>
        <n v="17.32"/>
        <n v="18.329999999999998"/>
        <n v="18.37"/>
        <n v="18.48"/>
        <n v="18.420000000000002"/>
        <n v="18.97"/>
        <n v="19.64"/>
        <n v="19.61"/>
        <n v="19.809999999999999"/>
        <n v="20.58"/>
        <n v="20.37"/>
        <n v="19.75"/>
        <n v="19.690000000000001"/>
        <n v="19.91"/>
        <n v="19.86"/>
        <n v="20.14"/>
        <n v="20.02"/>
        <n v="20.03"/>
        <n v="20.399999999999999"/>
        <n v="20.39"/>
        <n v="20.6"/>
        <n v="20.5"/>
        <n v="20.53"/>
        <n v="20.99"/>
        <n v="21.1"/>
        <n v="20.7"/>
        <n v="19.38"/>
        <n v="19.79"/>
        <n v="20.61"/>
        <n v="21.21"/>
        <n v="21.31"/>
        <n v="21.44"/>
        <n v="20.84"/>
        <n v="21.01"/>
        <n v="20.350000000000001"/>
        <n v="20.68"/>
        <n v="20.45"/>
        <n v="20.23"/>
        <n v="20.36"/>
        <n v="20.52"/>
        <n v="21.09"/>
        <n v="21.72"/>
        <n v="22.34"/>
        <n v="22.49"/>
        <n v="22.4"/>
        <n v="22.28"/>
        <n v="22.66"/>
        <n v="23.68"/>
        <n v="24.01"/>
        <n v="23.65"/>
        <n v="23.37"/>
        <n v="24.44"/>
        <n v="25.09"/>
        <n v="24.43"/>
        <n v="24.67"/>
        <n v="24.52"/>
        <n v="24.65"/>
        <n v="24.53"/>
        <n v="24.9"/>
        <n v="25.29"/>
        <n v="24.87"/>
        <n v="24.13"/>
        <n v="24.17"/>
        <n v="23.61"/>
        <n v="23.97"/>
        <n v="23.43"/>
        <n v="21.76"/>
        <n v="20.420000000000002"/>
        <n v="20.49"/>
        <n v="20.21"/>
        <n v="20.95"/>
        <n v="21.63"/>
        <n v="21.33"/>
        <n v="21.41"/>
        <n v="20.9"/>
        <n v="21.04"/>
        <n v="21.55"/>
        <n v="21.61"/>
        <n v="22"/>
        <n v="22.54"/>
        <n v="21.75"/>
        <n v="22.17"/>
        <n v="21.4"/>
        <n v="21.08"/>
        <n v="20.75"/>
        <n v="22.88"/>
        <n v="22.89"/>
        <n v="23.52"/>
        <n v="23.83"/>
        <n v="23.93"/>
        <n v="23.64"/>
        <n v="23.57"/>
        <n v="23.96"/>
        <n v="23.44"/>
        <n v="23.05"/>
        <n v="22.12"/>
        <n v="22.55"/>
        <n v="23.32"/>
        <n v="23.15"/>
        <n v="22.65"/>
        <n v="22.58"/>
        <n v="23.13"/>
        <n v="23.58"/>
        <n v="23.06"/>
        <n v="22.77"/>
        <n v="22.9"/>
        <n v="22.82"/>
        <n v="23.33"/>
        <n v="24.03"/>
        <n v="24.18"/>
        <n v="24.85"/>
        <n v="25.18"/>
        <n v="24.74"/>
        <n v="24.3"/>
        <n v="23.39"/>
        <n v="22.86"/>
        <n v="22.73"/>
        <n v="22.7"/>
        <n v="22.36"/>
        <n v="22.57"/>
        <n v="22.37"/>
        <n v="22.09"/>
        <n v="23.31"/>
        <n v="23.42"/>
        <n v="23.48"/>
        <n v="22.84"/>
        <n v="23.04"/>
        <n v="23.41"/>
        <n v="23.51"/>
        <n v="23.14"/>
        <n v="23.34"/>
        <n v="23.21"/>
        <n v="22.96"/>
        <n v="22.42"/>
        <n v="22.41"/>
        <n v="21.57"/>
        <n v="21.11"/>
        <n v="21.15"/>
        <n v="21.35"/>
        <n v="19.510000000000002"/>
        <n v="19.68"/>
        <n v="19.93"/>
        <n v="20"/>
        <n v="20.09"/>
        <n v="20.12"/>
        <n v="19.940000000000001"/>
        <n v="20.46"/>
        <n v="20.100000000000001"/>
        <n v="20.88"/>
        <n v="20.32"/>
        <n v="20.79"/>
        <n v="20.73"/>
        <n v="20.63"/>
        <n v="20.93"/>
        <n v="20.079999999999998"/>
        <n v="20.3"/>
        <n v="20.34"/>
        <n v="20.04"/>
        <n v="20.07"/>
        <n v="20.74"/>
        <n v="20.92"/>
        <n v="22.43"/>
        <n v="22.46"/>
        <n v="22.38"/>
        <n v="22.51"/>
        <n v="22.02"/>
        <n v="21.67"/>
        <n v="21.81"/>
        <n v="21.65"/>
        <n v="20.72"/>
        <n v="20.64"/>
        <n v="20.67"/>
        <n v="20.38"/>
        <n v="20.8"/>
        <n v="21.03"/>
        <n v="21.83"/>
        <n v="22.22"/>
        <n v="22.24"/>
        <n v="22.32"/>
        <n v="22.92"/>
        <n v="23.28"/>
        <n v="23.4"/>
        <n v="22.81"/>
        <n v="23.01"/>
        <n v="23.24"/>
        <n v="22.2"/>
        <n v="20.97"/>
        <n v="19.649999999999999"/>
        <n v="20.83"/>
        <n v="21.23"/>
        <n v="21.49"/>
        <n v="22.11"/>
        <n v="22.1"/>
        <n v="22.21"/>
        <n v="23.49"/>
        <n v="21.53"/>
        <n v="21.95"/>
        <n v="21.8"/>
        <n v="21.45"/>
        <n v="21.77"/>
        <n v="21.6"/>
        <n v="21.27"/>
        <n v="20.55"/>
        <n v="19.420000000000002"/>
        <n v="16.809999999999999"/>
        <n v="16.309999999999999"/>
        <n v="16.8"/>
        <n v="19.21"/>
        <n v="19.7"/>
        <n v="19.28"/>
        <n v="19.579999999999998"/>
        <n v="19.98"/>
        <n v="19.73"/>
        <n v="19.27"/>
        <n v="18.829999999999998"/>
        <n v="19.239999999999998"/>
        <n v="19.32"/>
        <n v="18.82"/>
        <n v="18.559999999999999"/>
        <n v="18.920000000000002"/>
        <n v="19.5"/>
        <n v="19.55"/>
        <n v="19.850000000000001"/>
        <n v="18.350000000000001"/>
        <n v="18.63"/>
        <n v="20.27"/>
        <n v="19.440000000000001"/>
        <n v="18.7"/>
        <n v="18.77"/>
        <n v="18.93"/>
        <n v="18.75"/>
        <n v="18.23"/>
        <n v="18.41"/>
        <n v="18.86"/>
        <n v="19.57"/>
        <n v="19.12"/>
        <n v="19.829999999999998"/>
        <n v="20.91"/>
        <n v="21.14"/>
        <n v="21.5"/>
        <n v="22.53"/>
        <n v="23.11"/>
        <n v="23.63"/>
        <n v="23.08"/>
        <n v="23.47"/>
        <n v="22.13"/>
        <n v="22.63"/>
        <n v="23.07"/>
        <n v="22.83"/>
        <n v="21.99"/>
        <n v="20.65"/>
        <n v="20.13"/>
        <n v="21.28"/>
        <n v="21"/>
        <n v="20.85"/>
        <n v="20.62"/>
        <n v="20.57"/>
        <n v="20.78"/>
        <n v="19.52"/>
        <n v="19.63"/>
        <n v="20.239999999999998"/>
        <n v="19.079999999999998"/>
        <n v="19.53"/>
        <n v="21.54"/>
        <n v="22.79"/>
        <n v="22.61"/>
        <n v="24.47"/>
        <n v="23.27"/>
        <n v="22.14"/>
        <n v="22.25"/>
        <n v="20.98"/>
        <n v="21.29"/>
        <n v="20.59"/>
        <n v="20.25"/>
        <n v="19.2"/>
        <n v="18.59"/>
        <n v="16.82"/>
        <n v="18.07"/>
        <n v="18.239999999999998"/>
        <n v="18.579999999999998"/>
        <n v="19.010000000000002"/>
        <n v="19.100000000000001"/>
        <n v="19.559999999999999"/>
        <n v="19.77"/>
        <n v="17.37"/>
        <n v="18.510000000000002"/>
        <n v="17.329999999999998"/>
        <n v="16.52"/>
        <n v="17.48"/>
        <n v="17.72"/>
        <n v="17.53"/>
        <n v="16.84"/>
        <n v="17.47"/>
        <n v="19.05"/>
        <n v="20.440000000000001"/>
        <n v="21.48"/>
        <n v="21.94"/>
        <n v="22.01"/>
        <n v="22.72"/>
        <n v="23.23"/>
        <n v="23.02"/>
        <n v="22.15"/>
        <n v="22.48"/>
        <n v="22.6"/>
        <n v="23.53"/>
        <n v="21.7"/>
        <n v="22.64"/>
        <n v="23.38"/>
        <n v="23.84"/>
        <n v="23.54"/>
        <n v="24.02"/>
        <n v="24.34"/>
        <n v="24.45"/>
        <n v="24.29"/>
        <n v="22.93"/>
        <n v="21.98"/>
        <n v="21.68"/>
        <n v="19.920000000000002"/>
        <n v="20.18"/>
        <n v="21.18"/>
        <n v="22.27"/>
        <n v="22.3"/>
        <n v="22.94"/>
        <n v="18.78"/>
        <n v="18.62"/>
        <n v="19.3"/>
        <n v="19.18"/>
        <n v="19.45"/>
        <n v="19.899999999999999"/>
        <n v="19.600000000000001"/>
        <n v="20.82"/>
        <n v="20.2"/>
        <n v="20.260000000000002"/>
        <n v="19.37"/>
        <n v="19.47"/>
        <n v="19.8"/>
        <n v="19.25"/>
        <n v="19.46"/>
        <n v="18.850000000000001"/>
        <n v="18.010000000000002"/>
        <n v="18.29"/>
        <n v="18.28"/>
        <n v="18.39"/>
        <n v="18.739999999999998"/>
        <n v="19.22"/>
        <n v="17.82"/>
        <n v="17.559999999999999"/>
        <n v="17.75"/>
        <n v="17.600000000000001"/>
        <n v="16.96"/>
        <n v="17.63"/>
        <n v="17.88"/>
        <n v="18.34"/>
        <n v="18.3"/>
        <n v="19.14"/>
        <n v="17.97"/>
        <n v="18.190000000000001"/>
        <n v="17.71"/>
        <n v="17.79"/>
        <n v="17.239999999999998"/>
        <n v="17.649999999999999"/>
        <n v="17.98"/>
        <n v="17.5"/>
        <n v="17.05"/>
        <n v="17.2"/>
        <n v="15.48"/>
        <n v="15.8"/>
        <n v="15.43"/>
        <n v="16.23"/>
        <n v="16.34"/>
        <n v="15.73"/>
        <n v="13.02"/>
        <n v="13.07"/>
        <n v="12.79"/>
        <n v="12.41"/>
        <n v="12.58"/>
        <n v="12.34"/>
        <n v="12.27"/>
        <n v="11.8"/>
        <n v="11.97"/>
        <n v="13.45"/>
        <n v="13.57"/>
        <n v="14.28"/>
        <n v="14.37"/>
        <n v="14.73"/>
        <n v="14.54"/>
        <n v="14.49"/>
        <n v="15.09"/>
        <n v="15.63"/>
        <n v="15.39"/>
        <n v="15.24"/>
        <n v="15.15"/>
        <n v="15.54"/>
        <n v="15.72"/>
        <n v="15.98"/>
        <n v="16.32"/>
        <n v="17.21"/>
        <n v="15.78"/>
        <n v="15.45"/>
        <n v="15.05"/>
        <n v="15.59"/>
        <n v="15.25"/>
        <n v="15.17"/>
        <n v="14.45"/>
        <n v="14.78"/>
        <n v="14.07"/>
        <n v="14.14"/>
        <n v="14.15"/>
        <n v="15.26"/>
        <n v="16.29"/>
        <n v="16.02"/>
        <n v="16.16"/>
        <n v="15.88"/>
        <n v="15.95"/>
        <n v="15.92"/>
        <n v="15.74"/>
        <n v="15.94"/>
        <n v="15.96"/>
        <n v="16.04"/>
        <n v="16.11"/>
        <n v="16.45"/>
        <n v="16.48"/>
        <n v="16.940000000000001"/>
        <n v="17.13"/>
        <n v="17.34"/>
        <n v="17.010000000000002"/>
        <n v="16.760000000000002"/>
        <n v="19.739999999999998"/>
        <n v="21.51"/>
        <n v="20.66"/>
        <n v="20.87"/>
        <n v="21.07"/>
        <n v="21.87"/>
        <n v="22.8"/>
        <n v="23.22"/>
        <n v="23.19"/>
        <n v="23.3"/>
        <n v="23.6"/>
        <n v="21.9"/>
        <n v="21.91"/>
        <n v="22.19"/>
        <n v="21.82"/>
        <n v="22.62"/>
        <n v="23.55"/>
        <n v="25.06"/>
        <n v="25.37"/>
        <n v="26.43"/>
        <n v="26.68"/>
        <n v="27.33"/>
        <n v="27.51"/>
        <n v="28.42"/>
        <n v="28.41"/>
        <n v="27.28"/>
        <n v="26.81"/>
        <n v="28.11"/>
        <n v="29.13"/>
        <n v="29.33"/>
        <n v="30.22"/>
        <n v="31.22"/>
        <n v="31.52"/>
        <n v="31.58"/>
        <n v="32.799999999999997"/>
        <n v="34.99"/>
        <n v="34.450000000000003"/>
        <n v="32.81"/>
        <n v="33.54"/>
        <n v="35.229999999999997"/>
        <n v="37.270000000000003"/>
        <n v="37.04"/>
        <n v="36.950000000000003"/>
        <n v="35.950000000000003"/>
        <n v="37.21"/>
        <n v="37.83"/>
        <n v="41.2"/>
        <n v="42.17"/>
        <n v="44.9"/>
        <n v="55.59"/>
        <n v="46.94"/>
        <n v="45.8"/>
        <n v="48.67"/>
        <n v="50.16"/>
        <n v="50.53"/>
        <n v="50.89"/>
        <n v="49"/>
        <n v="52.37"/>
        <n v="55.49"/>
        <n v="60.07"/>
        <n v="57.33"/>
        <n v="58.7"/>
        <n v="54.81"/>
        <n v="52.47"/>
        <n v="51.74"/>
        <n v="44.6"/>
        <n v="40.770000000000003"/>
        <n v="45.78"/>
        <n v="47.74"/>
        <n v="48.32"/>
        <n v="47.87"/>
        <n v="45.62"/>
        <n v="40.33"/>
        <n v="40.53"/>
        <n v="40.869999999999997"/>
        <n v="36.42"/>
        <n v="33.47"/>
        <n v="29.48"/>
        <n v="26.4"/>
        <n v="23.9"/>
        <n v="28.39"/>
        <n v="27.37"/>
        <n v="31.6"/>
        <n v="34.07"/>
        <n v="34.15"/>
        <n v="32.94"/>
        <n v="32.75"/>
        <n v="33.130000000000003"/>
        <n v="31.67"/>
        <n v="29.76"/>
        <n v="31.23"/>
        <n v="33.200000000000003"/>
        <n v="35.49"/>
        <n v="35.56"/>
        <n v="37.14"/>
        <n v="38.700000000000003"/>
        <n v="46.16"/>
        <n v="47.33"/>
        <n v="47.11"/>
        <n v="49.84"/>
        <n v="47.48"/>
        <n v="44.92"/>
        <n v="45.91"/>
        <n v="46.88"/>
        <n v="46.55"/>
        <n v="50.45"/>
        <n v="52.21"/>
        <n v="50.9"/>
        <n v="45.54"/>
        <n v="46.53"/>
        <n v="50.81"/>
        <n v="50.74"/>
        <n v="51.49"/>
        <n v="52.33"/>
        <n v="53.87"/>
        <n v="50.93"/>
        <n v="52.44"/>
        <n v="53.59"/>
        <n v="53.74"/>
        <n v="54.12"/>
        <n v="53.07"/>
        <n v="54.13"/>
        <n v="54.38"/>
        <n v="53.45"/>
        <n v="53.61"/>
        <n v="56.94"/>
        <n v="58.07"/>
        <n v="58.67"/>
        <n v="57.23"/>
        <n v="57.75"/>
        <n v="60.61"/>
        <n v="61.6"/>
        <n v="65.5"/>
        <n v="64.8"/>
        <n v="60.84"/>
        <n v="60.57"/>
        <n v="64.16"/>
        <n v="66.3"/>
        <n v="66.09"/>
        <n v="66"/>
        <n v="66.27"/>
        <n v="63.54"/>
        <n v="62.48"/>
        <n v="63.66"/>
        <n v="63.23"/>
        <n v="66.92"/>
        <n v="72.03"/>
        <n v="79.040000000000006"/>
        <n v="84.4"/>
        <n v="89.11"/>
        <n v="87.42"/>
        <n v="90.09"/>
        <n v="91.73"/>
        <n v="98.07"/>
        <n v="95.4"/>
        <n v="97.13"/>
        <n v="97.73"/>
        <n v="99.33"/>
        <n v="99.2"/>
        <n v="103.87"/>
        <n v="104.13"/>
        <n v="98.72"/>
        <n v="91.1"/>
        <n v="94.2"/>
        <n v="98.29"/>
        <n v="99.13"/>
        <n v="94.73"/>
        <n v="96.29"/>
        <n v="97.47"/>
        <n v="97.89"/>
        <n v="98.48"/>
        <n v="94.33"/>
        <n v="92.39"/>
        <n v="91"/>
        <n v="95.67"/>
        <n v="104.48"/>
        <n v="108.44"/>
        <n v="111.52"/>
        <n v="123.01"/>
        <n v="122.75"/>
        <n v="123.8"/>
        <n v="135"/>
        <n v="128.5"/>
        <n v="131.19999999999999"/>
        <n v="136.91"/>
        <n v="142.83000000000001"/>
        <n v="145.77000000000001"/>
        <n v="146.69999999999999"/>
        <n v="156.84"/>
        <n v="135.04"/>
        <n v="134"/>
        <n v="124.01"/>
        <n v="109.96"/>
        <n v="113.84"/>
        <n v="120.19"/>
        <n v="120.17"/>
        <n v="124.43"/>
        <n v="143.57"/>
        <n v="145.1"/>
        <n v="136"/>
        <n v="142.93"/>
        <n v="135.69"/>
        <n v="139.19999999999999"/>
        <n v="125.29"/>
        <n v="117.1"/>
        <n v="130.43"/>
        <n v="138.52000000000001"/>
        <n v="137.19999999999999"/>
        <n v="140.16"/>
        <n v="144.81"/>
        <n v="138.33000000000001"/>
        <n v="139.78"/>
        <n v="135.35"/>
        <n v="137.94999999999999"/>
        <n v="141.77000000000001"/>
        <n v="142.15"/>
        <n v="146.19"/>
        <n v="145.53"/>
        <n v="149.12"/>
        <n v="147.5"/>
        <n v="146.28"/>
        <n v="142.96"/>
        <n v="139.68"/>
        <n v="140.41999999999999"/>
        <n v="141.5"/>
        <n v="135.79"/>
        <n v="136.66999999999999"/>
        <n v="140.03"/>
        <n v="135.33000000000001"/>
        <n v="135.49"/>
        <n v="126.37"/>
        <n v="130.77000000000001"/>
        <n v="135.56"/>
        <n v="139.03"/>
        <n v="141.33000000000001"/>
        <n v="141.43"/>
        <n v="140.33000000000001"/>
        <n v="132.01"/>
        <n v="136.86000000000001"/>
        <n v="136.51"/>
        <n v="133.88999999999999"/>
        <n v="134.69999999999999"/>
        <n v="144.34"/>
        <n v="147.83000000000001"/>
        <n v="162.52000000000001"/>
        <n v="163.02000000000001"/>
        <n v="167.26"/>
        <n v="175.4"/>
        <n v="181.79"/>
        <n v="192.82"/>
        <n v="184.84"/>
        <n v="190.68"/>
        <n v="180.4"/>
        <n v="194.14"/>
        <n v="195.17"/>
        <n v="201.02"/>
        <n v="206.17"/>
        <n v="196"/>
        <n v="188.78"/>
        <n v="198.93"/>
        <n v="203.4"/>
        <n v="207.93"/>
        <n v="201.67"/>
        <n v="206.5"/>
        <n v="209.51"/>
        <n v="215.36"/>
        <n v="204.74"/>
        <n v="207.52"/>
        <n v="213.67"/>
        <n v="220.27"/>
        <n v="218.33"/>
        <n v="222.79"/>
        <n v="230.37"/>
        <n v="239.06"/>
        <n v="239.73"/>
        <n v="249.7"/>
        <n v="258.39999999999998"/>
        <n v="279.45999999999998"/>
        <n v="267.87"/>
        <n v="275.77999999999997"/>
        <n v="277.33"/>
        <n v="279.58"/>
        <n v="273.02999999999997"/>
        <n v="277.67"/>
        <n v="279.08999999999997"/>
        <n v="280.47000000000003"/>
        <n v="276.20999999999998"/>
        <n v="279.61"/>
        <n v="290.52999999999997"/>
        <n v="286.22000000000003"/>
        <n v="267"/>
        <n v="260.02999999999997"/>
        <n v="265.19"/>
        <n v="280.73"/>
        <n v="284.35000000000002"/>
        <n v="277.81"/>
        <n v="279.66000000000003"/>
        <n v="284.92"/>
        <n v="280.58"/>
        <n v="266.67"/>
        <n v="267.24"/>
        <n v="261.77999999999997"/>
        <n v="264.14999999999998"/>
        <n v="254"/>
        <n v="258.76"/>
        <n v="259.12"/>
        <n v="236.73"/>
        <n v="206.33"/>
        <n v="231.39"/>
        <n v="223.53"/>
        <n v="219.84"/>
        <n v="228.35"/>
        <n v="228.33"/>
        <n v="217.24"/>
        <n v="200"/>
        <n v="179.83"/>
        <n v="186.26"/>
        <n v="198.4"/>
        <n v="218.35"/>
        <n v="225.73"/>
        <n v="222.05"/>
        <n v="228.01"/>
        <n v="223.67"/>
        <n v="217"/>
        <n v="217.33"/>
        <n v="208.21"/>
        <n v="222.92"/>
        <n v="219.17"/>
        <n v="210.04"/>
        <n v="203.17"/>
        <n v="199.96"/>
        <n v="198.67"/>
        <n v="197"/>
        <n v="213.7"/>
        <n v="219.81"/>
        <n v="228.23"/>
        <n v="227.12"/>
        <n v="222.61"/>
        <n v="223.88"/>
        <n v="223.14"/>
        <n v="227.36"/>
        <n v="236.89"/>
        <n v="242.68"/>
        <n v="240.44"/>
        <n v="241.53"/>
        <n v="230.6"/>
        <n v="236.9"/>
        <n v="232.67"/>
        <n v="239.35"/>
        <n v="238.49"/>
        <n v="244.2"/>
        <n v="234.45"/>
        <n v="231.2"/>
        <n v="222.83"/>
        <n v="226.83"/>
        <n v="219.23"/>
        <n v="222.45"/>
        <n v="216.67"/>
        <n v="220.07"/>
        <n v="209.2"/>
        <n v="198.53"/>
        <n v="195.59"/>
        <n v="186.55"/>
        <n v="190.15"/>
        <n v="187.07"/>
        <n v="187.79"/>
        <n v="182.33"/>
        <n v="190.36"/>
        <n v="193.33"/>
        <n v="191.22"/>
        <n v="198.57"/>
        <n v="200.5"/>
        <n v="205.4"/>
        <n v="207.46"/>
        <n v="206.85"/>
        <n v="199.71"/>
        <n v="190.41"/>
        <n v="192.4"/>
        <n v="194.29"/>
        <n v="198.5"/>
        <n v="199.21"/>
        <n v="200.17"/>
        <n v="200.51"/>
        <n v="203.06"/>
        <n v="199.41"/>
        <n v="197.83"/>
        <n v="200.45"/>
        <n v="203.93"/>
        <n v="202.96"/>
        <n v="205.17"/>
        <n v="210.01"/>
        <n v="222.54"/>
        <n v="222.9"/>
        <n v="223.44"/>
        <n v="225.3"/>
        <n v="226.05"/>
        <n v="224.27"/>
        <n v="224.42"/>
        <n v="217.13"/>
        <n v="212.77"/>
        <n v="206.82"/>
        <n v="214.9"/>
        <n v="220.72"/>
        <n v="222.1"/>
        <n v="217.61"/>
        <n v="212.63"/>
        <n v="214.07"/>
        <n v="207.1"/>
        <n v="213.5"/>
        <n v="216.76"/>
        <n v="214.87"/>
        <n v="212.43"/>
        <n v="215.7"/>
        <n v="209.08"/>
        <n v="213.13"/>
        <n v="216.27"/>
        <n v="223"/>
        <n v="232.8"/>
        <n v="233.67"/>
        <n v="236.31"/>
        <n v="237.14"/>
        <n v="232.54"/>
        <n v="235.04"/>
        <n v="233.96"/>
        <n v="234.74"/>
        <n v="233.13"/>
        <n v="238.11"/>
        <n v="225.47"/>
        <n v="216.28"/>
        <n v="223.12"/>
        <n v="222.53"/>
        <n v="224.57"/>
        <n v="226.92"/>
        <n v="234.21"/>
        <n v="234.67"/>
        <n v="234.03"/>
        <n v="237.58"/>
        <n v="242.15"/>
        <n v="243.76"/>
        <n v="243.51"/>
        <n v="241.4"/>
        <n v="246.42"/>
        <n v="246.92"/>
        <n v="250.54"/>
        <n v="244.84"/>
        <n v="236.28"/>
        <n v="245.47"/>
        <n v="246.12"/>
        <n v="249.2"/>
        <n v="250"/>
        <n v="239.54"/>
        <n v="243.48"/>
        <n v="246.37"/>
        <n v="249.31"/>
        <n v="248.19"/>
        <n v="256.44"/>
        <n v="255.39"/>
        <n v="256.89"/>
        <n v="258.33"/>
        <n v="254.53"/>
        <n v="258.70999999999998"/>
        <n v="258.07"/>
        <n v="257.74"/>
        <n v="261.13"/>
        <n v="260.3"/>
        <n v="261.83"/>
        <n v="265.52"/>
        <n v="268.58999999999997"/>
        <n v="271.12"/>
        <n v="274.12"/>
        <n v="283.82"/>
        <n v="287.5"/>
        <n v="285.79000000000002"/>
        <n v="285.17"/>
        <n v="296.99"/>
        <n v="314.73"/>
        <n v="333.81"/>
        <n v="343.59"/>
        <n v="351.4"/>
        <n v="357.74"/>
        <n v="372.89"/>
        <n v="382"/>
        <n v="384.21"/>
        <n v="405.67"/>
        <n v="402.67"/>
        <n v="377.67"/>
        <n v="337.17"/>
        <n v="329.1"/>
        <n v="351.56"/>
        <n v="339.73"/>
        <n v="326.2"/>
        <n v="334.06"/>
        <n v="351.83"/>
        <n v="358.34"/>
        <n v="364.23"/>
        <n v="377.48"/>
        <n v="354.23"/>
        <n v="354"/>
        <n v="360.33"/>
        <n v="366.73"/>
        <n v="372.67"/>
        <n v="363.59"/>
        <n v="352.22"/>
        <n v="333.4"/>
        <n v="316.83"/>
        <n v="342.27"/>
        <n v="344.33"/>
        <n v="334.12"/>
        <n v="327.51"/>
        <n v="317.14"/>
        <n v="310"/>
        <n v="309.42"/>
        <n v="307.27999999999997"/>
        <n v="303.01"/>
        <n v="297.8"/>
        <n v="295.37"/>
        <n v="319.02"/>
        <n v="332.52"/>
        <n v="356.91"/>
        <n v="359.47"/>
        <n v="354.71"/>
        <n v="351.05"/>
        <n v="351.53"/>
        <n v="378.68"/>
        <n v="374.35"/>
        <n v="360.34"/>
        <n v="340.17"/>
        <n v="336.67"/>
        <n v="326.67"/>
        <n v="346.27"/>
        <n v="357.53"/>
        <n v="342.18"/>
        <n v="337.79"/>
        <n v="338.69"/>
        <n v="331.67"/>
        <n v="331.33"/>
        <n v="313.5"/>
        <n v="301.07"/>
        <n v="302"/>
        <n v="276.33"/>
        <n v="264"/>
        <n v="287.35000000000002"/>
        <n v="301.67"/>
        <n v="296.47000000000003"/>
        <n v="293.51"/>
        <n v="293.72000000000003"/>
        <n v="300.89999999999998"/>
        <n v="298.27"/>
        <n v="306.67"/>
        <n v="298.89999999999998"/>
        <n v="283.57"/>
        <n v="284.38"/>
        <n v="297.79000000000002"/>
        <n v="300.39999999999998"/>
        <n v="291.37"/>
        <n v="279.2"/>
        <n v="267.02999999999997"/>
        <n v="253.52"/>
        <n v="233.33"/>
        <n v="260.8"/>
        <n v="271.57"/>
        <n v="284.58999999999997"/>
        <n v="281.42"/>
        <n v="277.52999999999997"/>
        <n v="275.05"/>
        <n v="268.19"/>
        <n v="260.72000000000003"/>
        <n v="277.33999999999997"/>
        <n v="270.12"/>
        <n v="264.58999999999997"/>
        <n v="252.01"/>
        <n v="252.19"/>
        <n v="267.42"/>
        <n v="275.24"/>
        <n v="289.13"/>
        <n v="302.36"/>
        <n v="307.25"/>
        <n v="325.47000000000003"/>
        <n v="329.6"/>
        <n v="332.44"/>
        <n v="351.2"/>
        <n v="357.7"/>
        <n v="361.33"/>
        <n v="358.88"/>
        <n v="355.55"/>
        <n v="357.51"/>
        <n v="362.43"/>
        <n v="342.57"/>
        <n v="340.51"/>
        <n v="340.81"/>
        <n v="324.88"/>
        <n v="325.52999999999997"/>
        <n v="324.37"/>
        <n v="327.39999999999998"/>
        <n v="324.47000000000003"/>
        <n v="331.78"/>
        <n v="325.08"/>
        <n v="332.14"/>
        <n v="325.10000000000002"/>
        <n v="291.67"/>
        <n v="292.45"/>
        <n v="273.89999999999998"/>
        <n v="290"/>
        <n v="282.68"/>
        <n v="296.2"/>
        <n v="295.08999999999997"/>
        <n v="285.89999999999998"/>
        <n v="281.04000000000002"/>
        <n v="260.38"/>
        <n v="258.08"/>
        <n v="242.4"/>
        <n v="226.67"/>
        <n v="250.52"/>
        <n v="239.7"/>
        <n v="242.95"/>
        <n v="233.6"/>
        <n v="231.37"/>
        <n v="211"/>
        <n v="212.69"/>
        <n v="206.86"/>
        <n v="207.67"/>
        <n v="217.89"/>
        <n v="240.18"/>
        <n v="244.74"/>
        <n v="243.64"/>
        <n v="242.07"/>
        <n v="233.42"/>
        <n v="234.35"/>
        <n v="230.09"/>
        <n v="239.18"/>
        <n v="239.33"/>
        <n v="227.91"/>
        <n v="214.68"/>
        <n v="211.74"/>
        <n v="218.15"/>
        <n v="208.69"/>
        <n v="213.2"/>
        <n v="224.33"/>
        <n v="233.83"/>
        <n v="228.64"/>
        <n v="236.09"/>
        <n v="242.57"/>
        <n v="232.34"/>
        <n v="222.27"/>
        <n v="218.86"/>
        <n v="222.12"/>
        <n v="216.17"/>
        <n v="227.19"/>
        <n v="232.21"/>
        <n v="241.16"/>
        <n v="233.63"/>
        <n v="228.37"/>
        <n v="225.03"/>
        <n v="229.33"/>
        <n v="239.6"/>
        <n v="236.98"/>
        <n v="254.87"/>
        <n v="270.70999999999998"/>
        <n v="267.39999999999998"/>
        <n v="256.26"/>
        <n v="261.79000000000002"/>
        <n v="272.8"/>
        <n v="279.10000000000002"/>
        <n v="295"/>
        <n v="292.67"/>
        <n v="301.14999999999998"/>
        <n v="305"/>
        <n v="285.54000000000002"/>
        <n v="289.08999999999997"/>
        <n v="279.35000000000002"/>
        <n v="283.37"/>
        <n v="285.83"/>
        <n v="285.02999999999997"/>
        <n v="301.23"/>
        <n v="302.88"/>
        <n v="300.02999999999997"/>
        <n v="301.85000000000002"/>
        <n v="292.5"/>
        <n v="286.3"/>
        <n v="287.92"/>
        <n v="296.5"/>
        <n v="291.60000000000002"/>
        <n v="287.47000000000003"/>
        <n v="280.7"/>
        <n v="272.64999999999998"/>
        <n v="271.81"/>
        <n v="266.14999999999998"/>
        <n v="269.08"/>
        <n v="265.74"/>
        <n v="272.27"/>
        <n v="279.76"/>
        <n v="291.25"/>
        <n v="290.39999999999998"/>
        <n v="291.64"/>
        <n v="300.72000000000003"/>
        <n v="295.60000000000002"/>
        <n v="305.58"/>
        <n v="300.63"/>
        <n v="285.82"/>
        <n v="272.82"/>
        <n v="270.31"/>
        <n v="277.51"/>
        <n v="277.57"/>
        <n v="265.77999999999997"/>
        <n v="262.47000000000003"/>
        <n v="241.01"/>
        <n v="242.01"/>
        <n v="233.27"/>
        <n v="235.35"/>
        <n v="222.02"/>
        <n v="218.36"/>
        <n v="215"/>
        <n v="211.51"/>
        <n v="206.22"/>
        <n v="204.16"/>
        <n v="209.45"/>
        <n v="217.25"/>
        <n v="217.78"/>
        <n v="202"/>
        <n v="203.8"/>
        <n v="198.59"/>
        <n v="210"/>
        <n v="218.2"/>
        <n v="222.85"/>
        <n v="216.35"/>
        <n v="221.94"/>
        <n v="227.28"/>
        <n v="214.82"/>
        <n v="210.14"/>
        <n v="203.08"/>
        <n v="196.66"/>
        <n v="186.75"/>
        <n v="177.12"/>
        <n v="180.03"/>
        <n v="182.59"/>
        <n v="186.34"/>
        <n v="192.06"/>
        <n v="185.66"/>
        <n v="180.9"/>
        <n v="176.55"/>
        <n v="167.54"/>
        <n v="166.19"/>
        <n v="172.5"/>
        <n v="180.63"/>
        <n v="179"/>
        <n v="178.75"/>
        <n v="191.8"/>
        <n v="191.11"/>
        <n v="180.55"/>
        <n v="175.33"/>
        <n v="172.22"/>
        <n v="169.06"/>
        <n v="173.36"/>
        <n v="167.52"/>
        <n v="156.91"/>
        <n v="155.31"/>
        <n v="153.28"/>
        <n v="150.04"/>
        <n v="145.82"/>
        <n v="137.66"/>
        <n v="135.88999999999999"/>
        <n v="122.26"/>
        <n v="121.02"/>
        <n v="108.76"/>
        <n v="108.24"/>
        <n v="117.5"/>
        <n v="119.75"/>
        <n v="104.64"/>
        <n v="107.52"/>
        <n v="107.16"/>
        <n v="101.81"/>
        <n v="117.11"/>
        <n v="114.92"/>
        <n v="120.51"/>
        <n v="117"/>
        <n v="115.6"/>
        <n v="125.02"/>
        <n v="127.01"/>
        <n v="124.31"/>
        <n v="127.35"/>
        <n v="134.27000000000001"/>
        <n v="141.1"/>
        <n v="138.07"/>
        <n v="154.76"/>
        <n v="161.16999999999999"/>
        <n v="166.5"/>
        <n v="162.78"/>
        <n v="169.93"/>
        <n v="182.61"/>
        <n v="183.69"/>
        <n v="189.92"/>
        <n v="189.55"/>
        <n v="194.31"/>
        <n v="204.77"/>
        <n v="192.89"/>
        <n v="187.61"/>
        <n v="189.44"/>
        <n v="206.11"/>
        <n v="201.84"/>
        <n v="197.5"/>
        <n v="197.22"/>
        <n v="191.78"/>
        <n v="196.33"/>
        <n v="192.8"/>
        <n v="201.26"/>
        <n v="203.75"/>
        <n v="198.52"/>
        <n v="186.01"/>
        <n v="192.88"/>
        <n v="192.3"/>
        <n v="186.1"/>
        <n v="180"/>
        <n v="172.51"/>
        <n v="168.44"/>
        <n v="163.91"/>
        <n v="177.14"/>
        <n v="176.03"/>
        <n v="178.84"/>
        <n v="177.33"/>
        <n v="176.35"/>
        <n v="188.04"/>
        <n v="190.95"/>
        <n v="188.65"/>
        <n v="187.15"/>
        <n v="189.94"/>
        <n v="185.43"/>
        <n v="194.42"/>
        <n v="197.2"/>
        <n v="192.2"/>
        <n v="190.32"/>
        <n v="183.76"/>
        <n v="179.74"/>
        <n v="176.11"/>
        <n v="185.65"/>
        <n v="180.31"/>
        <n v="180.94"/>
        <n v="182.01"/>
        <n v="182.69"/>
        <n v="183.58"/>
        <n v="177.65"/>
        <n v="160.56"/>
        <n v="161.32"/>
        <n v="158.61000000000001"/>
        <n v="158.75"/>
        <n v="153.13999999999999"/>
        <n v="152.37"/>
        <n v="157.32"/>
        <n v="158.83000000000001"/>
        <n v="158.93"/>
        <n v="159.91"/>
        <n v="159.65"/>
        <n v="163.51"/>
        <n v="169.19"/>
        <n v="166.56"/>
        <n v="166.68"/>
        <n v="166.79"/>
        <n v="167.23"/>
        <n v="164.55"/>
        <n v="164.35"/>
        <n v="167.19"/>
        <n v="172.45"/>
        <n v="176.31"/>
        <n v="180.11"/>
        <n v="185.26"/>
        <n v="178.22"/>
        <n v="180.58"/>
        <n v="184.53"/>
        <n v="197.53"/>
        <n v="195.12"/>
        <n v="199.37"/>
        <n v="209.75"/>
        <n v="214.52"/>
        <n v="212.53"/>
        <n v="223.2"/>
        <n v="223.01"/>
        <n v="242.02"/>
        <n v="244.59"/>
        <n v="251.34"/>
        <n v="250.5"/>
        <n v="247.29"/>
        <n v="257.20999999999998"/>
        <n v="261.12"/>
        <n v="257.77999999999997"/>
        <n v="248.25"/>
        <n v="252.8"/>
        <n v="240.7"/>
        <n v="240.85"/>
        <n v="248.89"/>
        <n v="253.61"/>
        <n v="259.89"/>
        <n v="275.11"/>
        <n v="277.60000000000002"/>
        <n v="272.88"/>
        <n v="273.77"/>
        <n v="265.10000000000002"/>
        <n v="266.37"/>
        <n v="271.45999999999998"/>
        <n v="270.60000000000002"/>
        <n v="276.31"/>
        <n v="286.01"/>
        <n v="289.52"/>
        <n v="261.2"/>
        <n v="255.8"/>
        <n v="254.12"/>
        <n v="265"/>
        <n v="261.75"/>
        <n v="255.3"/>
        <n v="258.23"/>
        <n v="263.77999999999997"/>
        <n v="260.25"/>
        <n v="250.49"/>
        <n v="252"/>
        <n v="253.11"/>
        <n v="242.76"/>
        <n v="245.01"/>
        <n v="241.9"/>
        <n v="243"/>
        <n v="238.02"/>
        <n v="233.75"/>
        <n v="232.61"/>
        <n v="225.38"/>
        <n v="218.83"/>
        <n v="212.36"/>
        <n v="220.58"/>
        <n v="229.55"/>
        <n v="229.29"/>
        <n v="228.18"/>
        <n v="230.35"/>
        <n v="237.77"/>
        <n v="250.59"/>
        <n v="255.05"/>
        <n v="244.86"/>
        <n v="245.06"/>
        <n v="243.27"/>
        <n v="246.67"/>
        <n v="260.61"/>
        <n v="266.60000000000002"/>
        <n v="268.10000000000002"/>
        <n v="270.42"/>
        <n v="271"/>
        <n v="263.76"/>
        <n v="262.45999999999998"/>
        <n v="254.21"/>
        <n v="244.48"/>
        <n v="238.31"/>
        <n v="241.66"/>
        <n v="234.58"/>
        <n v="238.65"/>
        <n v="246.35"/>
        <n v="242.62"/>
        <n v="244.45"/>
        <n v="247.6"/>
        <n v="256.25"/>
        <n v="250.65"/>
        <n v="252.05"/>
        <n v="257.64999999999998"/>
        <n v="260.89999999999998"/>
        <n v="256.63"/>
        <n v="250.22"/>
        <n v="248.48"/>
        <n v="247.08"/>
        <n v="242.08"/>
        <n v="216.78"/>
        <n v="210.42"/>
        <n v="202.51"/>
        <n v="214.11"/>
        <n v="212.2"/>
        <n v="204.88"/>
        <n v="205.77"/>
        <n v="194.67"/>
        <n v="194.07"/>
        <n v="197.85"/>
        <n v="211.45"/>
        <n v="218.4"/>
        <n v="215.72"/>
        <n v="217.64"/>
        <n v="206.68"/>
        <n v="205.69"/>
        <n v="211.61"/>
        <n v="230.72"/>
        <n v="236.45"/>
        <n v="230.96"/>
        <n v="226.54"/>
        <n v="231.02"/>
        <n v="233.34"/>
        <n v="231.4"/>
        <n v="232.33"/>
        <n v="232.1"/>
        <n v="234.01"/>
        <n v="236.91"/>
        <n v="231.9"/>
        <n v="233.29"/>
        <n v="233.7"/>
        <n v="239.17"/>
        <n v="239.27"/>
        <n v="237.45"/>
        <n v="233.87"/>
        <n v="228.2"/>
        <n v="240.79"/>
        <n v="248.3"/>
        <n v="251.36"/>
        <n v="253.01"/>
        <n v="247"/>
        <n v="248.55"/>
        <n v="251.37"/>
        <n v="252.91"/>
        <n v="257.52"/>
        <n v="252.71"/>
        <n v="247.43"/>
        <n v="244.41"/>
        <n v="236.32"/>
        <n v="237.73"/>
        <n v="234.9"/>
        <n v="235.3"/>
        <n v="232.04"/>
        <n v="231.29"/>
        <n v="225.37"/>
        <n v="217.15"/>
        <n v="212.18"/>
        <n v="212.01"/>
        <n v="208.74"/>
        <n v="207.56"/>
        <n v="206.27"/>
        <n v="207.75"/>
        <n v="206.77"/>
        <n v="180.06"/>
        <n v="182.1"/>
        <n v="183.67"/>
        <n v="190.61"/>
        <n v="185.85"/>
        <n v="184.28"/>
        <n v="182"/>
        <n v="175.01"/>
        <n v="177.11"/>
        <n v="182.68"/>
        <n v="185.58"/>
        <n v="189.48"/>
        <n v="187.28"/>
        <n v="182.11"/>
        <n v="183.35"/>
        <n v="188.86"/>
        <n v="197.4"/>
        <n v="189.13"/>
        <n v="191.95"/>
        <n v="191.36"/>
        <n v="191.5"/>
        <n v="192"/>
        <n v="198.26"/>
        <n v="198.44"/>
        <n v="198.45"/>
        <n v="186.72"/>
        <n v="177.57"/>
        <n v="173.7"/>
        <n v="174.7"/>
        <n v="174.8"/>
        <n v="172.41"/>
        <n v="169.15"/>
        <n v="160.51"/>
        <n v="160.76"/>
        <n v="165.9"/>
        <n v="167.42"/>
        <n v="170.82"/>
        <n v="171.8"/>
        <n v="166.3"/>
        <n v="168.73"/>
        <n v="177.38"/>
        <n v="176"/>
        <n v="175.3"/>
        <n v="170.21"/>
        <n v="163.43"/>
        <n v="163.28"/>
        <n v="168.01"/>
        <n v="167.79"/>
        <n v="171.92"/>
        <n v="170.01"/>
        <n v="168.51"/>
        <n v="170.36"/>
        <n v="161.38"/>
        <n v="153.75"/>
        <n v="153.78"/>
        <n v="148.69999999999999"/>
        <n v="146.22"/>
        <n v="138.80000000000001"/>
        <n v="141.11000000000001"/>
        <n v="157.51"/>
        <n v="158.36000000000001"/>
        <n v="166.37"/>
        <n v="184.54"/>
        <n v="182.84"/>
        <n v="179.01"/>
        <n v="176.02"/>
        <n v="178.42"/>
        <n v="182.2"/>
        <n v="177.4"/>
        <n v="170.15"/>
        <n v="171.37"/>
        <n v="167.75"/>
        <n v="169"/>
        <n v="174.07"/>
        <n v="173.11"/>
        <n v="171.43"/>
        <n v="172.75"/>
        <n v="173.52"/>
        <n v="174.71"/>
        <n v="178.12"/>
        <n v="173.26"/>
        <n v="173.73"/>
        <n v="173.16"/>
        <n v="173.93"/>
        <n v="175.38"/>
        <n v="173.82"/>
        <n v="174.49"/>
        <n v="174"/>
        <n v="172.13"/>
        <n v="172.73"/>
        <n v="175.58"/>
        <n v="173.17"/>
        <n v="167.41"/>
        <n v="169.8"/>
        <n v="181.23"/>
        <n v="176.92"/>
        <n v="177"/>
        <n v="182.37"/>
        <n v="179.66"/>
        <n v="180.69"/>
        <n v="182.55"/>
        <n v="186.36"/>
        <n v="194.05"/>
        <n v="195.26"/>
        <n v="200.85"/>
        <n v="218.06"/>
        <n v="234.25"/>
        <n v="242.46"/>
        <n v="244.57"/>
        <n v="250.3"/>
        <n v="257.86"/>
        <n v="239.65"/>
        <n v="233.09"/>
        <n v="251.73"/>
        <n v="245.8"/>
        <n v="246.18"/>
        <n v="247.2"/>
        <n v="236.83"/>
        <n v="243.75"/>
        <n v="245.63"/>
        <n v="214.71"/>
        <n v="216.23"/>
        <n v="215.33"/>
        <n v="224.7"/>
        <n v="220"/>
        <n v="226.79"/>
        <n v="214.33"/>
        <n v="205.78"/>
        <n v="192.67"/>
        <n v="191.48"/>
        <n v="192.04"/>
        <n v="195.11"/>
        <n v="197.06"/>
        <n v="198.75"/>
        <n v="204.82"/>
        <n v="210.8"/>
        <n v="214.09"/>
        <n v="219.56"/>
        <n v="210.32"/>
        <n v="214.21"/>
        <n v="211.01"/>
        <n v="206.94"/>
        <n v="202.59"/>
        <n v="205.97"/>
        <n v="207.03"/>
        <n v="209.64"/>
        <n v="210.57"/>
        <n v="222.25"/>
        <n v="210.51"/>
        <n v="218.64"/>
        <n v="216.8"/>
        <n v="223.83"/>
        <n v="226.32"/>
        <n v="226.55"/>
        <n v="226.88"/>
        <n v="232.13"/>
        <n v="235.92"/>
        <n v="241.92"/>
        <n v="249.05"/>
        <n v="252.28"/>
        <n v="251.53"/>
        <n v="255.77"/>
        <n v="248.53"/>
        <n v="241.5"/>
        <n v="237.81"/>
        <n v="244.58"/>
        <n v="240.56"/>
        <n v="239.51"/>
        <n v="214.38"/>
        <n v="213.74"/>
        <n v="217.12"/>
        <n v="218.93"/>
        <n v="217.9"/>
        <n v="215.73"/>
        <n v="215.26"/>
        <n v="212.11"/>
        <n v="242.65"/>
        <n v="255.32"/>
        <n v="262.24"/>
        <n v="255.51"/>
        <n v="255.82"/>
        <n v="249.25"/>
        <n v="246.63"/>
        <n v="238.88"/>
        <n v="246.21"/>
        <n v="275.62"/>
        <n v="285.52"/>
        <n v="297.66000000000003"/>
        <n v="336"/>
        <n v="323.31"/>
        <n v="322.5"/>
        <n v="310.37"/>
        <n v="309.22000000000003"/>
        <n v="330.01"/>
        <n v="332.75"/>
        <n v="334.3"/>
        <n v="335.28"/>
        <n v="337.7"/>
        <n v="338.2"/>
        <n v="335.66"/>
        <n v="326.58999999999997"/>
        <n v="334.65"/>
        <n v="351.15"/>
        <n v="348.2"/>
        <n v="348.6"/>
        <n v="359.5"/>
        <n v="370.8"/>
        <n v="378.01"/>
        <n v="390.85"/>
        <n v="402.38"/>
        <n v="415"/>
        <n v="415.71"/>
        <n v="436.15"/>
        <n v="457.51"/>
        <n v="427.01"/>
        <n v="420.02"/>
        <n v="417.64"/>
        <n v="415.41"/>
        <n v="435.14"/>
        <n v="451.02"/>
        <n v="426.5"/>
        <n v="415.75"/>
        <n v="402.54"/>
        <n v="373.04"/>
        <n v="379.45"/>
        <n v="401.7"/>
        <n v="390"/>
        <n v="387.4"/>
        <n v="377.29"/>
        <n v="380.07"/>
        <n v="394.54"/>
        <n v="405.66"/>
        <n v="409.13"/>
        <n v="419.75"/>
        <n v="406.31"/>
        <n v="414.59"/>
        <n v="408.95"/>
        <n v="405.78"/>
        <n v="389"/>
        <n v="386.5"/>
        <n v="384.48"/>
        <n v="384.41"/>
        <n v="401.34"/>
        <n v="374.36"/>
        <n v="381.4"/>
        <n v="375.53"/>
        <n v="363.18"/>
        <n v="350.51"/>
        <n v="329.12"/>
        <n v="342.85"/>
        <n v="347.5"/>
        <n v="350.02"/>
        <n v="353.67"/>
        <n v="348"/>
        <n v="334.42"/>
        <n v="324.7"/>
        <n v="297.25"/>
        <n v="288.04000000000002"/>
        <n v="280.88"/>
        <n v="273.60000000000002"/>
        <n v="277.3"/>
        <n v="261.83999999999997"/>
        <n v="267.70999999999998"/>
        <n v="260.02"/>
        <n v="250.73"/>
        <n v="217.02"/>
        <n v="241.1"/>
        <n v="232.6"/>
        <n v="240.73"/>
        <n v="222.28"/>
        <n v="229.2"/>
        <n v="230.05"/>
        <n v="234.55"/>
        <n v="256.33"/>
        <n v="271.27999999999997"/>
        <n v="266.51"/>
        <n v="271.82"/>
        <n v="260.57"/>
        <n v="243.36"/>
        <n v="259.25"/>
        <n v="251.27"/>
        <n v="261.51"/>
        <n v="236"/>
        <n v="214.25"/>
        <n v="217.8"/>
        <n v="241.36"/>
        <n v="245.93"/>
        <n v="247.54"/>
        <n v="233.89"/>
        <n v="237.68"/>
        <n v="229.85"/>
        <n v="244.43"/>
        <n v="259.63"/>
        <n v="272.42"/>
        <n v="279.47000000000003"/>
        <n v="270.77999999999997"/>
        <n v="279.81"/>
        <n v="274.39999999999998"/>
        <n v="271.35000000000002"/>
        <n v="279.41000000000003"/>
        <n v="311.5"/>
        <n v="316.8"/>
        <n v="337"/>
        <n v="334.72"/>
        <n v="342.33"/>
        <n v="333.37"/>
        <n v="341.63"/>
        <n v="332.2"/>
        <n v="333.21"/>
        <n v="347.32"/>
        <n v="355.91"/>
        <n v="356"/>
        <n v="345.29"/>
        <n v="333.33"/>
        <n v="343.04"/>
        <n v="327.33"/>
        <n v="273.20999999999998"/>
        <n v="291.14"/>
        <n v="281.85000000000002"/>
        <n v="310.67"/>
        <n v="316.86"/>
        <n v="313.3"/>
        <n v="326.41000000000003"/>
        <n v="314.74"/>
        <n v="315.45"/>
        <n v="317.77999999999997"/>
        <n v="327.48"/>
        <n v="340.44"/>
        <n v="320.39999999999998"/>
        <n v="323.61"/>
        <n v="317.5"/>
        <n v="316.60000000000002"/>
        <n v="293.20999999999998"/>
        <n v="303.82"/>
        <n v="312.76"/>
        <n v="288.77"/>
        <n v="294.35000000000002"/>
        <n v="293.55"/>
        <n v="300"/>
        <n v="305.64999999999998"/>
        <n v="312.67"/>
        <n v="310.5"/>
        <n v="312.62"/>
        <n v="317.06"/>
        <n v="321.42"/>
        <n v="326.88"/>
        <n v="321.55"/>
        <n v="328.67"/>
        <n v="300.41000000000003"/>
        <n v="308.01"/>
        <n v="315.69"/>
        <n v="318.25"/>
        <n v="311.62"/>
        <n v="306.10000000000002"/>
        <n v="297.82"/>
        <n v="303"/>
        <n v="305.5"/>
        <n v="306.93"/>
        <n v="316.16000000000003"/>
        <n v="320.98"/>
        <n v="334.15"/>
        <n v="332.94"/>
        <n v="330.4"/>
        <n v="327.02"/>
        <n v="329.59"/>
        <n v="327.85"/>
        <n v="314.60000000000002"/>
        <n v="318.68"/>
        <n v="319.69"/>
        <n v="335.03"/>
        <n v="343.72"/>
        <n v="349.16"/>
        <n v="340.26"/>
        <n v="331.7"/>
        <n v="325.60000000000002"/>
        <n v="328.51"/>
        <n v="331.48"/>
        <n v="344.68"/>
        <n v="344.84"/>
        <n v="343.82"/>
        <n v="346.07"/>
        <n v="347.6"/>
        <n v="370.24"/>
        <n v="402.43"/>
        <n v="411.43"/>
        <n v="409.67"/>
        <n v="416.56"/>
        <n v="421.72"/>
        <n v="429.13"/>
        <n v="423.72"/>
        <n v="421.02"/>
        <n v="439.5"/>
        <n v="433.12"/>
      </sharedItems>
    </cacheField>
    <cacheField name="Close" numFmtId="0">
      <sharedItems containsSemiMixedTypes="0" containsString="0" containsNumber="1" minValue="9.58" maxValue="479.86" count="2123">
        <n v="15.99"/>
        <n v="16.5"/>
        <n v="16.41"/>
        <n v="16.100000000000001"/>
        <n v="15.46"/>
        <n v="15.11"/>
        <n v="14.71"/>
        <n v="14.37"/>
        <n v="14.62"/>
        <n v="14.46"/>
        <n v="14.75"/>
        <n v="15.13"/>
        <n v="15.21"/>
        <n v="14.2"/>
        <n v="14.01"/>
        <n v="14.11"/>
        <n v="13.94"/>
        <n v="14.35"/>
        <n v="14.02"/>
        <n v="13.8"/>
        <n v="14.25"/>
        <n v="13.89"/>
        <n v="15.44"/>
        <n v="15.45"/>
        <n v="15.49"/>
        <n v="15.02"/>
        <n v="14.43"/>
        <n v="14.61"/>
        <n v="13.81"/>
        <n v="14.29"/>
        <n v="14.27"/>
        <n v="14.74"/>
        <n v="14.79"/>
        <n v="14.67"/>
        <n v="14.52"/>
        <n v="14.55"/>
        <n v="15.31"/>
        <n v="15.35"/>
        <n v="15.81"/>
        <n v="15.47"/>
        <n v="15.51"/>
        <n v="15.36"/>
        <n v="15.41"/>
        <n v="14.97"/>
        <n v="15.14"/>
        <n v="14.47"/>
        <n v="14.57"/>
        <n v="15.63"/>
        <n v="15.56"/>
        <n v="15.5"/>
        <n v="15.33"/>
        <n v="15.37"/>
        <n v="15.26"/>
        <n v="15.87"/>
        <n v="16"/>
        <n v="14.89"/>
        <n v="14.9"/>
        <n v="14.6"/>
        <n v="14.38"/>
        <n v="14.07"/>
        <n v="13.86"/>
        <n v="14"/>
        <n v="13.35"/>
        <n v="13.75"/>
        <n v="13.67"/>
        <n v="13.65"/>
        <n v="13.25"/>
        <n v="13.33"/>
        <n v="13.5"/>
        <n v="13.09"/>
        <n v="12.9"/>
        <n v="12.54"/>
        <n v="12.65"/>
        <n v="12.75"/>
        <n v="13.13"/>
        <n v="12.19"/>
        <n v="11.57"/>
        <n v="11.69"/>
        <n v="10.84"/>
        <n v="9.8699999999999992"/>
        <n v="9.8800000000000008"/>
        <n v="9.58"/>
        <n v="10.029999999999999"/>
        <n v="10.07"/>
        <n v="10.34"/>
        <n v="11.25"/>
        <n v="11.12"/>
        <n v="11.11"/>
        <n v="11.85"/>
        <n v="11.81"/>
        <n v="11.93"/>
        <n v="12.5"/>
        <n v="12.69"/>
        <n v="12.8"/>
        <n v="12.42"/>
        <n v="12.56"/>
        <n v="13.05"/>
        <n v="13.4"/>
        <n v="13.69"/>
        <n v="13.51"/>
        <n v="13.91"/>
        <n v="13.68"/>
        <n v="13.83"/>
        <n v="14.34"/>
        <n v="14.56"/>
        <n v="14.8"/>
        <n v="15.09"/>
        <n v="15.52"/>
        <n v="15.89"/>
        <n v="15.62"/>
        <n v="14.84"/>
        <n v="15.18"/>
        <n v="15.34"/>
        <n v="15.32"/>
        <n v="15.84"/>
        <n v="16.47"/>
        <n v="17.03"/>
        <n v="17.690000000000001"/>
        <n v="17.149999999999999"/>
        <n v="16.670000000000002"/>
        <n v="16.66"/>
        <n v="16.52"/>
        <n v="16.97"/>
        <n v="16.79"/>
        <n v="16.93"/>
        <n v="16.489999999999998"/>
        <n v="16.55"/>
        <n v="16.920000000000002"/>
        <n v="16.760000000000002"/>
        <n v="16.510000000000002"/>
        <n v="16.05"/>
        <n v="16.12"/>
        <n v="14.1"/>
        <n v="14.33"/>
        <n v="13.93"/>
        <n v="13.82"/>
        <n v="13.84"/>
        <n v="13.64"/>
        <n v="14.08"/>
        <n v="14.69"/>
        <n v="14.41"/>
        <n v="14.53"/>
        <n v="14.64"/>
        <n v="15.01"/>
        <n v="14.87"/>
        <n v="14.88"/>
        <n v="15.7"/>
        <n v="15.29"/>
        <n v="14.59"/>
        <n v="14.51"/>
        <n v="14.36"/>
        <n v="14.65"/>
        <n v="13.11"/>
        <n v="12.88"/>
        <n v="13.24"/>
        <n v="13.45"/>
        <n v="14.15"/>
        <n v="14.3"/>
        <n v="14.4"/>
        <n v="14.45"/>
        <n v="14.99"/>
        <n v="14.98"/>
        <n v="14.77"/>
        <n v="15.08"/>
        <n v="15.22"/>
        <n v="14.7"/>
        <n v="14.82"/>
        <n v="15.3"/>
        <n v="15.23"/>
        <n v="15.65"/>
        <n v="15.15"/>
        <n v="15.05"/>
        <n v="15.27"/>
        <n v="15.04"/>
        <n v="14.91"/>
        <n v="15"/>
        <n v="14.86"/>
        <n v="14.73"/>
        <n v="14.09"/>
        <n v="14.13"/>
        <n v="13.38"/>
        <n v="13.19"/>
        <n v="13.52"/>
        <n v="13.16"/>
        <n v="12.96"/>
        <n v="13.22"/>
        <n v="13.07"/>
        <n v="13.36"/>
        <n v="13.76"/>
        <n v="13.72"/>
        <n v="13.6"/>
        <n v="13.9"/>
        <n v="13.34"/>
        <n v="13.43"/>
        <n v="13.1"/>
        <n v="12.93"/>
        <n v="13.27"/>
        <n v="13.57"/>
        <n v="13.49"/>
        <n v="13.48"/>
        <n v="13.18"/>
        <n v="12.72"/>
        <n v="12.53"/>
        <n v="12.49"/>
        <n v="12.7"/>
        <n v="13"/>
        <n v="12.67"/>
        <n v="12.36"/>
        <n v="12.57"/>
        <n v="12.1"/>
        <n v="12.25"/>
        <n v="12.26"/>
        <n v="12.58"/>
        <n v="12.33"/>
        <n v="12.3"/>
        <n v="12.74"/>
        <n v="12.64"/>
        <n v="12.63"/>
        <n v="12.13"/>
        <n v="12.45"/>
        <n v="12.39"/>
        <n v="12.82"/>
        <n v="12.81"/>
        <n v="12.83"/>
        <n v="13.21"/>
        <n v="13.17"/>
        <n v="13.92"/>
        <n v="13.85"/>
        <n v="14.22"/>
        <n v="14.31"/>
        <n v="15.12"/>
        <n v="15.42"/>
        <n v="15.85"/>
        <n v="15.71"/>
        <n v="16.25"/>
        <n v="16.32"/>
        <n v="16.59"/>
        <n v="16.96"/>
        <n v="16.829999999999998"/>
        <n v="16.86"/>
        <n v="16.71"/>
        <n v="16.8"/>
        <n v="16.62"/>
        <n v="16.77"/>
        <n v="17.18"/>
        <n v="17.170000000000002"/>
        <n v="17.47"/>
        <n v="17.95"/>
        <n v="18.71"/>
        <n v="18.73"/>
        <n v="18.649999999999999"/>
        <n v="17.93"/>
        <n v="18.149999999999999"/>
        <n v="18.489999999999998"/>
        <n v="18.23"/>
        <n v="17.07"/>
        <n v="17.13"/>
        <n v="16.420000000000002"/>
        <n v="16.7"/>
        <n v="16.75"/>
        <n v="16.57"/>
        <n v="16.46"/>
        <n v="16.329999999999998"/>
        <n v="17.2"/>
        <n v="17.05"/>
        <n v="17.43"/>
        <n v="17.46"/>
        <n v="17"/>
        <n v="16.989999999999998"/>
        <n v="17.54"/>
        <n v="18.010000000000002"/>
        <n v="18.5"/>
        <n v="18.53"/>
        <n v="18.55"/>
        <n v="19.899999999999999"/>
        <n v="20.25"/>
        <n v="19.670000000000002"/>
        <n v="19.91"/>
        <n v="20.170000000000002"/>
        <n v="20.83"/>
        <n v="20.58"/>
        <n v="19.79"/>
        <n v="20.27"/>
        <n v="20.100000000000001"/>
        <n v="20.02"/>
        <n v="20.37"/>
        <n v="20.54"/>
        <n v="20.92"/>
        <n v="20.68"/>
        <n v="20.94"/>
        <n v="21.52"/>
        <n v="21.26"/>
        <n v="20.73"/>
        <n v="19.7"/>
        <n v="20.56"/>
        <n v="20.48"/>
        <n v="21.42"/>
        <n v="21.68"/>
        <n v="21.54"/>
        <n v="21.65"/>
        <n v="21.06"/>
        <n v="21.13"/>
        <n v="20.41"/>
        <n v="20.87"/>
        <n v="20.72"/>
        <n v="20.69"/>
        <n v="20.260000000000002"/>
        <n v="21.12"/>
        <n v="22.34"/>
        <n v="22.73"/>
        <n v="22.69"/>
        <n v="22.66"/>
        <n v="23.15"/>
        <n v="23.52"/>
        <n v="23.98"/>
        <n v="24.67"/>
        <n v="23.82"/>
        <n v="23.93"/>
        <n v="25.06"/>
        <n v="25.38"/>
        <n v="25.02"/>
        <n v="24.76"/>
        <n v="24.65"/>
        <n v="24.82"/>
        <n v="25.09"/>
        <n v="25.51"/>
        <n v="25.56"/>
        <n v="25.17"/>
        <n v="24.16"/>
        <n v="24.75"/>
        <n v="24.05"/>
        <n v="24.11"/>
        <n v="23.51"/>
        <n v="21.81"/>
        <n v="20.59"/>
        <n v="20.88"/>
        <n v="21.07"/>
        <n v="21.97"/>
        <n v="21.56"/>
        <n v="21.85"/>
        <n v="21.3"/>
        <n v="21.88"/>
        <n v="21.99"/>
        <n v="21.89"/>
        <n v="22.83"/>
        <n v="22.64"/>
        <n v="22.92"/>
        <n v="22.3"/>
        <n v="21.73"/>
        <n v="23.14"/>
        <n v="23.79"/>
        <n v="23.68"/>
        <n v="24.35"/>
        <n v="24.24"/>
        <n v="23.69"/>
        <n v="23.86"/>
        <n v="24.25"/>
        <n v="24.19"/>
        <n v="23.46"/>
        <n v="23.16"/>
        <n v="22.52"/>
        <n v="22.76"/>
        <n v="23.53"/>
        <n v="23.2"/>
        <n v="23.04"/>
        <n v="23.55"/>
        <n v="23.73"/>
        <n v="23.31"/>
        <n v="22.97"/>
        <n v="23.37"/>
        <n v="22.89"/>
        <n v="24.18"/>
        <n v="24.42"/>
        <n v="25.18"/>
        <n v="25.32"/>
        <n v="25.67"/>
        <n v="25.01"/>
        <n v="24.93"/>
        <n v="24.43"/>
        <n v="23.41"/>
        <n v="23"/>
        <n v="23.02"/>
        <n v="22.74"/>
        <n v="22.77"/>
        <n v="23.21"/>
        <n v="23.67"/>
        <n v="22.86"/>
        <n v="23.71"/>
        <n v="23.64"/>
        <n v="23.7"/>
        <n v="23.72"/>
        <n v="23.45"/>
        <n v="23.01"/>
        <n v="22.47"/>
        <n v="22.49"/>
        <n v="21.72"/>
        <n v="21.74"/>
        <n v="21.39"/>
        <n v="21.34"/>
        <n v="22.1"/>
        <n v="21.41"/>
        <n v="19.95"/>
        <n v="20.190000000000001"/>
        <n v="20.399999999999999"/>
        <n v="20.29"/>
        <n v="20.2"/>
        <n v="21.03"/>
        <n v="20.75"/>
        <n v="21"/>
        <n v="21.19"/>
        <n v="20.84"/>
        <n v="21.04"/>
        <n v="21.17"/>
        <n v="20.5"/>
        <n v="20.440000000000001"/>
        <n v="20.350000000000001"/>
        <n v="21.01"/>
        <n v="21.93"/>
        <n v="22.6"/>
        <n v="22.53"/>
        <n v="22.9"/>
        <n v="22.59"/>
        <n v="22.07"/>
        <n v="22.11"/>
        <n v="21.15"/>
        <n v="20.78"/>
        <n v="21.02"/>
        <n v="20.76"/>
        <n v="21.37"/>
        <n v="20.97"/>
        <n v="21.11"/>
        <n v="22.43"/>
        <n v="22.25"/>
        <n v="22.32"/>
        <n v="22.41"/>
        <n v="22.67"/>
        <n v="23.33"/>
        <n v="23.44"/>
        <n v="23.06"/>
        <n v="22.51"/>
        <n v="23.3"/>
        <n v="23.05"/>
        <n v="23.62"/>
        <n v="23.28"/>
        <n v="22.21"/>
        <n v="22.26"/>
        <n v="21.05"/>
        <n v="21.58"/>
        <n v="21.49"/>
        <n v="22.27"/>
        <n v="22.37"/>
        <n v="22.22"/>
        <n v="23.08"/>
        <n v="23.47"/>
        <n v="23.83"/>
        <n v="23.4"/>
        <n v="22.87"/>
        <n v="22.06"/>
        <n v="22.15"/>
        <n v="21.94"/>
        <n v="23.03"/>
        <n v="22.79"/>
        <n v="21.78"/>
        <n v="21.71"/>
        <n v="20.9"/>
        <n v="20.7"/>
        <n v="21.1"/>
        <n v="20.61"/>
        <n v="20.28"/>
        <n v="18.61"/>
        <n v="17.190000000000001"/>
        <n v="17.739999999999998"/>
        <n v="17.84"/>
        <n v="19.13"/>
        <n v="20.38"/>
        <n v="19.309999999999999"/>
        <n v="20.309999999999999"/>
        <n v="20.059999999999999"/>
        <n v="19.61"/>
        <n v="19.41"/>
        <n v="19.18"/>
        <n v="19.559999999999999"/>
        <n v="20.010000000000002"/>
        <n v="19.350000000000001"/>
        <n v="18.89"/>
        <n v="18.899999999999999"/>
        <n v="19.03"/>
        <n v="19.59"/>
        <n v="19.989999999999998"/>
        <n v="20.079999999999998"/>
        <n v="18.96"/>
        <n v="20.18"/>
        <n v="20.13"/>
        <n v="20.46"/>
        <n v="20.329999999999998"/>
        <n v="20.07"/>
        <n v="19.46"/>
        <n v="18.95"/>
        <n v="19.100000000000001"/>
        <n v="18.97"/>
        <n v="18.329999999999998"/>
        <n v="18.600000000000001"/>
        <n v="18.52"/>
        <n v="18.59"/>
        <n v="18.920000000000002"/>
        <n v="19.45"/>
        <n v="18.98"/>
        <n v="19.78"/>
        <n v="21.18"/>
        <n v="22.14"/>
        <n v="22.85"/>
        <n v="22.99"/>
        <n v="23.85"/>
        <n v="23.88"/>
        <n v="24.72"/>
        <n v="23.5"/>
        <n v="24.15"/>
        <n v="23.17"/>
        <n v="22.24"/>
        <n v="22.2"/>
        <n v="22.8"/>
        <n v="21.23"/>
        <n v="21.5"/>
        <n v="20.67"/>
        <n v="21.51"/>
        <n v="21.59"/>
        <n v="21.35"/>
        <n v="20.91"/>
        <n v="20.21"/>
        <n v="19.829999999999998"/>
        <n v="19.809999999999999"/>
        <n v="19.34"/>
        <n v="19.88"/>
        <n v="25.3"/>
        <n v="24.69"/>
        <n v="23.76"/>
        <n v="23.18"/>
        <n v="22.58"/>
        <n v="22.36"/>
        <n v="21.46"/>
        <n v="21.44"/>
        <n v="21.28"/>
        <n v="20.79"/>
        <n v="20.11"/>
        <n v="19.260000000000002"/>
        <n v="18.72"/>
        <n v="17.55"/>
        <n v="18.63"/>
        <n v="19.37"/>
        <n v="19.3"/>
        <n v="19.68"/>
        <n v="19.66"/>
        <n v="19"/>
        <n v="19.93"/>
        <n v="19.89"/>
        <n v="19.940000000000001"/>
        <n v="19.98"/>
        <n v="20.64"/>
        <n v="17.649999999999999"/>
        <n v="20.71"/>
        <n v="19.649999999999999"/>
        <n v="18.79"/>
        <n v="17.52"/>
        <n v="16.82"/>
        <n v="17.25"/>
        <n v="17.309999999999999"/>
        <n v="18.440000000000001"/>
        <n v="18.12"/>
        <n v="17.59"/>
        <n v="17.329999999999998"/>
        <n v="17.399999999999999"/>
        <n v="19.23"/>
        <n v="20.99"/>
        <n v="22.95"/>
        <n v="23.09"/>
        <n v="23.43"/>
        <n v="22.09"/>
        <n v="22.93"/>
        <n v="23.23"/>
        <n v="23.56"/>
        <n v="22.55"/>
        <n v="23.07"/>
        <n v="23.19"/>
        <n v="23.9"/>
        <n v="24.2"/>
        <n v="24.34"/>
        <n v="24.45"/>
        <n v="24.44"/>
        <n v="25.12"/>
        <n v="24.38"/>
        <n v="21.32"/>
        <n v="19.690000000000001"/>
        <n v="21.08"/>
        <n v="22.19"/>
        <n v="22.33"/>
        <n v="22.57"/>
        <n v="22.29"/>
        <n v="22.96"/>
        <n v="20.149999999999999"/>
        <n v="19.170000000000002"/>
        <n v="19.43"/>
        <n v="19.8"/>
        <n v="19.760000000000002"/>
        <n v="20.47"/>
        <n v="20.81"/>
        <n v="20.86"/>
        <n v="20.39"/>
        <n v="20.53"/>
        <n v="19.420000000000002"/>
        <n v="19.920000000000002"/>
        <n v="19.86"/>
        <n v="20.98"/>
        <n v="21.33"/>
        <n v="19.02"/>
        <n v="18.420000000000002"/>
        <n v="18.940000000000001"/>
        <n v="19.39"/>
        <n v="19.329999999999998"/>
        <n v="18.36"/>
        <n v="17.97"/>
        <n v="17.829999999999998"/>
        <n v="18.239999999999998"/>
        <n v="18.27"/>
        <n v="17.64"/>
        <n v="17.36"/>
        <n v="17.850000000000001"/>
        <n v="18.32"/>
        <n v="18.57"/>
        <n v="18.66"/>
        <n v="19.28"/>
        <n v="19.059999999999999"/>
        <n v="18.21"/>
        <n v="18.399999999999999"/>
        <n v="17.89"/>
        <n v="17.760000000000002"/>
        <n v="18.22"/>
        <n v="18.079999999999998"/>
        <n v="17.239999999999998"/>
        <n v="15.68"/>
        <n v="15.91"/>
        <n v="15.6"/>
        <n v="16.27"/>
        <n v="17.02"/>
        <n v="16.13"/>
        <n v="15.97"/>
        <n v="12.85"/>
        <n v="13.03"/>
        <n v="12.71"/>
        <n v="12.66"/>
        <n v="12.55"/>
        <n v="12.34"/>
        <n v="12.91"/>
        <n v="13.73"/>
        <n v="13.63"/>
        <n v="14.19"/>
        <n v="13.95"/>
        <n v="14.26"/>
        <n v="15.1"/>
        <n v="15.66"/>
        <n v="15.54"/>
        <n v="15.93"/>
        <n v="16.34"/>
        <n v="16.899999999999999"/>
        <n v="17.21"/>
        <n v="17.34"/>
        <n v="17.66"/>
        <n v="15.25"/>
        <n v="15.2"/>
        <n v="15.72"/>
        <n v="16.149999999999999"/>
        <n v="16.11"/>
        <n v="15.59"/>
        <n v="15.38"/>
        <n v="15.67"/>
        <n v="14.66"/>
        <n v="15.06"/>
        <n v="14.72"/>
        <n v="14.81"/>
        <n v="14.78"/>
        <n v="15.16"/>
        <n v="16.39"/>
        <n v="16.350000000000001"/>
        <n v="16.190000000000001"/>
        <n v="16.23"/>
        <n v="16.440000000000001"/>
        <n v="16.04"/>
        <n v="16.079999999999998"/>
        <n v="16.170000000000002"/>
        <n v="16.14"/>
        <n v="16.059999999999999"/>
        <n v="16.309999999999999"/>
        <n v="16.21"/>
        <n v="15.43"/>
        <n v="16.3"/>
        <n v="16.53"/>
        <n v="17.32"/>
        <n v="17.04"/>
        <n v="16.98"/>
        <n v="20.89"/>
        <n v="21.16"/>
        <n v="21.77"/>
        <n v="22.48"/>
        <n v="23.29"/>
        <n v="23.48"/>
        <n v="23.97"/>
        <n v="23.66"/>
        <n v="22.42"/>
        <n v="22"/>
        <n v="22.02"/>
        <n v="22.39"/>
        <n v="23.26"/>
        <n v="23.89"/>
        <n v="25.43"/>
        <n v="25.27"/>
        <n v="26.21"/>
        <n v="26.94"/>
        <n v="27.04"/>
        <n v="27.95"/>
        <n v="28.35"/>
        <n v="28.73"/>
        <n v="28.69"/>
        <n v="27.65"/>
        <n v="27.89"/>
        <n v="28.68"/>
        <n v="29.53"/>
        <n v="30.1"/>
        <n v="31.27"/>
        <n v="32.81"/>
        <n v="32.090000000000003"/>
        <n v="31.88"/>
        <n v="34.99"/>
        <n v="35.86"/>
        <n v="34.57"/>
        <n v="34.229999999999997"/>
        <n v="34.03"/>
        <n v="36.479999999999997"/>
        <n v="37.97"/>
        <n v="38.15"/>
        <n v="37.65"/>
        <n v="37.200000000000003"/>
        <n v="37.79"/>
        <n v="38.729999999999997"/>
        <n v="42.72"/>
        <n v="43.37"/>
        <n v="52"/>
        <n v="59.14"/>
        <n v="48.98"/>
        <n v="49.93"/>
        <n v="49.87"/>
        <n v="51.42"/>
        <n v="51.63"/>
        <n v="51.15"/>
        <n v="53.6"/>
        <n v="53.34"/>
        <n v="57.23"/>
        <n v="61.16"/>
        <n v="59.96"/>
        <n v="60.07"/>
        <n v="55.59"/>
        <n v="53.33"/>
        <n v="51.92"/>
        <n v="45.27"/>
        <n v="44.53"/>
        <n v="49.57"/>
        <n v="49.7"/>
        <n v="49.97"/>
        <n v="48.3"/>
        <n v="46.9"/>
        <n v="40.53"/>
        <n v="43.02"/>
        <n v="42.28"/>
        <n v="37.369999999999997"/>
        <n v="36.44"/>
        <n v="29.67"/>
        <n v="24.08"/>
        <n v="28.51"/>
        <n v="28.5"/>
        <n v="28.95"/>
        <n v="33.67"/>
        <n v="35.950000000000003"/>
        <n v="35.21"/>
        <n v="34.29"/>
        <n v="33.479999999999997"/>
        <n v="34.93"/>
        <n v="32.1"/>
        <n v="30.3"/>
        <n v="32"/>
        <n v="34.42"/>
        <n v="36.36"/>
        <n v="36.590000000000003"/>
        <n v="38.200000000000003"/>
        <n v="43.4"/>
        <n v="47.33"/>
        <n v="48.66"/>
        <n v="49.68"/>
        <n v="50.26"/>
        <n v="49.76"/>
        <n v="45.78"/>
        <n v="48.81"/>
        <n v="47.04"/>
        <n v="48.34"/>
        <n v="53.25"/>
        <n v="51.27"/>
        <n v="53.37"/>
        <n v="52.13"/>
        <n v="46.75"/>
        <n v="50.75"/>
        <n v="51.21"/>
        <n v="52.17"/>
        <n v="54.63"/>
        <n v="54.09"/>
        <n v="53.96"/>
        <n v="52.73"/>
        <n v="53.56"/>
        <n v="53.28"/>
        <n v="54.24"/>
        <n v="53.87"/>
        <n v="54.37"/>
        <n v="55.17"/>
        <n v="54.46"/>
        <n v="54.59"/>
        <n v="54.68"/>
        <n v="53.72"/>
        <n v="55.67"/>
        <n v="59.87"/>
        <n v="58.77"/>
        <n v="58.86"/>
        <n v="57.63"/>
        <n v="59.04"/>
        <n v="63.33"/>
        <n v="62.71"/>
        <n v="68.34"/>
        <n v="64.86"/>
        <n v="62.35"/>
        <n v="66.06"/>
        <n v="65.48"/>
        <n v="66.12"/>
        <n v="66.930000000000007"/>
        <n v="66.73"/>
        <n v="66.290000000000006"/>
        <n v="66.790000000000006"/>
        <n v="64.06"/>
        <n v="65.73"/>
        <n v="63.98"/>
        <n v="67.290000000000006"/>
        <n v="71.989999999999995"/>
        <n v="74.64"/>
        <n v="80.58"/>
        <n v="91.44"/>
        <n v="92.66"/>
        <n v="91.06"/>
        <n v="92.95"/>
        <n v="102.98"/>
        <n v="99.8"/>
        <n v="101.12"/>
        <n v="103.07"/>
        <n v="100.04"/>
        <n v="100.06"/>
        <n v="109.53"/>
        <n v="104.56"/>
        <n v="106.16"/>
        <n v="100.87"/>
        <n v="94.47"/>
        <n v="102.64"/>
        <n v="98.43"/>
        <n v="99.94"/>
        <n v="99.17"/>
        <n v="95.38"/>
        <n v="99"/>
        <n v="99.13"/>
        <n v="99.31"/>
        <n v="96.85"/>
        <n v="94.57"/>
        <n v="91.63"/>
        <n v="103.65"/>
        <n v="108.07"/>
        <n v="110.05"/>
        <n v="122.38"/>
        <n v="125.81"/>
        <n v="125.24"/>
        <n v="133.46"/>
        <n v="136.66999999999999"/>
        <n v="134.28"/>
        <n v="134.88999999999999"/>
        <n v="143.54"/>
        <n v="149.25"/>
        <n v="147.56"/>
        <n v="166.11"/>
        <n v="158.35"/>
        <n v="149.12"/>
        <n v="135.66999999999999"/>
        <n v="139.44"/>
        <n v="110.07"/>
        <n v="122.09"/>
        <n v="123.78"/>
        <n v="124.24"/>
        <n v="139.87"/>
        <n v="149.91999999999999"/>
        <n v="147.25"/>
        <n v="141.13999999999999"/>
        <n v="147.38"/>
        <n v="149.80000000000001"/>
        <n v="141.41"/>
        <n v="126.79"/>
        <n v="129.26"/>
        <n v="135.78"/>
        <n v="140.4"/>
        <n v="139.69"/>
        <n v="143"/>
        <n v="149.38999999999999"/>
        <n v="138.36000000000001"/>
        <n v="141.88999999999999"/>
        <n v="137.99"/>
        <n v="141.77000000000001"/>
        <n v="141.97"/>
        <n v="144.66999999999999"/>
        <n v="147.43"/>
        <n v="148.88"/>
        <n v="153.77000000000001"/>
        <n v="149.63"/>
        <n v="146.56"/>
        <n v="143.61000000000001"/>
        <n v="140.65"/>
        <n v="140.88"/>
        <n v="141.93"/>
        <n v="140.21"/>
        <n v="140.09"/>
        <n v="141.56"/>
        <n v="135.34"/>
        <n v="136.94"/>
        <n v="129.35"/>
        <n v="133.5"/>
        <n v="141.30000000000001"/>
        <n v="140.33000000000001"/>
        <n v="146.03"/>
        <n v="143.32"/>
        <n v="140.41999999999999"/>
        <n v="136.79"/>
        <n v="139.04"/>
        <n v="137.25"/>
        <n v="136.16999999999999"/>
        <n v="136.03"/>
        <n v="147.19999999999999"/>
        <n v="162.21"/>
        <n v="166.42"/>
        <n v="163.19999999999999"/>
        <n v="173.95"/>
        <n v="185.13"/>
        <n v="191.33"/>
        <n v="195.25"/>
        <n v="189.2"/>
        <n v="194.92"/>
        <n v="189.61"/>
        <n v="197.79"/>
        <n v="199.68"/>
        <n v="213.92"/>
        <n v="216.63"/>
        <n v="201.49"/>
        <n v="209.02"/>
        <n v="203.33"/>
        <n v="213.28"/>
        <n v="211.08"/>
        <n v="207.59"/>
        <n v="218.63"/>
        <n v="231.67"/>
        <n v="216.62"/>
        <n v="213.45"/>
        <n v="215.33"/>
        <n v="220.59"/>
        <n v="221.23"/>
        <n v="222"/>
        <n v="231.59"/>
        <n v="235.22"/>
        <n v="243.26"/>
        <n v="245.04"/>
        <n v="251.99"/>
        <n v="272.01"/>
        <n v="293.33999999999997"/>
        <n v="270.39999999999998"/>
        <n v="283.14999999999998"/>
        <n v="284.8"/>
        <n v="281.67"/>
        <n v="275.39"/>
        <n v="281.52"/>
        <n v="283.48"/>
        <n v="281.66000000000003"/>
        <n v="282.20999999999998"/>
        <n v="293.60000000000002"/>
        <n v="294.36"/>
        <n v="288.05"/>
        <n v="278.48"/>
        <n v="264.51"/>
        <n v="279.94"/>
        <n v="290.93"/>
        <n v="284.89999999999998"/>
        <n v="283.33"/>
        <n v="284.08"/>
        <n v="287.81"/>
        <n v="268.27"/>
        <n v="270.55"/>
        <n v="272.04000000000002"/>
        <n v="265.41000000000003"/>
        <n v="266.05"/>
        <n v="262.45999999999998"/>
        <n v="260.43"/>
        <n v="238.17"/>
        <n v="232.95"/>
        <n v="247.34"/>
        <n v="227.41"/>
        <n v="225.17"/>
        <n v="239.48"/>
        <n v="228.81"/>
        <n v="217.73"/>
        <n v="207.15"/>
        <n v="199.32"/>
        <n v="187.67"/>
        <n v="224.53"/>
        <n v="222.69"/>
        <n v="233.2"/>
        <n v="231.24"/>
        <n v="235.98"/>
        <n v="225.63"/>
        <n v="233.94"/>
        <n v="217.72"/>
        <n v="218.29"/>
        <n v="223.33"/>
        <n v="220.72"/>
        <n v="210.09"/>
        <n v="213.46"/>
        <n v="206.24"/>
        <n v="203.76"/>
        <n v="211.87"/>
        <n v="222.64"/>
        <n v="220.58"/>
        <n v="230.35"/>
        <n v="230.54"/>
        <n v="223.66"/>
        <n v="227.93"/>
        <n v="225.67"/>
        <n v="233.99"/>
        <n v="254.11"/>
        <n v="244.08"/>
        <n v="246.28"/>
        <n v="246.59"/>
        <n v="238.21"/>
        <n v="239.66"/>
        <n v="248.04"/>
        <n v="239.9"/>
        <n v="243.13"/>
        <n v="246.07"/>
        <n v="234.91"/>
        <n v="231.47"/>
        <n v="236.48"/>
        <n v="228.3"/>
        <n v="223.65"/>
        <n v="221.18"/>
        <n v="224.12"/>
        <n v="209.68"/>
        <n v="205.73"/>
        <n v="196.63"/>
        <n v="190.56"/>
        <n v="196.58"/>
        <n v="192.28"/>
        <n v="192.62"/>
        <n v="187.82"/>
        <n v="195.59"/>
        <n v="193.63"/>
        <n v="202.15"/>
        <n v="201.56"/>
        <n v="206.38"/>
        <n v="210.28"/>
        <n v="208.41"/>
        <n v="207.97"/>
        <n v="201.71"/>
        <n v="190.95"/>
        <n v="201.2"/>
        <n v="199.59"/>
        <n v="203.37"/>
        <n v="203.3"/>
        <n v="205.9"/>
        <n v="199.79"/>
        <n v="201.62"/>
        <n v="205.53"/>
        <n v="207.77"/>
        <n v="206.94"/>
        <n v="207.9"/>
        <n v="218.86"/>
        <n v="226.61"/>
        <n v="223.96"/>
        <n v="229.57"/>
        <n v="226.92"/>
        <n v="226.57"/>
        <n v="225.97"/>
        <n v="226.3"/>
        <n v="219.86"/>
        <n v="214.88"/>
        <n v="217.6"/>
        <n v="218.98"/>
        <n v="228.57"/>
        <n v="222.85"/>
        <n v="217.79"/>
        <n v="216.87"/>
        <n v="214.74"/>
        <n v="215.41"/>
        <n v="220.17"/>
        <n v="218.43"/>
        <n v="216.42"/>
        <n v="214.46"/>
        <n v="219.21"/>
        <n v="214.93"/>
        <n v="215.66"/>
        <n v="225.78"/>
        <n v="229.07"/>
        <n v="236.56"/>
        <n v="236.58"/>
        <n v="236.97"/>
        <n v="233.03"/>
        <n v="237.92"/>
        <n v="236.66"/>
        <n v="235.94"/>
        <n v="240.75"/>
        <n v="239.06"/>
        <n v="228.72"/>
        <n v="221.9"/>
        <n v="229.66"/>
        <n v="224.49"/>
        <n v="226.75"/>
        <n v="235.43"/>
        <n v="236.16"/>
        <n v="237.07"/>
        <n v="233.72"/>
        <n v="237.31"/>
        <n v="243.64"/>
        <n v="245.24"/>
        <n v="244.7"/>
        <n v="244.13"/>
        <n v="244.52"/>
        <n v="250.97"/>
        <n v="251.29"/>
        <n v="251.62"/>
        <n v="245.42"/>
        <n v="247.67"/>
        <n v="248.16"/>
        <n v="251.94"/>
        <n v="252.33"/>
        <n v="253.16"/>
        <n v="243.39"/>
        <n v="246.46"/>
        <n v="250.65"/>
        <n v="251.21"/>
        <n v="258.13"/>
        <n v="263.79000000000002"/>
        <n v="259.19"/>
        <n v="260.44"/>
        <n v="258.49"/>
        <n v="258.41000000000003"/>
        <n v="260.51"/>
        <n v="260.2"/>
        <n v="260.92"/>
        <n v="264.54000000000002"/>
        <n v="261.83"/>
        <n v="263.98"/>
        <n v="268.57"/>
        <n v="270.36"/>
        <n v="272.77"/>
        <n v="281.01"/>
        <n v="290.04000000000002"/>
        <n v="288.08999999999997"/>
        <n v="288.60000000000002"/>
        <n v="298"/>
        <n v="303.23"/>
        <n v="341.62"/>
        <n v="339.48"/>
        <n v="345.95"/>
        <n v="359.01"/>
        <n v="371.33"/>
        <n v="402.86"/>
        <n v="390.67"/>
        <n v="404.62"/>
        <n v="409.97"/>
        <n v="407.36"/>
        <n v="387.65"/>
        <n v="341.17"/>
        <n v="355.98"/>
        <n v="354.5"/>
        <n v="344.47"/>
        <n v="337.8"/>
        <n v="351.58"/>
        <n v="363"/>
        <n v="365.46"/>
        <n v="379.02"/>
        <n v="385.62"/>
        <n v="369.68"/>
        <n v="372"/>
        <n v="360.64"/>
        <n v="379"/>
        <n v="381.59"/>
        <n v="365"/>
        <n v="361.53"/>
        <n v="338.32"/>
        <n v="336.34"/>
        <n v="350.58"/>
        <n v="356.32"/>
        <n v="334.6"/>
        <n v="339.01"/>
        <n v="322.14"/>
        <n v="319.5"/>
        <n v="325.33"/>
        <n v="308.97000000000003"/>
        <n v="310.86"/>
        <n v="299.98"/>
        <n v="312.83999999999997"/>
        <n v="336.29"/>
        <n v="355.67"/>
        <n v="364.65"/>
        <n v="362.82"/>
        <n v="362.06"/>
        <n v="356.78"/>
        <n v="352.26"/>
        <n v="399.93"/>
        <n v="383.2"/>
        <n v="362.71"/>
        <n v="354.9"/>
        <n v="342.32"/>
        <n v="352.71"/>
        <n v="354.8"/>
        <n v="368.74"/>
        <n v="343.85"/>
        <n v="349.87"/>
        <n v="343.5"/>
        <n v="331.88"/>
        <n v="332.09"/>
        <n v="314.63"/>
        <n v="310"/>
        <n v="306.13"/>
        <n v="312.47000000000003"/>
        <n v="276.37"/>
        <n v="282.12"/>
        <n v="312.24"/>
        <n v="310.42"/>
        <n v="301.89"/>
        <n v="297.05"/>
        <n v="307.77"/>
        <n v="302.45"/>
        <n v="307.33"/>
        <n v="310.67"/>
        <n v="301.52"/>
        <n v="286.67"/>
        <n v="291.92"/>
        <n v="307.48"/>
        <n v="307.8"/>
        <n v="292.12"/>
        <n v="285.66000000000003"/>
        <n v="273.83999999999997"/>
        <n v="254.68"/>
        <n v="266.92"/>
        <n v="269.95999999999998"/>
        <n v="290.14"/>
        <n v="288.12"/>
        <n v="293.3"/>
        <n v="279.76"/>
        <n v="279.43"/>
        <n v="268.19"/>
        <n v="274.8"/>
        <n v="286.32"/>
        <n v="265.12"/>
        <n v="255.46"/>
        <n v="267.3"/>
        <n v="280.08"/>
        <n v="290.52999999999997"/>
        <n v="301.8"/>
        <n v="307.05"/>
        <n v="331.33"/>
        <n v="333.04"/>
        <n v="337.97"/>
        <n v="336.88"/>
        <n v="363.95"/>
        <n v="366.52"/>
        <n v="364.66"/>
        <n v="359.2"/>
        <n v="381.82"/>
        <n v="363.75"/>
        <n v="348.59"/>
        <n v="352.42"/>
        <n v="341.83"/>
        <n v="325.31"/>
        <n v="328.98"/>
        <n v="340.79"/>
        <n v="328.33"/>
        <n v="334.76"/>
        <n v="342.72"/>
        <n v="325.73"/>
        <n v="336.26"/>
        <n v="335.02"/>
        <n v="332.67"/>
        <n v="292.14"/>
        <n v="293.83999999999997"/>
        <n v="292.5"/>
        <n v="290.25"/>
        <n v="300.98"/>
        <n v="303.08"/>
        <n v="317.54000000000002"/>
        <n v="291.08999999999997"/>
        <n v="288.55"/>
        <n v="262.37"/>
        <n v="266.68"/>
        <n v="244.67"/>
        <n v="242.67"/>
        <n v="256.52999999999997"/>
        <n v="241.46"/>
        <n v="253.87"/>
        <n v="236.6"/>
        <n v="236.47"/>
        <n v="221.3"/>
        <n v="224.97"/>
        <n v="209.39"/>
        <n v="219.6"/>
        <n v="235.91"/>
        <n v="253.21"/>
        <n v="252.75"/>
        <n v="246.79"/>
        <n v="258.33"/>
        <n v="234.52"/>
        <n v="238.28"/>
        <n v="238.89"/>
        <n v="241.87"/>
        <n v="239.71"/>
        <n v="232.23"/>
        <n v="215.74"/>
        <n v="220.89"/>
        <n v="233"/>
        <n v="213.1"/>
        <n v="216.76"/>
        <n v="237.04"/>
        <n v="236.09"/>
        <n v="235.07"/>
        <n v="245.71"/>
        <n v="244.92"/>
        <n v="232.66"/>
        <n v="228.49"/>
        <n v="224.47"/>
        <n v="227.26"/>
        <n v="233.07"/>
        <n v="231.73"/>
        <n v="244.54"/>
        <n v="250.76"/>
        <n v="234.34"/>
        <n v="238.31"/>
        <n v="240.07"/>
        <n v="240.55"/>
        <n v="245.53"/>
        <n v="247.5"/>
        <n v="271.70999999999998"/>
        <n v="272.24"/>
        <n v="268.43"/>
        <n v="258.86"/>
        <n v="274.82"/>
        <n v="280.89999999999998"/>
        <n v="297.14999999999998"/>
        <n v="297.27999999999997"/>
        <n v="300.58999999999997"/>
        <n v="307.39999999999998"/>
        <n v="308.63"/>
        <n v="288.17"/>
        <n v="290.42"/>
        <n v="286.63"/>
        <n v="300.02999999999997"/>
        <n v="309.32"/>
        <n v="306.56"/>
        <n v="304"/>
        <n v="302.87"/>
        <n v="296.67"/>
        <n v="289.91000000000003"/>
        <n v="296.45"/>
        <n v="297.10000000000002"/>
        <n v="296.07"/>
        <n v="284.82"/>
        <n v="277.7"/>
        <n v="275.61"/>
        <n v="277.16000000000003"/>
        <n v="270.20999999999998"/>
        <n v="274.42"/>
        <n v="283.7"/>
        <n v="289.26"/>
        <n v="299.68"/>
        <n v="304.42"/>
        <n v="292.13"/>
        <n v="302.61"/>
        <n v="303.75"/>
        <n v="303.35000000000002"/>
        <n v="309.07"/>
        <n v="308.73"/>
        <n v="300.8"/>
        <n v="288.58999999999997"/>
        <n v="275.33"/>
        <n v="276.01"/>
        <n v="282.94"/>
        <n v="268.20999999999998"/>
        <n v="265.25"/>
        <n v="242.4"/>
        <n v="249.44"/>
        <n v="240.81"/>
        <n v="238.13"/>
        <n v="223.07"/>
        <n v="222.96"/>
        <n v="216.5"/>
        <n v="217.24"/>
        <n v="221.72"/>
        <n v="204.99"/>
        <n v="219.35"/>
        <n v="220.19"/>
        <n v="222.04"/>
        <n v="207.28"/>
        <n v="214.44"/>
        <n v="211.25"/>
        <n v="222.42"/>
        <n v="224.64"/>
        <n v="225.09"/>
        <n v="228.52"/>
        <n v="227.54"/>
        <n v="227.82"/>
        <n v="214.98"/>
        <n v="215.31"/>
        <n v="207.47"/>
        <n v="197.08"/>
        <n v="191.3"/>
        <n v="177.59"/>
        <n v="190.72"/>
        <n v="195.97"/>
        <n v="194.42"/>
        <n v="186.92"/>
        <n v="183.17"/>
        <n v="180.19"/>
        <n v="167.87"/>
        <n v="169.91"/>
        <n v="183.2"/>
        <n v="182.86"/>
        <n v="182.92"/>
        <n v="180.83"/>
        <n v="194.7"/>
        <n v="194.86"/>
        <n v="182.45"/>
        <n v="179.82"/>
        <n v="174.04"/>
        <n v="173.44"/>
        <n v="179.05"/>
        <n v="167.82"/>
        <n v="160.94999999999999"/>
        <n v="156.80000000000001"/>
        <n v="157.66999999999999"/>
        <n v="150.22999999999999"/>
        <n v="149.87"/>
        <n v="137.80000000000001"/>
        <n v="137.57"/>
        <n v="125.35"/>
        <n v="123.15"/>
        <n v="109.1"/>
        <n v="112.71"/>
        <n v="121.82"/>
        <n v="123.18"/>
        <n v="108.1"/>
        <n v="113.64"/>
        <n v="110.34"/>
        <n v="113.06"/>
        <n v="119.77"/>
        <n v="118.85"/>
        <n v="123.22"/>
        <n v="123.56"/>
        <n v="122.4"/>
        <n v="131.49"/>
        <n v="128.78"/>
        <n v="127.17"/>
        <n v="133.41999999999999"/>
        <n v="143.75"/>
        <n v="143.88999999999999"/>
        <n v="144.43"/>
        <n v="160.27000000000001"/>
        <n v="177.9"/>
        <n v="166.66"/>
        <n v="173.22"/>
        <n v="181.41"/>
        <n v="188.27"/>
        <n v="189.98"/>
        <n v="194.76"/>
        <n v="196.81"/>
        <n v="201.29"/>
        <n v="207.32"/>
        <n v="196.89"/>
        <n v="194.64"/>
        <n v="209.25"/>
        <n v="214.24"/>
        <n v="202.04"/>
        <n v="208.31"/>
        <n v="197.37"/>
        <n v="200.86"/>
        <n v="202.07"/>
        <n v="196.88"/>
        <n v="207.63"/>
        <n v="205.71"/>
        <n v="202.77"/>
        <n v="190.9"/>
        <n v="193.81"/>
        <n v="187.71"/>
        <n v="182"/>
        <n v="172.92"/>
        <n v="174.48"/>
        <n v="183.26"/>
        <n v="180.45"/>
        <n v="184.13"/>
        <n v="180.13"/>
        <n v="183.25"/>
        <n v="197.58"/>
        <n v="191.15"/>
        <n v="192.22"/>
        <n v="190.41"/>
        <n v="191.81"/>
        <n v="189.19"/>
        <n v="193.88"/>
        <n v="195.28"/>
        <n v="207.46"/>
        <n v="194.77"/>
        <n v="192.58"/>
        <n v="185.52"/>
        <n v="185.06"/>
        <n v="184.51"/>
        <n v="186.79"/>
        <n v="180.54"/>
        <n v="185.9"/>
        <n v="185"/>
        <n v="187.04"/>
        <n v="184.31"/>
        <n v="180.59"/>
        <n v="162.99"/>
        <n v="165.08"/>
        <n v="162.55000000000001"/>
        <n v="160.66999999999999"/>
        <n v="153.75"/>
        <n v="160.19"/>
        <n v="164.31"/>
        <n v="161.83000000000001"/>
        <n v="160.31"/>
        <n v="160.61000000000001"/>
        <n v="161.19999999999999"/>
        <n v="170.06"/>
        <n v="171.79"/>
        <n v="169.15"/>
        <n v="168.54"/>
        <n v="172.08"/>
        <n v="167.98"/>
        <n v="166.35"/>
        <n v="166.52"/>
        <n v="173.86"/>
        <n v="176.89"/>
        <n v="180.14"/>
        <n v="188.87"/>
        <n v="185.77"/>
        <n v="182.9"/>
        <n v="184.47"/>
        <n v="193.17"/>
        <n v="201.16"/>
        <n v="203.93"/>
        <n v="207.52"/>
        <n v="213.97"/>
        <n v="217.61"/>
        <n v="221.31"/>
        <n v="224.57"/>
        <n v="234.86"/>
        <n v="244.4"/>
        <n v="249.83"/>
        <n v="258.70999999999998"/>
        <n v="256.79000000000002"/>
        <n v="255.9"/>
        <n v="260.54000000000002"/>
        <n v="274.45"/>
        <n v="259.45999999999998"/>
        <n v="264.61"/>
        <n v="256.60000000000002"/>
        <n v="241.05"/>
        <n v="250.21"/>
        <n v="256.24"/>
        <n v="257.5"/>
        <n v="261.77"/>
        <n v="279.82"/>
        <n v="282.48"/>
        <n v="276.54000000000002"/>
        <n v="274.43"/>
        <n v="269.61"/>
        <n v="269.79000000000002"/>
        <n v="271.99"/>
        <n v="277.89999999999998"/>
        <n v="281.38"/>
        <n v="290.38"/>
        <n v="291.26"/>
        <n v="262.89999999999998"/>
        <n v="260.02"/>
        <n v="269.06"/>
        <n v="265.27999999999997"/>
        <n v="264.35000000000002"/>
        <n v="255.71"/>
        <n v="266.44"/>
        <n v="267.43"/>
        <n v="261.07"/>
        <n v="259.32"/>
        <n v="253.86"/>
        <n v="251.45"/>
        <n v="249.7"/>
        <n v="242.19"/>
        <n v="245.34"/>
        <n v="242.65"/>
        <n v="239.76"/>
        <n v="232.96"/>
        <n v="225.6"/>
        <n v="219.22"/>
        <n v="215.49"/>
        <n v="231.28"/>
        <n v="233.19"/>
        <n v="236.86"/>
        <n v="230.04"/>
        <n v="238.59"/>
        <n v="238.82"/>
        <n v="257.18"/>
        <n v="256.89999999999998"/>
        <n v="258.08"/>
        <n v="245.01"/>
        <n v="256.49"/>
        <n v="251.92"/>
        <n v="251.49"/>
        <n v="248.5"/>
        <n v="273.58"/>
        <n v="267.48"/>
        <n v="271.3"/>
        <n v="276.04000000000002"/>
        <n v="274.39"/>
        <n v="266.5"/>
        <n v="262.58999999999997"/>
        <n v="255.7"/>
        <n v="244.88"/>
        <n v="246.99"/>
        <n v="244.12"/>
        <n v="240.5"/>
        <n v="246.38"/>
        <n v="250.22"/>
        <n v="251.6"/>
        <n v="246.53"/>
        <n v="261.16000000000003"/>
        <n v="260.05"/>
        <n v="260.52999999999997"/>
        <n v="259.67"/>
        <n v="263.62"/>
        <n v="262.99"/>
        <n v="258.87"/>
        <n v="251.12"/>
        <n v="253.92"/>
        <n v="254.85"/>
        <n v="242.68"/>
        <n v="220.11"/>
        <n v="211.99"/>
        <n v="212.08"/>
        <n v="216.52"/>
        <n v="212.42"/>
        <n v="205.76"/>
        <n v="207.3"/>
        <n v="197.36"/>
        <n v="200.84"/>
        <n v="205.66"/>
        <n v="218.51"/>
        <n v="219.96"/>
        <n v="219.27"/>
        <n v="222.18"/>
        <n v="222.11"/>
        <n v="209.98"/>
        <n v="214.65"/>
        <n v="223.71"/>
        <n v="237.41"/>
        <n v="242.84"/>
        <n v="233.59"/>
        <n v="234.3"/>
        <n v="235.6"/>
        <n v="241.2"/>
        <n v="234.21"/>
        <n v="235.45"/>
        <n v="236.08"/>
        <n v="246.72"/>
        <n v="244.14"/>
        <n v="240.08"/>
        <n v="238.83"/>
        <n v="235.58"/>
        <n v="238.72"/>
        <n v="239.37"/>
        <n v="242.64"/>
        <n v="243.84"/>
        <n v="239.74"/>
        <n v="237.01"/>
        <n v="239.29"/>
        <n v="251.05"/>
        <n v="253.5"/>
        <n v="252.08"/>
        <n v="257.22000000000003"/>
        <n v="247.14"/>
        <n v="254.5"/>
        <n v="252.54"/>
        <n v="256.61"/>
        <n v="261.44"/>
        <n v="253.18"/>
        <n v="248.48"/>
        <n v="248.42"/>
        <n v="238.45"/>
        <n v="237.93"/>
        <n v="237.49"/>
        <n v="240.45"/>
        <n v="234.96"/>
        <n v="227.22"/>
        <n v="218.89"/>
        <n v="219.91"/>
        <n v="215.55"/>
        <n v="211.88"/>
        <n v="212.19"/>
        <n v="208.8"/>
        <n v="209.14"/>
        <n v="207.83"/>
        <n v="182.63"/>
        <n v="190.93"/>
        <n v="191.59"/>
        <n v="187.29"/>
        <n v="188.86"/>
        <n v="187.91"/>
        <n v="181.06"/>
        <n v="185.1"/>
        <n v="187.58"/>
        <n v="189.56"/>
        <n v="193.57"/>
        <n v="188.13"/>
        <n v="184.02"/>
        <n v="188.71"/>
        <n v="200.45"/>
        <n v="199.95"/>
        <n v="193.76"/>
        <n v="197.41"/>
        <n v="191.97"/>
        <n v="199.4"/>
        <n v="199.73"/>
        <n v="201.88"/>
        <n v="202.64"/>
        <n v="188.14"/>
        <n v="180.74"/>
        <n v="176.54"/>
        <n v="178.65"/>
        <n v="175.34"/>
        <n v="177.77"/>
        <n v="177.54"/>
        <n v="169.48"/>
        <n v="162.5"/>
        <n v="163.57"/>
        <n v="173.8"/>
        <n v="171.32"/>
        <n v="175.66"/>
        <n v="172.82"/>
        <n v="170.83"/>
        <n v="172.63"/>
        <n v="177.67"/>
        <n v="179.83"/>
        <n v="175.79"/>
        <n v="175.22"/>
        <n v="166.63"/>
        <n v="168.38"/>
        <n v="171.11"/>
        <n v="164.9"/>
        <n v="172.98"/>
        <n v="176.88"/>
        <n v="171.76"/>
        <n v="174.6"/>
        <n v="171.05"/>
        <n v="161.47999999999999"/>
        <n v="157.11000000000001"/>
        <n v="155.44999999999999"/>
        <n v="149.93"/>
        <n v="147.05000000000001"/>
        <n v="142.05000000000001"/>
        <n v="144.68"/>
        <n v="162.13"/>
        <n v="170.18"/>
        <n v="168.29"/>
        <n v="194.05"/>
        <n v="183.28"/>
        <n v="179.99"/>
        <n v="180.01"/>
        <n v="181.19"/>
        <n v="184.76"/>
        <n v="177.81"/>
        <n v="174.72"/>
        <n v="171.97"/>
        <n v="168.47"/>
        <n v="171.89"/>
        <n v="177.55"/>
        <n v="173.99"/>
        <n v="174.84"/>
        <n v="177.46"/>
        <n v="174.95"/>
        <n v="186.6"/>
        <n v="180.11"/>
        <n v="173.74"/>
        <n v="179.24"/>
        <n v="176.75"/>
        <n v="176.19"/>
        <n v="178.79"/>
        <n v="178.08"/>
        <n v="176.29"/>
        <n v="174.77"/>
        <n v="175"/>
        <n v="177.94"/>
        <n v="177.48"/>
        <n v="173.79"/>
        <n v="170.66"/>
        <n v="177.29"/>
        <n v="182.47"/>
        <n v="178.01"/>
        <n v="187.44"/>
        <n v="184.86"/>
        <n v="181.57"/>
        <n v="183.01"/>
        <n v="182.58"/>
        <n v="187.35"/>
        <n v="196.37"/>
        <n v="197.42"/>
        <n v="197.88"/>
        <n v="209.86"/>
        <n v="231.26"/>
        <n v="246.39"/>
        <n v="251.52"/>
        <n v="252.94"/>
        <n v="262.33"/>
        <n v="263.26"/>
        <n v="241.03"/>
        <n v="248.23"/>
        <n v="252.64"/>
        <n v="256.56"/>
        <n v="249.23"/>
        <n v="239.2"/>
        <n v="251.51"/>
        <n v="215.99"/>
        <n v="220.25"/>
        <n v="219.8"/>
        <n v="232.1"/>
        <n v="222.62"/>
        <n v="232.07"/>
        <n v="216.86"/>
        <n v="207.67"/>
        <n v="198.88"/>
        <n v="200.64"/>
        <n v="191.76"/>
        <n v="198.84"/>
        <n v="200"/>
        <n v="197.49"/>
        <n v="201.38"/>
        <n v="214.14"/>
        <n v="216.12"/>
        <n v="222.72"/>
        <n v="221.1"/>
        <n v="223.27"/>
        <n v="210.66"/>
        <n v="220.32"/>
        <n v="213.21"/>
        <n v="209.21"/>
        <n v="205.75"/>
        <n v="206.28"/>
        <n v="214.11"/>
        <n v="210.6"/>
        <n v="219.41"/>
        <n v="230.17"/>
        <n v="210.73"/>
        <n v="216.27"/>
        <n v="226.17"/>
        <n v="228.13"/>
        <n v="229.81"/>
        <n v="230.29"/>
        <n v="226.78"/>
        <n v="227.87"/>
        <n v="227.2"/>
        <n v="243.92"/>
        <n v="238.25"/>
        <n v="250"/>
        <n v="254.27"/>
        <n v="257.02"/>
        <n v="254.22"/>
        <n v="260.45999999999998"/>
        <n v="261.63"/>
        <n v="258.02"/>
        <n v="249.02"/>
        <n v="240.66"/>
        <n v="250.08"/>
        <n v="240.83"/>
        <n v="244.5"/>
        <n v="238.77"/>
        <n v="217.8"/>
        <n v="219.16"/>
        <n v="219.57"/>
        <n v="221.33"/>
        <n v="220.7"/>
        <n v="218.85"/>
        <n v="217.97"/>
        <n v="213.65"/>
        <n v="260.48"/>
        <n v="269.19"/>
        <n v="262.51"/>
        <n v="259.52"/>
        <n v="257.55"/>
        <n v="249.85"/>
        <n v="248.98"/>
        <n v="251.44"/>
        <n v="288.52999999999997"/>
        <n v="296.91000000000003"/>
        <n v="321.22000000000003"/>
        <n v="350"/>
        <n v="328.49"/>
        <n v="330.24"/>
        <n v="311.18"/>
        <n v="320.72000000000003"/>
        <n v="338.74"/>
        <n v="346"/>
        <n v="342.03"/>
        <n v="339.64"/>
        <n v="352.56"/>
        <n v="338.59"/>
        <n v="338.23"/>
        <n v="332.89"/>
        <n v="345.16"/>
        <n v="357.09"/>
        <n v="351.42"/>
        <n v="357.93"/>
        <n v="369.49"/>
        <n v="389.22"/>
        <n v="389.79"/>
        <n v="400.99"/>
        <n v="424.77"/>
        <n v="418.1"/>
        <n v="436.23"/>
        <n v="463.02"/>
        <n v="479.86"/>
        <n v="440.13"/>
        <n v="436.17"/>
        <n v="421.06"/>
        <n v="430.6"/>
        <n v="462.28"/>
        <n v="454.13"/>
        <n v="431.66"/>
        <n v="417.41"/>
        <n v="403.84"/>
        <n v="379.28"/>
        <n v="410.44"/>
        <n v="411.05"/>
        <n v="394.36"/>
        <n v="394.94"/>
        <n v="394.74"/>
        <n v="403.31"/>
        <n v="396.36"/>
        <n v="428.22"/>
        <n v="413.82"/>
        <n v="426.5"/>
        <n v="424.07"/>
        <n v="415.11"/>
        <n v="412.38"/>
        <n v="406.58"/>
        <n v="397.15"/>
        <n v="398.09"/>
        <n v="389.1"/>
        <n v="400.28"/>
        <n v="404.6"/>
        <n v="383.68"/>
        <n v="392.21"/>
        <n v="378.17"/>
        <n v="374.32"/>
        <n v="361.62"/>
        <n v="350.73"/>
        <n v="328.5"/>
        <n v="336.51"/>
        <n v="355.94"/>
        <n v="355.84"/>
        <n v="354.11"/>
        <n v="360.56"/>
        <n v="354.4"/>
        <n v="330.53"/>
        <n v="302.8"/>
        <n v="290.8"/>
        <n v="281.95"/>
        <n v="292.98"/>
        <n v="284.64999999999998"/>
        <n v="279.10000000000002"/>
        <n v="263.45"/>
        <n v="262.67"/>
        <n v="222.15"/>
        <n v="230.58"/>
        <n v="248.09"/>
        <n v="240.68"/>
        <n v="249.98"/>
        <n v="238.01"/>
        <n v="225.31"/>
        <n v="235.86"/>
        <n v="236.26"/>
        <n v="248.71"/>
        <n v="278.39"/>
        <n v="288.14"/>
        <n v="272.06"/>
        <n v="273.13"/>
        <n v="263.55"/>
        <n v="259.16000000000003"/>
        <n v="268.45999999999998"/>
        <n v="282.76"/>
        <n v="267.27999999999997"/>
        <n v="239.43"/>
        <n v="233.29"/>
        <n v="221.86"/>
        <n v="272.2"/>
        <n v="252.4"/>
        <n v="252.31"/>
        <n v="252.35"/>
        <n v="241.55"/>
        <n v="241.37"/>
        <n v="227.5"/>
        <n v="237.97"/>
        <n v="250.74"/>
        <n v="259.51"/>
        <n v="284.95"/>
        <n v="285.88"/>
        <n v="292.02999999999997"/>
        <n v="282.16000000000003"/>
        <n v="280.52"/>
        <n v="287.20999999999998"/>
        <n v="280.26"/>
        <n v="275.35000000000002"/>
        <n v="276.22000000000003"/>
        <n v="298.26"/>
        <n v="318.38"/>
        <n v="334.07"/>
        <n v="347.68"/>
        <n v="342.82"/>
        <n v="349.98"/>
        <n v="342.09"/>
        <n v="343.82"/>
        <n v="334.62"/>
        <n v="339.34"/>
        <n v="362.89"/>
        <n v="356.9"/>
        <n v="358.43"/>
        <n v="346.46"/>
        <n v="342.69"/>
        <n v="344.27"/>
        <n v="332.05"/>
        <n v="284.7"/>
        <n v="295.14"/>
        <n v="308.58"/>
        <n v="326.08999999999997"/>
        <n v="326.43"/>
        <n v="319.11"/>
        <n v="329.13"/>
        <n v="316.35000000000002"/>
        <n v="322.05"/>
        <n v="322.16000000000003"/>
        <n v="348.68"/>
        <n v="340.47"/>
        <n v="327.55"/>
        <n v="325.77999999999997"/>
        <n v="323.63"/>
        <n v="317.66000000000003"/>
        <n v="300.70999999999998"/>
        <n v="315.64999999999998"/>
        <n v="315.35000000000002"/>
        <n v="293.94"/>
        <n v="297.81"/>
        <n v="295.88"/>
        <n v="309.87"/>
        <n v="313.51"/>
        <n v="316.89999999999998"/>
        <n v="310.77999999999997"/>
        <n v="321.67"/>
        <n v="319.41000000000003"/>
        <n v="329.65"/>
        <n v="332.11"/>
        <n v="332.56"/>
        <n v="305.3"/>
        <n v="316.06"/>
        <n v="325.58999999999997"/>
        <n v="321.2"/>
        <n v="319.04000000000002"/>
        <n v="308.27"/>
        <n v="302.63"/>
        <n v="309.26"/>
        <n v="308.72000000000003"/>
        <n v="319.91000000000003"/>
        <n v="322.27"/>
        <n v="339.03"/>
        <n v="340.84"/>
        <n v="339.38"/>
        <n v="335.58"/>
        <n v="330.56"/>
        <n v="335.16"/>
        <n v="329.31"/>
        <n v="323.89999999999998"/>
        <n v="320.11"/>
        <n v="340.01"/>
        <n v="346.6"/>
        <n v="351.67"/>
        <n v="349.6"/>
        <n v="345.98"/>
        <n v="333.87"/>
        <n v="329.36"/>
        <n v="334.09"/>
        <n v="338.53"/>
        <n v="350.84"/>
        <n v="346.4"/>
        <n v="346.97"/>
        <n v="347.79"/>
        <n v="368.81"/>
        <n v="395.94"/>
        <n v="410.04"/>
        <n v="421.62"/>
        <n v="425.86"/>
        <n v="416.85"/>
        <n v="426.07"/>
        <n v="434.21"/>
        <n v="425.85"/>
        <n v="440.4"/>
        <n v="443.21"/>
        <n v="444.72"/>
      </sharedItems>
    </cacheField>
    <cacheField name="Volume" numFmtId="0">
      <sharedItems containsSemiMixedTypes="0" containsString="0" containsNumber="1" containsInteger="1" minValue="27062" maxValue="306590613"/>
    </cacheField>
    <cacheField name="Daily Returns " numFmtId="2">
      <sharedItems containsSemiMixedTypes="0" containsString="0" containsNumber="1" minValue="-1" maxValue="0.22689984675020269"/>
    </cacheField>
    <cacheField name="Year " numFmtId="0">
      <sharedItems containsSemiMixedTypes="0" containsString="0" containsNumber="1" containsInteger="1" minValue="2015" maxValue="2025" count="11">
        <n v="2015"/>
        <n v="2016"/>
        <n v="2017"/>
        <n v="2018"/>
        <n v="2019"/>
        <n v="2020"/>
        <n v="2021"/>
        <n v="2022"/>
        <n v="2023"/>
        <n v="2024"/>
        <n v="202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assan Al-Qadi" refreshedDate="45937.420048148146" createdVersion="6" refreshedVersion="6" minRefreshableVersion="3" recordCount="2513">
  <cacheSource type="worksheet">
    <worksheetSource ref="A1:I2514" sheet="Working Sheet"/>
  </cacheSource>
  <cacheFields count="9">
    <cacheField name="Date" numFmtId="165">
      <sharedItems containsSemiMixedTypes="0" containsNonDate="0" containsDate="1" containsString="0" minDate="2015-10-01T00:00:00" maxDate="2025-10-01T00:00:00"/>
    </cacheField>
    <cacheField name="Open" numFmtId="0">
      <sharedItems containsSemiMixedTypes="0" containsString="0" containsNumber="1" minValue="9.49" maxValue="475.9"/>
    </cacheField>
    <cacheField name="High" numFmtId="0">
      <sharedItems containsSemiMixedTypes="0" containsString="0" containsNumber="1" minValue="10.33" maxValue="488.54"/>
    </cacheField>
    <cacheField name="Low" numFmtId="0">
      <sharedItems containsSemiMixedTypes="0" containsString="0" containsNumber="1" minValue="9.4" maxValue="457.51"/>
    </cacheField>
    <cacheField name="Close" numFmtId="0">
      <sharedItems containsSemiMixedTypes="0" containsString="0" containsNumber="1" minValue="9.58" maxValue="479.86"/>
    </cacheField>
    <cacheField name="Volume" numFmtId="0">
      <sharedItems containsSemiMixedTypes="0" containsString="0" containsNumber="1" containsInteger="1" minValue="27062" maxValue="306590613"/>
    </cacheField>
    <cacheField name="Daily Returns " numFmtId="2">
      <sharedItems containsSemiMixedTypes="0" containsString="0" containsNumber="1" minValue="-1" maxValue="0.22689984675020269" count="2501">
        <n v="3.1894934333958708E-2"/>
        <n v="-5.4545454545454463E-3"/>
        <n v="-1.8890920170627587E-2"/>
        <n v="-3.9751552795031085E-2"/>
        <n v="-2.2639068564036312E-2"/>
        <n v="-2.647253474520176E-2"/>
        <n v="-2.311352821210072E-2"/>
        <n v="1.7397355601948505E-2"/>
        <n v="-1.0943912448700299E-2"/>
        <n v="2.0055325034578086E-2"/>
        <n v="2.5762711864406831E-2"/>
        <n v="5.287508261731663E-3"/>
        <n v="-6.6403681788297267E-2"/>
        <n v="-1.338028169014081E-2"/>
        <n v="7.1377587437544358E-3"/>
        <n v="-1.2048192771084333E-2"/>
        <n v="2.9411764705882363E-2"/>
        <n v="-2.2996515679442515E-2"/>
        <n v="1.2838801711840209E-2"/>
        <n v="-6.3380281690140752E-3"/>
        <n v="-2.1970233876683114E-2"/>
        <n v="3.2608695652173857E-2"/>
        <n v="-2.5263157894736803E-2"/>
        <n v="0.11159107271418278"/>
        <n v="6.4766839378236967E-4"/>
        <n v="2.5889967637541052E-3"/>
        <n v="-3.0342156229825733E-2"/>
        <n v="-3.9280958721704388E-2"/>
        <n v="1.2474012474012454E-2"/>
        <n v="-2.8062970568104049E-2"/>
        <n v="-2.7464788732394281E-2"/>
        <n v="3.475742215785653E-2"/>
        <n v="-1.3995801259621815E-3"/>
        <n v="3.2936229852838166E-2"/>
        <n v="3.3921302578018273E-3"/>
        <n v="-8.1135902636916314E-3"/>
        <n v="-1.0224948875255649E-2"/>
        <n v="2.0661157024794174E-3"/>
        <n v="5.2233676975944998E-2"/>
        <n v="8.4911822338340302E-3"/>
        <n v="-5.829015544041442E-3"/>
        <n v="2.9967426710097778E-2"/>
        <n v="-2.1505376344086013E-2"/>
        <n v="2.5856496444731187E-3"/>
        <n v="-9.6711798839458647E-3"/>
        <n v="3.2552083333333799E-3"/>
        <n v="-1.9467878001297904E-2"/>
        <n v="-9.2653871608205686E-3"/>
        <n v="1.1356045424181692E-2"/>
        <n v="-4.4253632760898276E-2"/>
        <n v="6.9108500345542254E-3"/>
        <n v="1.1667810569663687E-2"/>
        <n v="6.037991858887385E-2"/>
        <n v="-4.4785668586052639E-3"/>
        <n v="-1.2853470437018063E-2"/>
        <n v="9.1145833333333703E-3"/>
        <n v="-1.0967741935483867E-2"/>
        <n v="-1.3046314416177152E-3"/>
        <n v="3.9190071848464215E-3"/>
        <n v="-7.156798959011024E-3"/>
        <n v="3.6041939711664528E-2"/>
        <n v="3.7950664136621581E-3"/>
        <n v="8.1915563957152358E-3"/>
        <n v="-6.9374999999999964E-2"/>
        <n v="6.7159167226324955E-4"/>
        <n v="-2.013422818791951E-2"/>
        <n v="-1.5068493150684854E-2"/>
        <n v="-2.1557719054242037E-2"/>
        <n v="-1.4925373134328419E-2"/>
        <n v="1.0101010101010142E-2"/>
        <n v="-4.6428571428571451E-2"/>
        <n v="2.9962546816479429E-2"/>
        <n v="-5.818181818181823E-3"/>
        <n v="-1.4630577907827048E-3"/>
        <n v="-2.9304029304029328E-2"/>
        <n v="6.0377358490566095E-3"/>
        <n v="1.2753188297074263E-2"/>
        <n v="-3.0370370370370381E-2"/>
        <n v="-1.4514896867838006E-2"/>
        <n v="-2.790697674418614E-2"/>
        <n v="8.7719298245615002E-3"/>
        <n v="7.9051383399209203E-3"/>
        <n v="2.9803921568627514E-2"/>
        <n v="-7.1591774562071692E-2"/>
        <n v="-5.0861361771944155E-2"/>
        <n v="1.0371650821088955E-2"/>
        <n v="-7.2711719418306217E-2"/>
        <n v="-8.9483394833948404E-2"/>
        <n v="1.0131712259373417E-3"/>
        <n v="-3.0364372469635696E-2"/>
        <n v="4.6972860125260883E-2"/>
        <n v="3.9880358923231234E-3"/>
        <n v="2.6812313803376321E-2"/>
        <n v="8.8007736943907178E-2"/>
        <n v="-1.1555555555555624E-2"/>
        <n v="-8.992805755395492E-4"/>
        <n v="6.660666066606663E-2"/>
        <n v="-3.3755274261602656E-3"/>
        <n v="1.016088060965277E-2"/>
        <n v="4.7778709136630369E-2"/>
        <n v="1.519999999999996E-2"/>
        <n v="8.6682427107959981E-3"/>
        <n v="-2.9687500000000061E-2"/>
        <n v="1.1272141706924362E-2"/>
        <n v="3.9012738853503197E-2"/>
        <n v="2.6819923371647483E-2"/>
        <n v="2.1641791044776055E-2"/>
        <n v="-1.3148283418553669E-2"/>
        <n v="2.9607698001480411E-2"/>
        <n v="-1.6534867002156752E-2"/>
        <n v="1.096491228070178E-2"/>
        <n v="3.6876355748373085E-2"/>
        <n v="1.5341701534170199E-2"/>
        <n v="1.6483516483516498E-2"/>
        <n v="1.9594594594594537E-2"/>
        <n v="2.8495692511597066E-2"/>
        <n v="2.3840206185567075E-2"/>
        <n v="-1.6991818753933376E-2"/>
        <n v="-4.9935979513444265E-2"/>
        <n v="2.2911051212937995E-2"/>
        <n v="1.1198945981554673E-2"/>
        <n v="-6.5146579804558876E-4"/>
        <n v="-1.3689700130378036E-2"/>
        <n v="1.2557832121612657E-2"/>
        <n v="3.3942558746736261E-2"/>
        <n v="3.977272727272721E-2"/>
        <n v="3.4001214329083325E-2"/>
        <n v="3.8755137991779216E-2"/>
        <n v="-3.0525720746184436E-2"/>
        <n v="-2.7988338192419644E-2"/>
        <n v="-5.9988002399529469E-4"/>
        <n v="-8.4033613445378495E-3"/>
        <n v="2.7239709443099232E-2"/>
        <n v="-1.0606953447259855E-2"/>
        <n v="1.0720667063728394E-2"/>
        <n v="-2.357100766057699E-3"/>
        <n v="-2.5989367985824057E-2"/>
        <n v="1.0309278350515568E-2"/>
        <n v="-6.6026410564225344E-3"/>
        <n v="2.2356495468278004E-2"/>
        <n v="-7.6832151300237914E-3"/>
        <n v="7.7427039904706708E-3"/>
        <n v="-9.4562647754137183E-3"/>
        <n v="-1.4916467780429593E-2"/>
        <n v="-2.7861901877649958E-2"/>
        <n v="4.3613707165109207E-3"/>
        <n v="-3.9081885856079447E-2"/>
        <n v="-4.1962556488056836E-2"/>
        <n v="-4.9865229110512145E-2"/>
        <n v="1.6312056737588683E-2"/>
        <n v="-2.7913468248429892E-2"/>
        <n v="-1.4357501794687419E-3"/>
        <n v="1.4378145219266407E-3"/>
        <n v="-7.8966259870782082E-3"/>
        <n v="1.4471780028943251E-3"/>
        <n v="3.6127167630058319E-3"/>
        <n v="-1.7998560115190784E-2"/>
        <n v="3.2258064516128997E-2"/>
        <n v="1.9176136363636333E-2"/>
        <n v="2.3693379790940758E-2"/>
        <n v="-1.9060585432266804E-2"/>
        <n v="8.3275503122830826E-3"/>
        <n v="7.570543702684185E-3"/>
        <n v="2.5273224043715792E-2"/>
        <n v="-9.327115256495707E-3"/>
        <n v="6.72494956287933E-4"/>
        <n v="-1.612903225806453E-2"/>
        <n v="-2.7322404371585328E-3"/>
        <n v="0"/>
        <n v="7.5342465753425484E-3"/>
        <n v="5.3025152957171945E-2"/>
        <n v="1.3557133634602909E-2"/>
        <n v="-2.6114649681528674E-2"/>
        <n v="-4.5781556572923439E-2"/>
        <n v="-4.7978067169294229E-3"/>
        <n v="-1.3085399449035778E-2"/>
        <n v="1.256106071179342E-2"/>
        <n v="1.3783597518952154E-3"/>
        <n v="-1.1699931176875426E-2"/>
        <n v="2.0194986072423465E-2"/>
        <n v="-6.8259385665527558E-4"/>
        <n v="-0.10450819672131155"/>
        <n v="-1.5255530129671682E-3"/>
        <n v="-1.604278074866303E-2"/>
        <n v="2.7950310559006167E-2"/>
        <n v="1.5861027190332257E-2"/>
        <n v="4.1635687732342046E-2"/>
        <n v="9.9928622412562857E-3"/>
        <n v="1.9787985865724337E-2"/>
        <n v="-1.1088011088011098E-2"/>
        <n v="2.1023125437982576E-3"/>
        <n v="6.9930069930069678E-3"/>
        <n v="3.4722222222221483E-3"/>
        <n v="3.7370242214532938E-2"/>
        <n v="-6.6711140760505579E-4"/>
        <n v="-9.345794392523402E-3"/>
        <n v="-4.7169811320754906E-3"/>
        <n v="-5.4163845633039996E-3"/>
        <n v="2.6548672566371723E-2"/>
        <n v="-3.9787798408488393E-3"/>
        <n v="1.3315579227696476E-2"/>
        <n v="-3.4165571616294438E-2"/>
        <n v="8.1632653061225174E-3"/>
        <n v="3.4412955465587029E-2"/>
        <n v="-1.9569471624265727E-3"/>
        <n v="-4.5751633986928289E-3"/>
        <n v="9.1923834537097036E-3"/>
        <n v="1.8217306441119137E-2"/>
        <n v="-2.0447284345047941E-2"/>
        <n v="-1.1741682974559669E-2"/>
        <n v="-6.6006600660065773E-3"/>
        <n v="2.1262458471760698E-2"/>
        <n v="-1.9518542615484294E-3"/>
        <n v="-1.6949152542372867E-2"/>
        <n v="1.2599469496021188E-2"/>
        <n v="-1.5062213490504284E-2"/>
        <n v="-3.3244680851063123E-3"/>
        <n v="3.335557038025279E-3"/>
        <n v="-8.6436170212765302E-3"/>
        <n v="-2.0120724346076031E-3"/>
        <n v="1.3440860215053476E-3"/>
        <n v="6.7114093959731299E-3"/>
        <n v="-9.3333333333333705E-3"/>
        <n v="8.7483176312248175E-3"/>
        <n v="-1.0006671114076075E-2"/>
        <n v="-7.4123989218328459E-3"/>
        <n v="-4.0733197556008481E-3"/>
        <n v="-2.1813224267212016E-2"/>
        <n v="-1.8118466898954688E-2"/>
        <n v="2.8388928317956653E-3"/>
        <n v="-5.3078556263269634E-2"/>
        <n v="-1.4200298953662278E-2"/>
        <n v="2.5018953752843069E-2"/>
        <n v="-5.1775147928994295E-3"/>
        <n v="-2.1561338289962761E-2"/>
        <n v="-1.5197568389057697E-2"/>
        <n v="2.006172839506171E-2"/>
        <n v="-1.1346444780635427E-2"/>
        <n v="1.5302218821728825E-3"/>
        <n v="2.062643239113824E-2"/>
        <n v="2.4700598802395217E-2"/>
        <n v="5.1132213294375669E-3"/>
        <n v="-8.7209302325580822E-3"/>
        <n v="2.9325513196480314E-3"/>
        <n v="5.8479532163742748E-3"/>
        <n v="5.0872093023256017E-3"/>
        <n v="7.2306579898770533E-3"/>
        <n v="-1.5075376884422044E-2"/>
        <n v="2.1865889212827521E-3"/>
        <n v="-2.6909090909090851E-2"/>
        <n v="1.644245142002981E-2"/>
        <n v="4.7794117647058848E-2"/>
        <n v="-1.1228070175438606E-2"/>
        <n v="-1.3484740951029063E-2"/>
        <n v="-3.5971223021582732E-2"/>
        <n v="-2.1641791044776187E-2"/>
        <n v="2.212051868802448E-2"/>
        <n v="-4.4776119402985442E-3"/>
        <n v="6.7466266866566607E-3"/>
        <n v="-5.9568131049888362E-3"/>
        <n v="-1.8726591760299626E-2"/>
        <n v="-1.2977099236641216E-2"/>
        <n v="2.6295436968290786E-2"/>
        <n v="2.2607385079125901E-2"/>
        <n v="-2.2107590272660332E-2"/>
        <n v="5.2750565184627191E-3"/>
        <n v="1.3493253373313321E-2"/>
        <n v="-2.2189349112425563E-3"/>
        <n v="-7.4128984432911683E-4"/>
        <n v="8.9020771513352529E-3"/>
        <n v="-1.9852941176470556E-2"/>
        <n v="-1.1252813203300852E-2"/>
        <n v="-3.4901365705614501E-2"/>
        <n v="-1.4937106918239093E-2"/>
        <n v="-3.1923383878690462E-3"/>
        <n v="1.6813450760608414E-2"/>
        <n v="1.4173228346456811E-2"/>
        <n v="9.3167701863353432E-3"/>
        <n v="-2.5384615384615391E-2"/>
        <n v="-2.4467245461720639E-2"/>
        <n v="1.6990291262135991E-2"/>
        <n v="-3.7390612569610231E-2"/>
        <n v="1.2396694214876063E-2"/>
        <n v="8.1632653061222747E-4"/>
        <n v="2.6101141924959239E-2"/>
        <n v="-1.987281399046105E-2"/>
        <n v="-2.4330900243308483E-3"/>
        <n v="3.5772357723577196E-2"/>
        <n v="1.0989010989011033E-2"/>
        <n v="1.7857142857142752E-2"/>
        <n v="-3.0511060259343363E-3"/>
        <n v="-3.2899770466717652E-2"/>
        <n v="-7.9113924050631219E-4"/>
        <n v="-3.9588281868566902E-2"/>
        <n v="-2.4732069249794836E-3"/>
        <n v="2.8925619834710717E-2"/>
        <n v="-4.8192771084336321E-3"/>
        <n v="3.9548022598870074E-2"/>
        <n v="-4.6583850931677401E-3"/>
        <n v="-7.8003120124803325E-4"/>
        <n v="1.5612802498048066E-3"/>
        <n v="2.9618082618862104E-2"/>
        <n v="3.0280090840271875E-3"/>
        <n v="-6.0377358490566095E-3"/>
        <n v="2.5056947608200462E-2"/>
        <n v="1.48148148148145E-3"/>
        <n v="2.9585798816568074E-2"/>
        <n v="-5.0287356321839288E-3"/>
        <n v="3.6101083032491488E-3"/>
        <n v="2.3021582733812971E-2"/>
        <n v="2.9535864978902947E-2"/>
        <n v="6.8306010928960285E-4"/>
        <n v="-2.3208191126279854E-2"/>
        <n v="-4.1928721174004542E-3"/>
        <n v="1.5438596491228114E-2"/>
        <n v="4.5611610228058062E-2"/>
        <n v="-6.6093853271656066E-4"/>
        <n v="9.9206349206349444E-3"/>
        <n v="9.8231827111984523E-3"/>
        <n v="-6.4850843060959562E-3"/>
        <n v="-6.5274151436029934E-4"/>
        <n v="3.5271064663618491E-2"/>
        <n v="-8.8328075709778412E-3"/>
        <n v="1.1457670273710993E-2"/>
        <n v="2.2655758338577685E-2"/>
        <n v="4.3076923076923249E-3"/>
        <n v="1.6544117647058796E-2"/>
        <n v="2.2905364677516516E-2"/>
        <n v="-5.8927519151432003E-4"/>
        <n v="-7.6650943396227916E-3"/>
        <n v="1.7825311942959679E-3"/>
        <n v="-8.8967971530248269E-3"/>
        <n v="5.3859964093357186E-3"/>
        <n v="-1.0714285714285697E-2"/>
        <n v="9.0252707581226568E-3"/>
        <n v="-5.9630292188419859E-4"/>
        <n v="2.5059665871121607E-2"/>
        <n v="-5.8207217694982599E-4"/>
        <n v="1.7472335468840833E-2"/>
        <n v="2.7475672581568428E-2"/>
        <n v="4.2339832869080871E-2"/>
        <n v="1.0689470871191647E-3"/>
        <n v="-4.2712226374800773E-3"/>
        <n v="-3.8605898123324336E-2"/>
        <n v="1.2269938650306685E-2"/>
        <n v="1.8732782369145998E-2"/>
        <n v="-1.406165494862077E-2"/>
        <n v="-6.3631376851343943E-2"/>
        <n v="3.5149384885763751E-3"/>
        <n v="-4.1447752481027285E-2"/>
        <n v="1.5225334957369061E-2"/>
        <n v="1.7996400719854579E-3"/>
        <n v="4.1916167664670829E-3"/>
        <n v="-1.192605843768609E-3"/>
        <n v="-1.0746268656716402E-2"/>
        <n v="-6.6385033192516256E-3"/>
        <n v="-7.8979343863914073E-3"/>
        <n v="-4.898958971218512E-3"/>
        <n v="9.8461538461538552E-3"/>
        <n v="4.8141377209018836E-2"/>
        <n v="-8.7209302325580579E-3"/>
        <n v="2.4633431085043879E-2"/>
        <n v="-2.2896393817973182E-3"/>
        <n v="1.7211703958692564E-3"/>
        <n v="-4.29553264604811E-2"/>
        <n v="1.7354877318970625E-2"/>
        <n v="-5.8823529411773906E-4"/>
        <n v="3.2371983519717526E-2"/>
        <n v="2.6795895096921461E-2"/>
        <n v="2.7207107162687306E-2"/>
        <n v="-5.4054054054062501E-4"/>
        <n v="2.1633315305572042E-3"/>
        <n v="1.0793308148947423E-3"/>
        <n v="7.2776280323450016E-2"/>
        <n v="1.7587939698492535E-2"/>
        <n v="-2.864197530864189E-2"/>
        <n v="1.2201321809862655E-2"/>
        <n v="1.3058764439979989E-2"/>
        <n v="3.2721864154685004E-2"/>
        <n v="-1.2001920307249161E-2"/>
        <n v="-3.8386783284742432E-2"/>
        <n v="2.42546740778171E-2"/>
        <n v="-8.3867784903797812E-3"/>
        <n v="-3.9800995024876539E-3"/>
        <n v="1.7482517482517553E-2"/>
        <n v="-9.8183603338242165E-3"/>
        <n v="9.9157164105106235E-3"/>
        <n v="8.3456062837505233E-3"/>
        <n v="1.8500486854917359E-2"/>
        <n v="-1.1472275334608125E-2"/>
        <n v="-4.8355899419729896E-3"/>
        <n v="1.7492711370262537E-2"/>
        <n v="2.7698185291308419E-2"/>
        <n v="-1.2081784386617007E-2"/>
        <n v="-2.492944496707437E-2"/>
        <n v="-4.968644476603961E-2"/>
        <n v="4.3654822335025351E-2"/>
        <n v="-3.8910505836575048E-3"/>
        <n v="4.5898437500000062E-2"/>
        <n v="1.2138188608776751E-2"/>
        <n v="-6.4575645756457826E-3"/>
        <n v="5.1067780872794538E-3"/>
        <n v="-2.7251732101616622E-2"/>
        <n v="3.3238366571700043E-3"/>
        <n v="-3.4074775201135776E-2"/>
        <n v="2.253797158255761E-2"/>
        <n v="-7.1873502635362782E-3"/>
        <n v="-1.4478764478763314E-3"/>
        <n v="-2.0782986950217481E-2"/>
        <n v="2.0730503455083815E-2"/>
        <n v="2.1276595744680913E-2"/>
        <n v="2.6515151515151453E-2"/>
        <n v="3.0442804428044288E-2"/>
        <n v="1.7457475380483464E-2"/>
        <n v="-1.7597888253409215E-3"/>
        <n v="-1.3221683561040606E-3"/>
        <n v="2.1624007060900195E-2"/>
        <n v="1.5982721382289462E-2"/>
        <n v="1.9557823129251736E-2"/>
        <n v="2.8773978315262773E-2"/>
        <n v="-3.4454803404945333E-2"/>
        <n v="4.617968094038599E-3"/>
        <n v="4.7221061429168369E-2"/>
        <n v="1.2769353551476469E-2"/>
        <n v="-1.4184397163120546E-2"/>
        <n v="-1.0391686650679377E-2"/>
        <n v="-4.4426494345720102E-3"/>
        <n v="6.8965517241380003E-3"/>
        <n v="1.0878323932312634E-2"/>
        <n v="1.67397369469909E-2"/>
        <n v="1.9600156801253296E-3"/>
        <n v="-1.5258215962441198E-2"/>
        <n v="-4.0127135478744594E-2"/>
        <n v="2.4420529801324496E-2"/>
        <n v="-2.8282828282828253E-2"/>
        <n v="2.4948024948024416E-3"/>
        <n v="-2.4885939444213932E-2"/>
        <n v="-7.2309655465759362E-2"/>
        <n v="-5.5937643282897707E-2"/>
        <n v="1.408450704225348E-2"/>
        <n v="9.0996168582376091E-3"/>
        <n v="3.512102515424767E-2"/>
        <n v="7.3360843649702039E-3"/>
        <n v="-1.8661811561219852E-2"/>
        <n v="1.3450834879406433E-2"/>
        <n v="-2.517162471395884E-2"/>
        <n v="2.7230046948356727E-2"/>
        <n v="-9.140767824497225E-3"/>
        <n v="1.4298892988929831E-2"/>
        <n v="-4.5475216007275065E-3"/>
        <n v="4.2941982640474996E-2"/>
        <n v="-8.3223828296100626E-3"/>
        <n v="1.2367491166077788E-2"/>
        <n v="-2.7050610820244368E-2"/>
        <n v="1.793721973094132E-3"/>
        <n v="-3.4914950760966929E-2"/>
        <n v="-1.2059369202226253E-2"/>
        <n v="2.0187793427230032E-2"/>
        <n v="6.4887252646111365E-2"/>
        <n v="2.8089887640449375E-2"/>
        <n v="-4.6237915090373873E-3"/>
        <n v="2.8293918918918991E-2"/>
        <n v="-4.5174537987680893E-3"/>
        <n v="-2.2689768976897572E-2"/>
        <n v="7.1760236386660256E-3"/>
        <n v="1.6345347862531459E-2"/>
        <n v="-3.7113402061855613E-3"/>
        <n v="1.2417218543046829E-3"/>
        <n v="-3.0177759404712706E-2"/>
        <n v="-1.278772378516627E-2"/>
        <n v="-2.7633851468048382E-2"/>
        <n v="1.0657193605683925E-2"/>
        <n v="3.3391915641476186E-2"/>
        <n v="4.2517006802727733E-4"/>
        <n v="-1.4024649383765483E-2"/>
        <n v="-6.896551724137937E-3"/>
        <n v="5.2083333333333764E-3"/>
        <n v="1.6839378238341994E-2"/>
        <n v="7.6433121019108159E-3"/>
        <n v="-1.6856300042140391E-3"/>
        <n v="-1.6040523427606691E-2"/>
        <n v="-1.458601458601458E-2"/>
        <n v="1.7414018284719293E-2"/>
        <n v="-2.0539152759948668E-2"/>
        <n v="5.9414591524683244E-2"/>
        <n v="-2.8865979381443416E-3"/>
        <n v="9.9255583126551701E-3"/>
        <n v="3.1122031122031039E-2"/>
        <n v="5.5599682287530011E-3"/>
        <n v="1.3823064770932125E-2"/>
        <n v="-2.5710946630307756E-2"/>
        <n v="-3.1987205117953556E-3"/>
        <n v="-2.0056157240272765E-2"/>
        <n v="-4.1751944330740878E-2"/>
        <n v="-1.7513882956001713E-2"/>
        <n v="8.6956521739128584E-4"/>
        <n v="-1.2597741094700224E-2"/>
        <n v="-3.9595248570171515E-3"/>
        <n v="4.4169611307419551E-3"/>
        <n v="1.3192612137203667E-3"/>
        <n v="1.9323671497584599E-2"/>
        <n v="1.9819043515726015E-2"/>
        <n v="8.4495141529360249E-4"/>
        <n v="4.2211903756858536E-3"/>
        <n v="-3.9092055485498101E-2"/>
        <n v="3.7182852143482124E-2"/>
        <n v="-2.9523407844791348E-3"/>
        <n v="2.9610829103215008E-3"/>
        <n v="-4.2176296921136915E-4"/>
        <n v="-1.3924050632911321E-2"/>
        <n v="1.4976465554129135E-2"/>
        <n v="1.0961214165261449E-2"/>
        <n v="-2.2101751459549672E-2"/>
        <n v="-1.8763326226012698E-2"/>
        <n v="-2.3468057366362566E-2"/>
        <n v="8.9007565643077773E-4"/>
        <n v="-3.4237438861716304E-2"/>
        <n v="9.2081031307548686E-4"/>
        <n v="-1.6099356025758873E-2"/>
        <n v="-2.3375409069659051E-3"/>
        <n v="3.561387066541713E-2"/>
        <n v="-3.122171945701363E-2"/>
        <n v="-6.8192433442316708E-2"/>
        <n v="2.3057644110275732E-2"/>
        <n v="-1.0779029887310086E-2"/>
        <n v="1.0401188707280698E-2"/>
        <n v="-5.3921568627450702E-3"/>
        <n v="-4.4356826022671197E-3"/>
        <n v="4.1089108910891181E-2"/>
        <n v="-2.1398002853067182E-2"/>
        <n v="8.2604470359573228E-3"/>
        <n v="3.8554216867469058E-3"/>
        <n v="8.1613058089295108E-3"/>
        <n v="-2.000000000000008E-2"/>
        <n v="2.964042759961142E-2"/>
        <n v="-1.6517225106182226E-2"/>
        <n v="9.5969289827254941E-3"/>
        <n v="3.8022813688213808E-3"/>
        <n v="2.3674242424242759E-3"/>
        <n v="-3.1648559282002914E-2"/>
        <n v="4.3902439024390179E-3"/>
        <n v="-7.2850898494414076E-3"/>
        <n v="-4.4031311154598754E-3"/>
        <n v="-4.9140049140049833E-3"/>
        <n v="3.1111111111111062E-2"/>
        <n v="-6.2260536398466961E-3"/>
        <n v="1.2530120481927786E-2"/>
        <n v="4.3788672060923281E-2"/>
        <n v="3.6935704514363829E-2"/>
        <n v="-6.15655233069468E-3"/>
        <n v="-3.0973451327433754E-3"/>
        <n v="1.6422547714158783E-2"/>
        <n v="-1.3537117903930076E-2"/>
        <n v="-2.3019034971226187E-2"/>
        <n v="-6.3434526506570259E-3"/>
        <n v="8.2079343365252955E-3"/>
        <n v="-1.9448213478064212E-2"/>
        <n v="-2.4446494464944703E-2"/>
        <n v="-1.7494089834515246E-2"/>
        <n v="1.1549566891241503E-2"/>
        <n v="-1.2369172216936156E-2"/>
        <n v="2.9383429672446983E-2"/>
        <n v="-1.0294805802527019E-2"/>
        <n v="-8.5106382978723284E-3"/>
        <n v="6.6762041010968321E-3"/>
        <n v="6.2529606821411662E-2"/>
        <n v="-8.0249665626393098E-3"/>
        <n v="3.1460674157303497E-3"/>
        <n v="9.4086021505376729E-3"/>
        <n v="-5.3262316910786056E-3"/>
        <n v="1.1601963409192395E-2"/>
        <n v="2.0732245258050234E-2"/>
        <n v="-7.3465859982714647E-3"/>
        <n v="1.5672616456247256E-2"/>
        <n v="4.7149592798972568E-3"/>
        <n v="3.4129692832763777E-3"/>
        <n v="-1.9557823129251736E-2"/>
        <n v="-2.3850823937554083E-2"/>
        <n v="1.554864504664584E-2"/>
        <n v="1.9247594050743715E-2"/>
        <n v="-1.0729613733905579E-2"/>
        <n v="2.4728850325379623E-2"/>
        <n v="-1.4394580863674846E-2"/>
        <n v="-1.546391752577317E-2"/>
        <n v="-3.097731239092499E-2"/>
        <n v="2.2512381809995817E-3"/>
        <n v="3.324348607367468E-2"/>
        <n v="-8.6086956521739144E-2"/>
        <n v="-1.5699333967649776E-2"/>
        <n v="1.7399710004833223E-2"/>
        <n v="2.5178147268408436E-2"/>
        <n v="-4.1705282669138024E-3"/>
        <n v="3.6295951605397912E-2"/>
        <n v="4.4903457566233236E-3"/>
        <n v="-2.2351363433169738E-3"/>
        <n v="-4.4802867383513184E-3"/>
        <n v="3.870387038703868E-2"/>
        <n v="1.6897746967071085E-2"/>
        <n v="1.5338730293992308E-2"/>
        <n v="-1.8044481745698688E-2"/>
        <n v="-2.2649572649572548E-2"/>
        <n v="-3.5417577612593017E-2"/>
        <n v="1.2692656391659164E-2"/>
        <n v="-5.3715308863026409E-3"/>
        <n v="-1.5301530153015296E-2"/>
        <n v="1.2340036563071279E-2"/>
        <n v="-9.4808126410833998E-3"/>
        <n v="-5.9252506836828872E-3"/>
        <n v="5.5937643282897867E-2"/>
        <n v="-1.042118975249683E-2"/>
        <n v="-4.4317683194383416E-2"/>
        <n v="-3.2139577594123177E-3"/>
        <n v="-1.3357899585444456E-2"/>
        <n v="-2.4276377217553831E-2"/>
        <n v="-9.5693779904305887E-3"/>
        <n v="1.9323671497584644E-2"/>
        <n v="-2.3222748815165971E-2"/>
        <n v="-2.4745269286753906E-2"/>
        <n v="8.9552238805969998E-3"/>
        <n v="-8.2347140039447805E-2"/>
        <n v="-7.630306286942494E-2"/>
        <n v="3.1995346131471619E-2"/>
        <n v="-5.1296505073280735E-2"/>
        <n v="6.0011883541295406E-2"/>
        <n v="7.2309417040358703E-2"/>
        <n v="6.5342394145321489E-2"/>
        <n v="-2.1099116781157987E-2"/>
        <n v="-3.208020050125316E-2"/>
        <n v="5.1786639047125847E-2"/>
        <n v="-1.2309207287050714E-2"/>
        <n v="-2.2432701894317016E-2"/>
        <n v="2.0907700152983179E-2"/>
        <n v="-3.046953046953044E-2"/>
        <n v="-1.1849562081401361E-2"/>
        <n v="1.9812304483837279E-2"/>
        <n v="2.3006134969325302E-2"/>
        <n v="-3.2983508245877063E-2"/>
        <n v="-2.3772609819121489E-2"/>
        <n v="5.2938062466903176E-4"/>
        <n v="-1.0052910052909933E-2"/>
        <n v="1.7103153393907018E-2"/>
        <n v="3.047819232790322E-2"/>
        <n v="-1.0198878123406209E-3"/>
        <n v="2.0418580908626777E-2"/>
        <n v="4.5022511255627742E-3"/>
        <n v="-5.5776892430278759E-2"/>
        <n v="3.428270042194085E-2"/>
        <n v="2.9066802651708329E-2"/>
        <n v="-2.4777006937562293E-3"/>
        <n v="1.6393442622950911E-2"/>
        <n v="-6.3538611925709945E-3"/>
        <n v="-1.2788981800295033E-2"/>
        <n v="-3.0393622321873415E-2"/>
        <n v="-2.6207605344296073E-2"/>
        <n v="7.9155672823220131E-3"/>
        <n v="-6.8062827225132223E-3"/>
        <n v="-3.3737480231945206E-2"/>
        <n v="1.4729950900163838E-2"/>
        <n v="-4.3010752688173032E-3"/>
        <n v="3.7796976241900801E-3"/>
        <n v="1.7751479289940929E-2"/>
        <n v="2.8012684989429045E-2"/>
        <n v="-2.4164524421593774E-2"/>
        <n v="2.4762908324552101E-2"/>
        <n v="1.6966580976863849E-2"/>
        <n v="-1.8705763397371133E-2"/>
        <n v="9.7372488408037125E-2"/>
        <n v="-1.0798122065727719E-2"/>
        <n v="5.220692928334097E-3"/>
        <n v="4.5325779036827239E-2"/>
        <n v="3.206865401987357E-2"/>
        <n v="6.126914660831379E-3"/>
        <n v="3.7407568508047107E-2"/>
        <n v="1.2578616352200245E-3"/>
        <n v="3.5175879396984917E-2"/>
        <n v="-4.9352750809061444E-2"/>
        <n v="2.7659574468085046E-2"/>
        <n v="-4.0579710144927408E-2"/>
        <n v="-4.0138109624514598E-2"/>
        <n v="-1.7985611510790984E-3"/>
        <n v="2.7027027027027091E-2"/>
        <n v="7.4561403508771121E-3"/>
        <n v="-2.0145735105014956E-2"/>
        <n v="-2.2747156605424305E-2"/>
        <n v="-7.2515666965085088E-2"/>
        <n v="-5.3088803088802818E-3"/>
        <n v="-9.7040271712758733E-4"/>
        <n v="3.1083050024283659E-2"/>
        <n v="1.2717852096090419E-2"/>
        <n v="-1.1162790697674346E-2"/>
        <n v="-7.0555032925683032E-3"/>
        <n v="7.10563713879688E-3"/>
        <n v="-2.7751646284101591E-2"/>
        <n v="4.0638606676342517E-2"/>
        <n v="3.7192003719199577E-3"/>
        <n v="-1.1116257526632627E-2"/>
        <n v="-2.0608899297423947E-2"/>
        <n v="-3.3476805356288823E-2"/>
        <n v="-1.8802572983671575E-2"/>
        <n v="3.7821482602118005E-2"/>
        <n v="-6.8027210884352299E-3"/>
        <n v="-3.0821917808219301E-2"/>
        <n v="-2.3725391216557239E-2"/>
        <n v="2.792140641158217E-2"/>
        <n v="9.0543259557343929E-3"/>
        <n v="0.16151545363908287"/>
        <n v="-3.8626609442060024E-3"/>
        <n v="-1.7664799655320987E-2"/>
        <n v="0.10964912280701754"/>
        <n v="-2.4110671936758869E-2"/>
        <n v="-4.8197650870797942E-2"/>
        <n v="8.5106382978723093E-3"/>
        <n v="2.5316455696203491E-3"/>
        <n v="-2.4410774410774487E-2"/>
        <n v="-2.5884383088869777E-2"/>
        <n v="-9.7431355181576123E-3"/>
        <n v="-8.8998211091234278E-2"/>
        <n v="9.3274423171329258E-3"/>
        <n v="4.3774319066147968E-2"/>
        <n v="-9.3196644920780865E-4"/>
        <n v="-4.6641791044776783E-3"/>
        <n v="8.4348641049671845E-3"/>
        <n v="-1.1152416356877252E-2"/>
        <n v="-2.3026315789473777E-2"/>
        <n v="-2.2126022126022167E-2"/>
        <n v="-5.9026069847514734E-3"/>
        <n v="-4.9480455220188724E-3"/>
        <n v="-4.2267528592739828E-2"/>
        <n v="-2.8037383177570232E-2"/>
        <n v="5.3418803418811773E-4"/>
        <n v="-6.300053390282967E-2"/>
        <n v="8.4330484330484345E-2"/>
        <n v="-2.1019442984761015E-2"/>
        <n v="3.9720880300590553E-2"/>
        <n v="-3.6138358286009436E-3"/>
        <n v="1.9689119170984405E-2"/>
        <n v="-1.0162601626016044E-3"/>
        <n v="-3.3570701932858604E-2"/>
        <n v="4.8947368421052614E-2"/>
        <n v="-2.0070245860511365E-3"/>
        <n v="2.5138260432378437E-3"/>
        <n v="2.0060180541624445E-3"/>
        <n v="4.5045045045044975E-3"/>
        <n v="2.8400597907324378E-2"/>
        <n v="-6.7829457364341362E-3"/>
        <n v="-0.13902439024390251"/>
        <n v="0.17337110481586415"/>
        <n v="-3.0902945436986989E-2"/>
        <n v="-2.0926756352765405E-2"/>
        <n v="-4.3765903307888016E-2"/>
        <n v="-7.0782331027142015E-2"/>
        <n v="-4.3528064146620936E-2"/>
        <n v="4.9101796407185649E-2"/>
        <n v="-2.2260273972602773E-2"/>
        <n v="-1.8096906012842893E-2"/>
        <n v="2.5564803804994037E-2"/>
        <n v="3.4782608695651434E-3"/>
        <n v="6.5280184864240476E-2"/>
        <n v="-1.7353579175705004E-2"/>
        <n v="-2.9249448123620372E-2"/>
        <n v="-1.4781125639568026E-2"/>
        <n v="4.0392383150606058E-3"/>
        <n v="0.12701149425287361"/>
        <n v="-1.9377868434472159E-2"/>
        <n v="9.1523660946437754E-2"/>
        <n v="5.0976655550262047E-2"/>
        <n v="1.1786038077969246E-2"/>
        <n v="-1.4784946236559222E-2"/>
        <n v="2.273760800363802E-2"/>
        <n v="2.0453534904401997E-2"/>
        <n v="6.1002178649237722E-3"/>
        <n v="-1.4291901255954885E-2"/>
        <n v="-8.7873462214424979E-4"/>
        <n v="2.0668425681618401E-2"/>
        <n v="9.4786729857819409E-3"/>
        <n v="-2.5608194622278582E-3"/>
        <n v="-5.4771074026529788E-2"/>
        <n v="2.2181982797645924E-2"/>
        <n v="1.5500442869796344E-2"/>
        <n v="1.3083296990841724E-2"/>
        <n v="1.6788635385277681E-2"/>
        <n v="-2.5402201524133052E-3"/>
        <n v="-1.6553480475381879E-2"/>
        <n v="-2.6758739749676345E-2"/>
        <n v="-3.680709534368079E-2"/>
        <n v="6.2154696132596755E-2"/>
        <n v="-6.0684872128305405E-3"/>
        <n v="1.1338857392062867E-2"/>
        <n v="-1.9404915912031171E-2"/>
        <n v="2.7704485488126762E-2"/>
        <n v="2.2678647839109865E-2"/>
        <n v="3.3472803347281109E-3"/>
        <n v="9.1743119266054565E-3"/>
        <n v="-1.4049586776859498E-2"/>
        <n v="2.011735121542332E-2"/>
        <n v="4.5193097781429511E-3"/>
        <n v="-4.0899795501014359E-4"/>
        <n v="2.7823240589198023E-2"/>
        <n v="-2.9458598726114726E-2"/>
        <n v="-4.7169811320754658E-2"/>
        <n v="-3.2716315109771917E-2"/>
        <n v="-1.2016021361815735E-2"/>
        <n v="-5.2702702702702622E-2"/>
        <n v="1.3789824060865388E-2"/>
        <n v="-7.6454033771106891E-2"/>
        <n v="0.10411376333164027"/>
        <n v="-3.0358785648574065E-2"/>
        <n v="5.5977229601518186E-2"/>
        <n v="-3.1446540880503272E-3"/>
        <n v="-6.8499324019828722E-2"/>
        <n v="-3.1446540880503242E-2"/>
        <n v="5.7942057942057951E-2"/>
        <n v="5.4296506137865845E-2"/>
        <n v="1.3434841021048429E-3"/>
        <n v="9.3917710196780354E-3"/>
        <n v="1.9051838723969858E-2"/>
        <n v="6.5217391304347207E-3"/>
        <n v="-3.7149028077753755E-2"/>
        <n v="3.0058322117541576E-2"/>
        <n v="4.790940766550498E-3"/>
        <n v="3.467706978760221E-3"/>
        <n v="-0.12958963282937366"/>
        <n v="-1.091811414392054E-2"/>
        <n v="-3.8133467134972301E-2"/>
        <n v="1.3562858633281064E-2"/>
        <n v="1.9042717447246577E-2"/>
        <n v="-2.0202020202019773E-3"/>
        <n v="3.5425101214573242E-3"/>
        <n v="-5.3449951409134814E-3"/>
        <n v="1.6609672691744008E-2"/>
        <n v="2.4026910139356423E-3"/>
        <n v="2.6845637583892728E-2"/>
        <n v="-1.2605042016806867E-2"/>
        <n v="-3.0732860520094496E-2"/>
        <n v="-5.365853658536558E-3"/>
        <n v="2.3050514958312843E-2"/>
        <n v="-3.355704697986591E-3"/>
        <n v="-1.2025012025012025E-2"/>
        <n v="-1.4118792599805217E-2"/>
        <n v="1.3827160493827217E-2"/>
        <n v="-7.3063809059913361E-3"/>
        <n v="-1.03042198233561E-2"/>
        <n v="-3.7183936539414972E-2"/>
        <n v="1.1843460350154317E-2"/>
        <n v="1.3740458015267335E-2"/>
        <n v="-3.0120481927711981E-3"/>
        <n v="5.6394763343403875E-2"/>
        <n v="1.6682554814108574E-2"/>
        <n v="-7.8762306610407867E-2"/>
        <n v="-3.206106870229003E-2"/>
        <n v="-3.0494216614090342E-2"/>
        <n v="-1.0845986984815387E-3"/>
        <n v="1.0857763300759812E-3"/>
        <n v="2.7114967462039043E-2"/>
        <n v="2.3759239704329423E-2"/>
        <n v="-2.5786487880350695E-2"/>
        <n v="1.9587083112758124E-2"/>
        <n v="3.6344755970922496E-3"/>
        <n v="-5.0181065700982873E-2"/>
        <n v="-2.1241830065359509E-2"/>
        <n v="-7.7907623817473886E-3"/>
        <n v="2.2994952327537867E-2"/>
        <n v="1.6447368421053257E-3"/>
        <n v="-3.4482758620689599E-2"/>
        <n v="-1.5873015873015938E-2"/>
        <n v="2.822580645161302E-2"/>
        <n v="2.6330532212885088E-2"/>
        <n v="1.3646288209606987E-2"/>
        <n v="4.8465266558965995E-3"/>
        <n v="3.3226152197213345E-2"/>
        <n v="-1.1410788381742863E-2"/>
        <n v="2.0461699895068238E-2"/>
        <n v="-8.2262210796915064E-2"/>
        <n v="2.689075630252083E-2"/>
        <n v="-6.5466448445170456E-3"/>
        <n v="-3.2948929159803552E-3"/>
        <n v="1.3774104683195593E-2"/>
        <n v="-2.7717391304347722E-2"/>
        <n v="-2.2358859698154918E-3"/>
        <n v="-5.0420168067226807E-3"/>
        <n v="2.5900900900900747E-2"/>
        <n v="-7.6838638858397678E-3"/>
        <n v="7.7433628318584391E-3"/>
        <n v="-3.8419319429198649E-2"/>
        <n v="3.9954337899543542E-3"/>
        <n v="-1.9897669130187687E-2"/>
        <n v="-4.2343387470997501E-2"/>
        <n v="-5.0272562083585812E-2"/>
        <n v="2.6785714285714395E-2"/>
        <n v="-1.1801242236024924E-2"/>
        <n v="-1.948460087994975E-2"/>
        <n v="4.2948717948717942E-2"/>
        <n v="4.4867854947756636E-2"/>
        <n v="1.1764705882352691E-3"/>
        <n v="-3.2314923619271491E-2"/>
        <n v="-9.1074681238614806E-3"/>
        <n v="-1.1642156862745176E-2"/>
        <n v="-9.9194048357097563E-3"/>
        <n v="-5.2598622417031921E-2"/>
        <n v="2.3793787177792427E-2"/>
        <n v="-1.9367333763718115E-3"/>
        <n v="-1.5523932729624851E-2"/>
        <n v="-7.5558475689881749E-2"/>
        <n v="-2.7007818052594227E-2"/>
        <n v="-1.4609203798392676E-3"/>
        <n v="-5.9985369422092191E-2"/>
        <n v="1.4007782101167293E-2"/>
        <n v="-2.4558710667689831E-2"/>
        <n v="-1.0228166797797072E-2"/>
        <n v="6.3593004769475414E-3"/>
        <n v="-8.688783570300113E-3"/>
        <n v="-1.6733067729083732E-2"/>
        <n v="-3.3225283630470025E-2"/>
        <n v="8.2145850796311856E-2"/>
        <n v="1.5491866769945723E-2"/>
        <n v="4.7292143401983296E-2"/>
        <n v="-7.2833211944646498E-3"/>
        <n v="4.1085840058693958E-2"/>
        <n v="1.9732205778717489E-2"/>
        <n v="-3.5936420179682189E-2"/>
        <n v="2.2222222222222258E-2"/>
        <n v="4.9088359046283508E-3"/>
        <n v="4.6755059316120021E-2"/>
        <n v="-1.3333333333333049E-3"/>
        <n v="8.0106809078771164E-3"/>
        <n v="-3.0463576158940336E-2"/>
        <n v="1.0245901639344164E-2"/>
        <n v="8.1135902636917511E-3"/>
        <n v="-1.7437961099932918E-2"/>
        <n v="-2.047781569965948E-3"/>
        <n v="1.6415868673050633E-2"/>
        <n v="2.6917900403769131E-3"/>
        <n v="1.6107382550335586E-2"/>
        <n v="-1.1228533685601052E-2"/>
        <n v="4.6092184368737438E-2"/>
        <n v="-7.6628352490422094E-3"/>
        <n v="-1.1583011583011565E-2"/>
        <n v="-1.3020833333333057E-3"/>
        <n v="3.846153846153845E-2"/>
        <n v="-1.2554927809164829E-3"/>
        <n v="2.7027027027027008E-2"/>
        <n v="3.4271725826193311E-2"/>
        <n v="-4.1420118343195441E-3"/>
        <n v="9.5068330362448102E-3"/>
        <n v="-5.2972336668628524E-3"/>
        <n v="1.8343195266272327E-2"/>
        <n v="-9.2969203951191251E-3"/>
        <n v="1.7008797653958893E-2"/>
        <n v="1.8454440599769337E-2"/>
        <n v="-0.13646659116647791"/>
        <n v="-3.2786885245902103E-3"/>
        <n v="3.4210526315789566E-2"/>
        <n v="2.7353689567429892E-2"/>
        <n v="-2.4767801857584612E-3"/>
        <n v="-3.2278088144009905E-2"/>
        <n v="1.9243104554201001E-3"/>
        <n v="-2.5608194622279038E-2"/>
        <n v="1.0512483574244424E-2"/>
        <n v="1.1703511053315976E-2"/>
        <n v="2.1208226221079696E-2"/>
        <n v="-1.3845185651353092E-2"/>
        <n v="-2.5526483726866646E-2"/>
        <n v="2.6195153896529166E-2"/>
        <n v="-6.5730695596681515E-2"/>
        <n v="-1.775956284153004E-2"/>
        <n v="1.9471488178024989E-2"/>
        <n v="3.1377899045020398E-2"/>
        <n v="-3.9682539682538839E-3"/>
        <n v="-2.2576361221779539E-2"/>
        <n v="6.1141304347825986E-3"/>
        <n v="-4.8615800135043928E-2"/>
        <n v="1.7033356990773612E-2"/>
        <n v="-4.187020237264515E-3"/>
        <n v="7.0077084793272355E-3"/>
        <n v="2.8531663187195556E-2"/>
        <n v="1.7591339648173193E-2"/>
        <n v="-2.6595744680850499E-3"/>
        <n v="-1.9333333333333275E-2"/>
        <n v="4.0788579197824582E-2"/>
        <n v="-9.7975179621162863E-3"/>
        <n v="1.9129287598944535E-2"/>
        <n v="1.6181229773462785E-2"/>
        <n v="4.9044585987261122E-2"/>
        <n v="-4.8573163327260659E-3"/>
        <n v="-2.4405125076265495E-3"/>
        <n v="-9.7859327217125463E-3"/>
        <n v="8.029647930821433E-3"/>
        <n v="-5.514705882352932E-3"/>
        <n v="1.2939001848428888E-2"/>
        <n v="-2.4330900243309129E-2"/>
        <n v="2.4937655860348597E-3"/>
        <n v="-7.4626865671641646E-2"/>
        <n v="2.4865591397849409E-2"/>
        <n v="6.0327868852459131E-2"/>
        <n v="-1.8552875695733539E-3"/>
        <n v="-4.9566294919455916E-3"/>
        <n v="1.5566625155666253E-2"/>
        <n v="-6.1312078479459154E-3"/>
        <n v="-4.1332510795805161E-2"/>
        <n v="-7.0785070785070424E-3"/>
        <n v="2.7219701879455601E-2"/>
        <n v="9.4637223974763634E-3"/>
        <n v="1.8750000000000044E-2"/>
        <n v="1.2269938650306487E-3"/>
        <n v="1.2867647058823581E-2"/>
        <n v="3.6297640653357402E-2"/>
        <n v="3.5026269702278035E-3"/>
        <n v="7.5625363583478183E-3"/>
        <n v="8.0831408775981859E-3"/>
        <n v="-1.890034364261179E-2"/>
        <n v="-1.3426736719206097E-2"/>
        <n v="8.2840236686390883E-3"/>
        <n v="-3.5211267605633053E-3"/>
        <n v="0.17667844522968199"/>
        <n v="9.509509509509502E-2"/>
        <n v="-1.3711151736744782E-3"/>
        <n v="-3.5240274599542473E-2"/>
        <n v="-3.7950664136621585E-3"/>
        <n v="-4.7619047619055062E-4"/>
        <n v="-4.7641734159122378E-3"/>
        <n v="1.292484442316896E-2"/>
        <n v="-4.7258979206056534E-4"/>
        <n v="2.9314420803782555E-2"/>
        <n v="2.7560863573725374E-2"/>
        <n v="4.9172999552972475E-3"/>
        <n v="2.3576512455516063E-2"/>
        <n v="1.3906996957844272E-2"/>
        <n v="-1.1144449207029491E-2"/>
        <n v="9.5361941915907619E-3"/>
        <n v="8.1580077286389566E-3"/>
        <n v="-6.3884156729132084E-3"/>
        <n v="2.7432490355765136E-2"/>
        <n v="-2.0442219440967812E-2"/>
        <n v="7.6660988074957288E-3"/>
        <n v="-6.1707523245984823E-2"/>
        <n v="9.9099099099100186E-3"/>
        <n v="-2.1855486173059855E-2"/>
        <n v="7.2959416324669471E-3"/>
        <n v="-4.074241738343135E-3"/>
        <n v="1.4545454545454558E-2"/>
        <n v="4.0322580645161228E-3"/>
        <n v="-9.3708165997323008E-3"/>
        <n v="-8.1081081081080964E-3"/>
        <n v="1.6802906448683062E-2"/>
        <n v="1.1165698972755694E-2"/>
        <n v="2.7385159010600749E-2"/>
        <n v="1.0748065348237317E-2"/>
        <n v="1.9991492981709862E-2"/>
        <n v="-3.7531276063386097E-3"/>
        <n v="6.446211804102131E-2"/>
        <n v="-6.2917813605977251E-3"/>
        <n v="3.7198258804907056E-2"/>
        <n v="2.7851964898893567E-2"/>
        <n v="3.7119524870080872E-3"/>
        <n v="3.3653846153846159E-2"/>
        <n v="1.431127012522369E-2"/>
        <n v="1.3403880070546702E-2"/>
        <n v="-1.3922728854855256E-3"/>
        <n v="-3.6249564308121388E-2"/>
        <n v="8.679927667269511E-3"/>
        <n v="2.8325564718537078E-2"/>
        <n v="2.9637377963737846E-2"/>
        <n v="1.9302404334575016E-2"/>
        <n v="3.8870431893687642E-2"/>
        <n v="4.9248480972177891E-2"/>
        <n v="-2.1944529106979544E-2"/>
        <n v="-6.5440947335619936E-3"/>
        <n v="9.7553324968632463E-2"/>
        <n v="2.4864246927693553E-2"/>
        <n v="-3.5973229224762947E-2"/>
        <n v="-9.8351171536014866E-3"/>
        <n v="-5.8428279287173757E-3"/>
        <n v="7.1995298266235547E-2"/>
        <n v="4.0844298245614093E-2"/>
        <n v="4.7405846721095529E-3"/>
        <n v="-1.3106159895150722E-2"/>
        <n v="-1.1952191235059648E-2"/>
        <n v="1.5860215053763341E-2"/>
        <n v="2.487430537179142E-2"/>
        <n v="0.10302091402013949"/>
        <n v="1.5215355805243413E-2"/>
        <n v="0.19898547382983636"/>
        <n v="0.13730769230769233"/>
        <n v="-0.1717957389245858"/>
        <n v="1.9395671702735869E-2"/>
        <n v="-1.2016823552974619E-3"/>
        <n v="3.1080810106276405E-2"/>
        <n v="4.0840140023337386E-3"/>
        <n v="-9.2969203951191928E-3"/>
        <n v="4.7898338220918921E-2"/>
        <n v="-4.8507462686566789E-3"/>
        <n v="7.2928383952005876E-2"/>
        <n v="6.8670277826314866E-2"/>
        <n v="-1.9620667102681424E-2"/>
        <n v="1.834556370913933E-3"/>
        <n v="-7.45796570667554E-2"/>
        <n v="-4.065479402770291E-2"/>
        <n v="-2.6439152447027877E-2"/>
        <n v="-0.12808166409861321"/>
        <n v="-1.6346366246962712E-2"/>
        <n v="0.11318212441050975"/>
        <n v="2.6225539640912358E-3"/>
        <n v="5.4325955734405634E-3"/>
        <n v="-3.3420052031218769E-2"/>
        <n v="-2.8985507246376784E-2"/>
        <n v="-0.13582089552238802"/>
        <n v="6.1435973353071847E-2"/>
        <n v="-1.7201301720130218E-2"/>
        <n v="-0.1161305581835384"/>
        <n v="-2.4886272411024882E-2"/>
        <n v="-0.18578485181119639"/>
        <n v="-3.3367037411526856E-2"/>
        <n v="-0.16039051603905166"/>
        <n v="0.18397009966777422"/>
        <n v="-3.5075412136098078E-4"/>
        <n v="1.5789473684210503E-2"/>
        <n v="0.16303972366148542"/>
        <n v="6.7716067716067752E-2"/>
        <n v="-2.0584144645340804E-2"/>
        <n v="-2.6128940641863156E-2"/>
        <n v="-2.3622047244094554E-2"/>
        <n v="4.3309438470728885E-2"/>
        <n v="-8.1019181219581973E-2"/>
        <n v="-5.6074766355140207E-2"/>
        <n v="5.6105610561056084E-2"/>
        <n v="7.5625000000000053E-2"/>
        <n v="5.6362579895409576E-2"/>
        <n v="6.3256325632564349E-3"/>
        <n v="4.4001093194861965E-2"/>
        <n v="0.13612565445026165"/>
        <n v="9.0552995391705068E-2"/>
        <n v="2.8100570462708606E-2"/>
        <n v="2.0961775585696736E-2"/>
        <n v="1.1674718196457292E-2"/>
        <n v="-9.9482690011937925E-3"/>
        <n v="-7.998392282958193E-2"/>
        <n v="6.6186107470511166E-2"/>
        <n v="-3.6263060848186909E-2"/>
        <n v="2.7636054421768797E-2"/>
        <n v="0.10157219693835326"/>
        <n v="-3.7183098591549238E-2"/>
        <n v="4.0959625511995203E-2"/>
        <n v="-2.3234026606707793E-2"/>
        <n v="-0.10320352963744489"/>
        <n v="8.5561497326203204E-2"/>
        <n v="9.0640394088670126E-3"/>
        <n v="1.8746338605741084E-2"/>
        <n v="-3.2585777266628656E-3"/>
        <n v="5.0576923076923123E-2"/>
        <n v="-9.8846787479406756E-3"/>
        <n v="-2.4034017378443805E-3"/>
        <n v="-2.2794662713120903E-2"/>
        <n v="1.5740565143182353E-2"/>
        <n v="-5.227781926811074E-3"/>
        <n v="1.8018018018018035E-2"/>
        <n v="-6.821533923303918E-3"/>
        <n v="9.2816038611472067E-3"/>
        <n v="1.4713996689350825E-2"/>
        <n v="-1.2869313032445184E-2"/>
        <n v="2.3870730811605318E-3"/>
        <n v="1.6486535995602913E-3"/>
        <n v="-1.7556693489392847E-2"/>
        <n v="3.6299329858525742E-2"/>
        <n v="7.5444584156637254E-2"/>
        <n v="-1.8373141807248944E-2"/>
        <n v="1.5313935681469507E-3"/>
        <n v="-2.0897043832823595E-2"/>
        <n v="2.4466423737636588E-2"/>
        <n v="7.2662601626016246E-2"/>
        <n v="-9.7899889467866329E-3"/>
        <n v="8.9778344761601056E-2"/>
        <n v="-5.0921861281826221E-2"/>
        <n v="-3.8698735738513693E-2"/>
        <n v="5.9502806736166813E-2"/>
        <n v="-8.779897063275784E-3"/>
        <n v="9.7739767868051386E-3"/>
        <n v="1.22504537205082E-2"/>
        <n v="-2.9881966233378577E-3"/>
        <n v="-6.5937359508466608E-3"/>
        <n v="7.5426157791522097E-3"/>
        <n v="-4.0874382392573794E-2"/>
        <n v="2.6069310021854537E-2"/>
        <n v="-2.6624068157614589E-2"/>
        <n v="5.1734917161613152E-2"/>
        <n v="6.9846931193342079E-2"/>
        <n v="3.6810668148354021E-2"/>
        <n v="7.9581993569131801E-2"/>
        <n v="0.1347728965003723"/>
        <n v="1.3342082239720023E-2"/>
        <n v="-1.7267429311461194E-2"/>
        <n v="2.0755545793981995E-2"/>
        <n v="0.10790747713824637"/>
        <n v="-3.0879782482035413E-2"/>
        <n v="1.3226452905811698E-2"/>
        <n v="1.928401898734166E-2"/>
        <n v="-2.9397496846803019E-2"/>
        <n v="1.9992003198716533E-4"/>
        <n v="9.4643214071557055E-2"/>
        <n v="-4.5375696156304199E-2"/>
        <n v="1.5302218821729096E-2"/>
        <n v="-4.9830444611906485E-2"/>
        <n v="-6.3448002379300136E-2"/>
        <n v="8.6482481210966466E-2"/>
        <n v="-4.1017147310989807E-2"/>
        <n v="1.5340851366453223E-2"/>
        <n v="-7.7046227736641592E-3"/>
        <n v="-3.8217202783099792E-2"/>
        <n v="3.7953449360452973E-2"/>
        <n v="1.3131313131312672E-3"/>
        <n v="-1.3114092605668866E-3"/>
        <n v="3.1313131313131541E-3"/>
        <n v="-2.4770919343470022E-2"/>
        <n v="-2.3541559112028924E-2"/>
        <n v="-3.1088082901554383E-2"/>
        <n v="0.13117974462512288"/>
        <n v="4.2643511818620236E-2"/>
        <n v="1.8321458314055742E-2"/>
        <n v="0.11203998182644251"/>
        <n v="2.8027455466579563E-2"/>
        <n v="-4.5306414434465253E-3"/>
        <n v="6.5633982753114134E-2"/>
        <n v="2.4052150457065633E-2"/>
        <n v="-1.7487378356625349E-2"/>
        <n v="4.5427464998509474E-3"/>
        <n v="6.41263251538291E-2"/>
        <n v="3.9779852305977484E-2"/>
        <n v="-1.1323283082077036E-2"/>
        <n v="0.12571157495256174"/>
        <n v="-4.6716031545361622E-2"/>
        <n v="-5.8288601199873634E-2"/>
        <n v="-9.0195815450643882E-2"/>
        <n v="2.7788015036485668E-2"/>
        <n v="-0.21062822719449228"/>
        <n v="0.10920323430544208"/>
        <n v="1.3842247522319582E-2"/>
        <n v="3.7162708030375967E-3"/>
        <n v="0.12580489375402454"/>
        <n v="7.1852434403374438E-2"/>
        <n v="-1.7809498399146129E-2"/>
        <n v="-4.149405772495765E-2"/>
        <n v="4.4211421283831723E-2"/>
        <n v="1.6420138417695861E-2"/>
        <n v="-5.6008010680907973E-2"/>
        <n v="-0.10338731348560916"/>
        <n v="1.9481031627099805E-2"/>
        <n v="5.0440971684976098E-2"/>
        <n v="3.4025629695095039E-2"/>
        <n v="-5.0569800569801133E-3"/>
        <n v="2.3695325363304477E-2"/>
        <n v="4.4685314685314587E-2"/>
        <n v="-7.3833589932391544E-2"/>
        <n v="2.5513154090777482E-2"/>
        <n v="-2.7486080766791019E-2"/>
        <n v="2.7393289368794847E-2"/>
        <n v="1.4107356986667744E-3"/>
        <n v="1.90181024160033E-2"/>
        <n v="1.9077901430842741E-2"/>
        <n v="9.8351760157362033E-3"/>
        <n v="3.2845244492208589E-2"/>
        <n v="-2.6923327046888303E-2"/>
        <n v="-2.0517275947336718E-2"/>
        <n v="-2.0128275109170229E-2"/>
        <n v="-2.0611378037741157E-2"/>
        <n v="1.6352648418058284E-3"/>
        <n v="7.4531516183987184E-3"/>
        <n v="-1.2118650038751488E-2"/>
        <n v="-8.5585906854007947E-4"/>
        <n v="1.0493254336497957E-2"/>
        <n v="-4.3938965809550715E-2"/>
        <n v="1.1822077730161034E-2"/>
        <n v="-5.5425733898057571E-2"/>
        <n v="3.2083494395052231E-2"/>
        <n v="5.8426966292134917E-2"/>
        <n v="-6.8648266100495318E-3"/>
        <n v="4.061854200812362E-2"/>
        <n v="-1.8557830582757021E-2"/>
        <n v="-2.023444041306172E-2"/>
        <n v="-2.5851018373451044E-2"/>
        <n v="1.644857080195921E-2"/>
        <n v="-1.2873993095512026E-2"/>
        <n v="-7.8688524590164854E-3"/>
        <n v="-1.0281266064477224E-3"/>
        <n v="8.2114239505991227E-2"/>
        <n v="0.10197010869565232"/>
        <n v="2.5954010233647615E-2"/>
        <n v="-1.9348635981252249E-2"/>
        <n v="6.5870098039215688E-2"/>
        <n v="6.4271342339752846E-2"/>
        <n v="3.3489980014044275E-2"/>
        <n v="2.0488161814665694E-2"/>
        <n v="-3.0985915492957806E-2"/>
        <n v="3.023255813953488E-2"/>
        <n v="-2.7241945413502843E-2"/>
        <n v="4.3141184536680435E-2"/>
        <n v="9.5555892613378574E-3"/>
        <n v="7.1314102564102463E-2"/>
        <n v="1.2668287210172064E-2"/>
        <n v="-6.9888750403914443E-2"/>
        <n v="3.7371581716214207E-2"/>
        <n v="-2.7222275380346366E-2"/>
        <n v="4.8935228446367912E-2"/>
        <n v="-1.0315078769692369E-2"/>
        <n v="-1.6534015539132123E-2"/>
        <n v="5.3181752492894606E-2"/>
        <n v="5.9644147646709014E-2"/>
        <n v="-6.4963094056200557E-2"/>
        <n v="-1.463392115224825E-2"/>
        <n v="8.8076832981964105E-3"/>
        <n v="2.442762271861789E-2"/>
        <n v="2.9013101228522885E-3"/>
        <n v="3.4805406138408456E-3"/>
        <n v="4.3198198198198215E-2"/>
        <n v="1.5674251910704241E-2"/>
        <n v="3.4180766941586567E-2"/>
        <n v="7.3172736989229681E-3"/>
        <n v="2.8362716291217831E-2"/>
        <n v="7.9447597126870037E-2"/>
        <n v="7.8416234697253728E-2"/>
        <n v="-7.8202768118906391E-2"/>
        <n v="4.715236686390533E-2"/>
        <n v="5.827300017658606E-3"/>
        <n v="-1.0990168539325827E-2"/>
        <n v="-2.2295594134980754E-2"/>
        <n v="2.2259341297795839E-2"/>
        <n v="6.9622051719239715E-3"/>
        <n v="-6.4202060110060428E-3"/>
        <n v="1.952708939856403E-3"/>
        <n v="4.0360015591226546E-2"/>
        <n v="2.5885558583105955E-3"/>
        <n v="-2.143633645875799E-2"/>
        <n v="-3.3223398715500757E-2"/>
        <n v="-5.0165182418845253E-2"/>
        <n v="5.8334278477184254E-2"/>
        <n v="3.9258412516967954E-2"/>
        <n v="-2.0726635273089846E-2"/>
        <n v="-5.5107055107054869E-3"/>
        <n v="2.6470899657643032E-3"/>
        <n v="1.3130104196001191E-2"/>
        <n v="-1.6191237274590962E-2"/>
        <n v="-5.2551651068338326E-2"/>
        <n v="8.4989003615761356E-3"/>
        <n v="5.5072999445574169E-3"/>
        <n v="-2.4371415968239947E-2"/>
        <n v="2.4113635507327768E-3"/>
        <n v="-1.3493704190941671E-2"/>
        <n v="-7.734511925626659E-3"/>
        <n v="-8.5474023729985096E-2"/>
        <n v="-2.1917118024940164E-2"/>
        <n v="6.1772912642197961E-2"/>
        <n v="-8.057734292876205E-2"/>
        <n v="-9.850050569456089E-3"/>
        <n v="6.355198294621843E-2"/>
        <n v="-4.4554868882578869E-2"/>
        <n v="-4.8424456973034449E-2"/>
        <n v="-4.859229320718314E-2"/>
        <n v="-3.7798696596669137E-2"/>
        <n v="-5.8448725667268747E-2"/>
        <n v="0.19640858954547885"/>
        <n v="-8.1948960049882131E-3"/>
        <n v="4.7195653150118956E-2"/>
        <n v="-8.4048027444252986E-3"/>
        <n v="2.0498183705241223E-2"/>
        <n v="-4.3859649122806994E-2"/>
        <n v="3.68302087488366E-2"/>
        <n v="-6.9334017269385304E-2"/>
        <n v="2.6180415212198843E-3"/>
        <n v="2.3088551926336621E-2"/>
        <n v="-1.1686741593158167E-2"/>
        <n v="-4.8160565422254421E-2"/>
        <n v="1.6040744442857843E-2"/>
        <n v="-3.3823667197601416E-2"/>
        <n v="-1.2024825446082322E-2"/>
        <n v="3.9801727522575645E-2"/>
        <n v="5.083305800726852E-2"/>
        <n v="-9.2526051024073575E-3"/>
        <n v="4.4292320246622455E-2"/>
        <n v="8.2483177772953219E-4"/>
        <n v="-2.9842977357508439E-2"/>
        <n v="1.9091478136457167E-2"/>
        <n v="-9.9153248804458357E-3"/>
        <n v="3.6867993087251395E-2"/>
        <n v="8.5986580623103562E-2"/>
        <n v="-3.9471095194994296E-2"/>
        <n v="9.0134382169779932E-3"/>
        <n v="1.2587299009257848E-3"/>
        <n v="-3.3983535423172048E-2"/>
        <n v="6.0870660341714811E-3"/>
        <n v="3.4966202119669512E-2"/>
        <n v="-3.2817287534268609E-2"/>
        <n v="1.3463943309712336E-2"/>
        <n v="1.2092296302389659E-2"/>
        <n v="-4.5352948348031039E-2"/>
        <n v="-1.4643906176833671E-2"/>
        <n v="-2.5057242839244875E-2"/>
        <n v="4.7901803518411855E-2"/>
        <n v="-3.4590663058186651E-2"/>
        <n v="-1.6513359614542315E-2"/>
        <n v="-3.9192980893421612E-3"/>
        <n v="-1.1044042029957518E-2"/>
        <n v="1.3292341079663612E-2"/>
        <n v="-6.4429769766196673E-2"/>
        <n v="-1.8838229683327056E-2"/>
        <n v="-4.4232732221844137E-2"/>
        <n v="-3.0870162233636745E-2"/>
        <n v="3.1591099916036994E-2"/>
        <n v="-2.1874046189846428E-2"/>
        <n v="1.7682546286665456E-3"/>
        <n v="-2.491953068217221E-2"/>
        <n v="4.1369396230433453E-2"/>
        <n v="-1.0020962216882295E-2"/>
        <n v="4.4001446056912724E-2"/>
        <n v="-2.918624783576569E-3"/>
        <n v="2.3913474895812626E-2"/>
        <n v="1.8897179959298408E-2"/>
        <n v="-8.8929046984972636E-3"/>
        <n v="-2.1112230699102622E-3"/>
        <n v="-3.010049526373992E-2"/>
        <n v="-5.3343909573149662E-2"/>
        <n v="4.5718774548311171E-2"/>
        <n v="1.0166266025641031E-2"/>
        <n v="-2.5283823310694527E-3"/>
        <n v="-8.0019880715705028E-3"/>
        <n v="1.8938824590410346E-2"/>
        <n v="-3.4420022618868651E-4"/>
        <n v="1.2788981800295102E-2"/>
        <n v="-2.9674599320058347E-2"/>
        <n v="9.1596175984784648E-3"/>
        <n v="1.9392917369308583E-2"/>
        <n v="1.0898652264876218E-2"/>
        <n v="-3.994801944457874E-3"/>
        <n v="4.6390258045810769E-3"/>
        <n v="5.2717652717652753E-2"/>
        <n v="3.5410764872521247E-2"/>
        <n v="-1.1694099995587157E-2"/>
        <n v="2.5049115913555926E-2"/>
        <n v="-1.1543320120224793E-2"/>
        <n v="-1.5423937951700791E-3"/>
        <n v="-2.6481881979079063E-3"/>
        <n v="1.460370845687536E-3"/>
        <n v="-2.8457799381352174E-2"/>
        <n v="-2.2650777767670417E-2"/>
        <n v="1.265822784810126E-2"/>
        <n v="6.3419117647058616E-3"/>
        <n v="4.3793953785733877E-2"/>
        <n v="-2.502515640722754E-2"/>
        <n v="-2.2705855956921706E-2"/>
        <n v="-4.2242527205105266E-3"/>
        <n v="-9.8215520818923565E-3"/>
        <n v="3.1200521560956853E-3"/>
        <n v="2.2097395664082406E-2"/>
        <n v="-7.902984057773451E-3"/>
        <n v="-9.2020326878176958E-3"/>
        <n v="-9.0564642824137315E-3"/>
        <n v="2.2148652429357454E-2"/>
        <n v="-1.9524656721864882E-2"/>
        <n v="3.3964546596565847E-3"/>
        <n v="4.6925716405453052E-2"/>
        <n v="1.4571706971388041E-2"/>
        <n v="3.2697428733574931E-2"/>
        <n v="8.4545147108599226E-5"/>
        <n v="1.6484909967029603E-3"/>
        <n v="5.2327298814196276E-3"/>
        <n v="-2.1745518660005906E-2"/>
        <n v="2.098442260653129E-2"/>
        <n v="-5.2958977807666067E-3"/>
        <n v="-3.042339220823117E-3"/>
        <n v="2.0386538950580665E-2"/>
        <n v="-7.0197300103842066E-3"/>
        <n v="-4.3252739897933587E-2"/>
        <n v="-2.9818118223154919E-2"/>
        <n v="3.4970707525912532E-2"/>
        <n v="-2.2511538796481701E-2"/>
        <n v="1.0067263575214891E-2"/>
        <n v="3.8280044101433326E-2"/>
        <n v="3.1007093403559007E-3"/>
        <n v="3.8533197831978174E-3"/>
        <n v="-1.4130847429029376E-2"/>
        <n v="1.5360260140338882E-2"/>
        <n v="2.6673970755551741E-2"/>
        <n v="6.5670661631916875E-3"/>
        <n v="-2.2019246452455571E-3"/>
        <n v="-2.3293829178585748E-3"/>
        <n v="1.5975095236145283E-3"/>
        <n v="2.6378210371339719E-2"/>
        <n v="1.2750527951547721E-3"/>
        <n v="1.3132237653707371E-3"/>
        <n v="-2.46403306573405E-2"/>
        <n v="9.1679569717219474E-3"/>
        <n v="1.9784390519643441E-3"/>
        <n v="1.5232108317214705E-2"/>
        <n v="1.5479876160991298E-3"/>
        <n v="3.289343320255158E-3"/>
        <n v="-3.8592194659503913E-2"/>
        <n v="1.2613500965528665E-2"/>
        <n v="1.7000730341637578E-2"/>
        <n v="2.2341911031318663E-3"/>
        <n v="2.7546674097368686E-2"/>
        <n v="2.1926936039979951E-2"/>
        <n v="-1.7438113651010358E-2"/>
        <n v="4.8227169258073226E-3"/>
        <n v="-7.487329135309433E-3"/>
        <n v="-3.0948972880956357E-4"/>
        <n v="8.1266204868231332E-3"/>
        <n v="-1.189973513492773E-3"/>
        <n v="2.7671022290546785E-3"/>
        <n v="1.3873984363023166E-2"/>
        <n v="-1.0244197474862162E-2"/>
        <n v="8.2114349005080935E-3"/>
        <n v="1.7387680884915428E-2"/>
        <n v="6.6649290687717183E-3"/>
        <n v="8.9140405385410865E-3"/>
        <n v="3.0208600652564466E-2"/>
        <n v="3.2134087754884272E-2"/>
        <n v="-6.7232105916426883E-3"/>
        <n v="1.7702801207957505E-3"/>
        <n v="3.2571032571032492E-2"/>
        <n v="1.7550335570469859E-2"/>
        <n v="0.12660356824852417"/>
        <n v="-6.2642702417890824E-3"/>
        <n v="1.9058560150818811E-2"/>
        <n v="3.7751120104061286E-2"/>
        <n v="3.431659285256676E-2"/>
        <n v="8.4910995610373602E-2"/>
        <n v="-3.025865064786774E-2"/>
        <n v="3.5707886451480757E-2"/>
        <n v="1.3222282635559347E-2"/>
        <n v="-6.3663194867917489E-3"/>
        <n v="-4.8384721131186262E-2"/>
        <n v="-0.11990197342964004"/>
        <n v="4.3409443972213274E-2"/>
        <n v="-4.1575369402775944E-3"/>
        <n v="-2.829337094499287E-2"/>
        <n v="-1.9363079513455499E-2"/>
        <n v="4.079336885731194E-2"/>
        <n v="3.2481938676830358E-2"/>
        <n v="6.7768595041321749E-3"/>
        <n v="3.7103923822032515E-2"/>
        <n v="1.7413329111920277E-2"/>
        <n v="-4.1336030288885425E-2"/>
        <n v="6.2756979008872357E-3"/>
        <n v="-3.0537634408602188E-2"/>
        <n v="5.0909494232475636E-2"/>
        <n v="6.8337730870711745E-3"/>
        <n v="-4.3475982075001904E-2"/>
        <n v="-9.506849315068568E-3"/>
        <n v="-6.4199374878986484E-2"/>
        <n v="-5.8524473870892003E-3"/>
        <n v="4.2338110245584856E-2"/>
        <n v="1.6372867819042757E-2"/>
        <n v="-6.0956443646160673E-2"/>
        <n v="1.3179916317991536E-2"/>
        <n v="-4.9762543877761731E-2"/>
        <n v="-8.1951946358725606E-3"/>
        <n v="1.8247261345852844E-2"/>
        <n v="-5.0287400485660584E-2"/>
        <n v="6.117098747451164E-3"/>
        <n v="-3.4999678311780205E-2"/>
        <n v="4.2869524634975516E-2"/>
        <n v="7.4958445211609923E-2"/>
        <n v="5.7628832257872652E-2"/>
        <n v="2.5248123260325474E-2"/>
        <n v="-5.0185109008637988E-3"/>
        <n v="-2.0947026073534834E-3"/>
        <n v="-1.458321825111868E-2"/>
        <n v="-1.2668871573518646E-2"/>
        <n v="0.13532617952648618"/>
        <n v="-4.1832320656114863E-2"/>
        <n v="-5.347077244258875E-2"/>
        <n v="-2.153235367097682E-2"/>
        <n v="-3.5446604677373865E-2"/>
        <n v="3.035171769104927E-2"/>
        <n v="5.9255479005416115E-3"/>
        <n v="3.9289740698985338E-2"/>
        <n v="-6.7500135596897506E-2"/>
        <n v="1.750763414279477E-2"/>
        <n v="-1.8206762511790105E-2"/>
        <n v="-3.3828238719068426E-2"/>
        <n v="6.327588284921645E-4"/>
        <n v="-5.2576108886145265E-2"/>
        <n v="-1.4715697803769493E-2"/>
        <n v="-1.248387096774195E-2"/>
        <n v="2.071015581615664E-2"/>
        <n v="-0.1155310909847346"/>
        <n v="2.080544197995441E-2"/>
        <n v="0.10676307954062103"/>
        <n v="-5.8288496028695656E-3"/>
        <n v="-2.7478899555441111E-2"/>
        <n v="-1.6032329656497316E-2"/>
        <n v="3.6088200639622856E-2"/>
        <n v="-1.728563537706727E-2"/>
        <n v="1.6134898330302516E-2"/>
        <n v="1.0867796830768333E-2"/>
        <n v="-2.9452473685904767E-2"/>
        <n v="-4.9250464314141575E-2"/>
        <n v="1.8313740537900722E-2"/>
        <n v="5.3302274595779672E-2"/>
        <n v="1.0407180954858631E-3"/>
        <n v="-5.0942170240415877E-2"/>
        <n v="-2.2114199643981855E-2"/>
        <n v="-4.1377861793740985E-2"/>
        <n v="-6.9967864446391942E-2"/>
        <n v="4.8060310978482838E-2"/>
        <n v="1.1389180278735065E-2"/>
        <n v="7.475181508371613E-2"/>
        <n v="-6.9621562004548903E-3"/>
        <n v="1.797862001943637E-2"/>
        <n v="-4.6164336856461027E-2"/>
        <n v="-1.1795824992850447E-3"/>
        <n v="-4.0224743227284143E-2"/>
        <n v="2.4646705693724649E-2"/>
        <n v="4.1921397379912594E-2"/>
        <n v="-2.4063984353171228E-2"/>
        <n v="-5.1211394624771867E-2"/>
        <n v="-3.6436330718165343E-2"/>
        <n v="4.6347764816409627E-2"/>
        <n v="4.7811447811447708E-2"/>
        <n v="3.731076835189942E-2"/>
        <n v="3.8791174749595703E-2"/>
        <n v="1.7395626242544732E-2"/>
        <n v="7.9075069206969453E-2"/>
        <n v="5.1610177164761305E-3"/>
        <n v="1.4803026663463868E-2"/>
        <n v="-3.2251383258870068E-3"/>
        <n v="8.0355022559961992E-2"/>
        <n v="7.0614095342766674E-3"/>
        <n v="-5.0747571755973943E-3"/>
        <n v="-1.4972851423243668E-2"/>
        <n v="6.4866369710467262E-3"/>
        <n v="5.6122590103172686E-2"/>
        <n v="-4.7325965114451821E-2"/>
        <n v="-4.167697594501725E-2"/>
        <n v="1.098711953871322E-2"/>
        <n v="-3.0049372907326573E-2"/>
        <n v="-4.8328116315127352E-2"/>
        <n v="1.1281546832252362E-2"/>
        <n v="3.5898838835187553E-2"/>
        <n v="-3.6562105695589764E-2"/>
        <n v="1.9583955167057555E-2"/>
        <n v="2.3778229179113503E-2"/>
        <n v="-4.9573996265172761E-2"/>
        <n v="3.2327387713750565E-2"/>
        <n v="-3.6876226729316871E-3"/>
        <n v="-7.0145065966209959E-3"/>
        <n v="-0.12183244656867175"/>
        <n v="5.8191278154309193E-3"/>
        <n v="-4.5603049278518078E-3"/>
        <n v="-7.6923076923076927E-3"/>
        <n v="3.6968130921619359E-2"/>
        <n v="6.9772077878927693E-3"/>
        <n v="4.7710175531213005E-2"/>
        <n v="-8.3296592555268764E-2"/>
        <n v="-8.725823628430945E-3"/>
        <n v="-9.0729509617050785E-2"/>
        <n v="1.6427182985859674E-2"/>
        <n v="-8.2533373331333509E-2"/>
        <n v="-8.1742755548289536E-3"/>
        <n v="5.7114600074174744E-2"/>
        <n v="-5.8745565820761576E-2"/>
        <n v="5.139567630249315E-2"/>
        <n v="-6.8026942923543582E-2"/>
        <n v="-5.4945054945053026E-4"/>
        <n v="-6.4151900875375256E-2"/>
        <n v="1.6583822864889235E-2"/>
        <n v="-6.9253678268213589E-2"/>
        <n v="4.8760685801614252E-2"/>
        <n v="7.4271402550091084E-2"/>
        <n v="7.3333050739688918E-2"/>
        <n v="-1.8166739070337187E-3"/>
        <n v="-2.358061325420379E-2"/>
        <n v="4.6760403581992759E-2"/>
        <n v="-9.216893121201554E-2"/>
        <n v="1.6032747740064773E-2"/>
        <n v="2.5600134295785848E-3"/>
        <n v="1.2474360584369452E-2"/>
        <n v="-8.9304171662463166E-3"/>
        <n v="-3.120437194943898E-2"/>
        <n v="-7.1007191146707921E-2"/>
        <n v="2.3871326596829411E-2"/>
        <n v="5.4823667888994586E-2"/>
        <n v="-8.5407725321888436E-2"/>
        <n v="1.7175035194744236E-2"/>
        <n v="9.3559697361136757E-2"/>
        <n v="-4.007762402969915E-3"/>
        <n v="-4.3203862933627437E-3"/>
        <n v="4.526311311524233E-2"/>
        <n v="-3.215172357657484E-3"/>
        <n v="-5.0057161522129641E-2"/>
        <n v="-1.7923149660448671E-2"/>
        <n v="-1.7593767779771587E-2"/>
        <n v="1.242927785450168E-2"/>
        <n v="2.5565431664173206E-2"/>
        <n v="-5.749345690136025E-3"/>
        <n v="5.5279851551374458E-2"/>
        <n v="2.5435511572748832E-2"/>
        <n v="-6.5480937948636103E-2"/>
        <n v="-5.4194759750789889E-3"/>
        <n v="1.7033509246149221E-2"/>
        <n v="5.3577455281809414E-3"/>
        <n v="7.3853384247408458E-3"/>
        <n v="1.9994168367560221E-3"/>
        <n v="2.0702556641030927E-2"/>
        <n v="8.0234594550564042E-3"/>
        <n v="9.7818181818181735E-2"/>
        <n v="1.9506091052961967E-3"/>
        <n v="-1.3995004407875412E-2"/>
        <n v="-3.5651752784711069E-2"/>
        <n v="6.1654948620876067E-2"/>
        <n v="2.2123571792445906E-2"/>
        <n v="5.7849768600925604E-2"/>
        <n v="4.374894834258639E-4"/>
        <n v="1.1134284176533915E-2"/>
        <n v="2.2655444292890656E-2"/>
        <n v="4.0013012361744251E-3"/>
        <n v="-6.6292972167320025E-2"/>
        <n v="7.8078911753478846E-3"/>
        <n v="-2.441291922043947E-2"/>
        <n v="3.8929869763173794E-2"/>
        <n v="-2.6260361462155244E-2"/>
        <n v="4.6750165718870938E-2"/>
        <n v="3.0963570309635775E-2"/>
        <n v="-8.9227983964825786E-3"/>
        <n v="-8.3507306889352897E-3"/>
        <n v="-3.7171052631578797E-3"/>
        <n v="-2.0470829068577241E-2"/>
        <n v="-2.2786260828529983E-2"/>
        <n v="2.2558725121589331E-2"/>
        <n v="2.192612582223087E-3"/>
        <n v="-3.4668461797375612E-3"/>
        <n v="-2.6953085418988814E-2"/>
        <n v="-1.1350619598042216E-2"/>
        <n v="-2.4998244505301609E-2"/>
        <n v="-7.5261073100467233E-3"/>
        <n v="5.6238888284170074E-3"/>
        <n v="-2.5075768509164542E-2"/>
        <n v="1.5580474445801549E-2"/>
        <n v="3.3816777202827678E-2"/>
        <n v="1.9598167077899197E-2"/>
        <n v="3.6022955126875533E-2"/>
        <n v="1.5816871329418076E-2"/>
        <n v="-4.0371854674462977E-2"/>
        <n v="3.587443946188347E-2"/>
        <n v="3.7672251412708977E-3"/>
        <n v="-1.3168724279834642E-3"/>
        <n v="1.8856106807318182E-2"/>
        <n v="-1.1000744167987025E-3"/>
        <n v="-2.5685874388624384E-2"/>
        <n v="-4.0591755319149055E-2"/>
        <n v="-4.5947538029730735E-2"/>
        <n v="2.4697635564595462E-3"/>
        <n v="2.5107785949784453E-2"/>
        <n v="1.7212129780165421E-2"/>
        <n v="-6.8100482957506772E-2"/>
        <n v="-1.1036128406845307E-2"/>
        <n v="-8.6145146088595637E-2"/>
        <n v="2.9042904290429009E-2"/>
        <n v="-3.4597498396407939E-2"/>
        <n v="-1.1129105934138976E-2"/>
        <n v="-6.3242766556082824E-2"/>
        <n v="-4.9311875196120149E-4"/>
        <n v="-2.8973806960889879E-2"/>
        <n v="3.4180138568129749E-3"/>
        <n v="2.0622353157797778E-2"/>
        <n v="-7.5455529496662413E-2"/>
        <n v="7.0052197668178856E-2"/>
        <n v="3.8294962388876383E-3"/>
        <n v="8.4018347790544273E-3"/>
        <n v="-6.6474509097459875E-2"/>
        <n v="3.454264762639906E-2"/>
        <n v="-1.4875955978362235E-2"/>
        <n v="5.2875739644970353E-2"/>
        <n v="9.981116806042618E-3"/>
        <n v="2.0032051282052044E-3"/>
        <n v="1.5238349104802554E-2"/>
        <n v="-4.2884649046036156E-3"/>
        <n v="1.2305528698250906E-3"/>
        <n v="-5.6360284435080343E-2"/>
        <n v="1.5350265140943926E-3"/>
        <n v="-3.641261436997819E-2"/>
        <n v="-5.0079529570540252E-2"/>
        <n v="-2.9328191597320887E-2"/>
        <n v="-7.1667537898588637E-2"/>
        <n v="7.3934343149952106E-2"/>
        <n v="2.752726510067114E-2"/>
        <n v="-2.5616165739654081E-2"/>
        <n v="1.8172296412673469E-2"/>
        <n v="-3.8576278160683063E-2"/>
        <n v="-2.0062058634710039E-2"/>
        <n v="-1.6269039689905496E-2"/>
        <n v="-6.8372273711082704E-2"/>
        <n v="1.2152260677905475E-2"/>
        <n v="7.8217880054146274E-2"/>
        <n v="-1.8558951965064138E-3"/>
        <n v="3.2811987312683936E-4"/>
        <n v="-1.1425759895035945E-2"/>
        <n v="7.6701874688934218E-2"/>
        <n v="8.2177709296366215E-4"/>
        <n v="-6.3686749461151715E-2"/>
        <n v="-1.4414908194025737E-2"/>
        <n v="-3.2143254365476596E-2"/>
        <n v="-3.447483337163838E-3"/>
        <n v="3.2345479704797127E-2"/>
        <n v="-6.2719910639486273E-2"/>
        <n v="-4.0936717912048649E-2"/>
        <n v="-2.5784405094749784E-2"/>
        <n v="5.5484693877549491E-3"/>
        <n v="-4.7187163062091697E-2"/>
        <n v="-2.3963256340277257E-3"/>
        <n v="-8.0536464936278057E-2"/>
        <n v="-1.6690856313499142E-3"/>
        <n v="-8.8827505996946998E-2"/>
        <n v="-1.7550857598723484E-2"/>
        <n v="-0.11408850994721892"/>
        <n v="3.3088909257561867E-2"/>
        <n v="8.0826900896105044E-2"/>
        <n v="1.1164012477425822E-2"/>
        <n v="-0.12242247118038652"/>
        <n v="5.1248843663274805E-2"/>
        <n v="-2.9039070749735982E-2"/>
        <n v="2.4651078484683692E-2"/>
        <n v="5.9349018220413885E-2"/>
        <n v="-7.6813893295483151E-3"/>
        <n v="3.6769036600757296E-2"/>
        <n v="2.759292322674918E-3"/>
        <n v="-9.3881515053415073E-3"/>
        <n v="7.4264705882352969E-2"/>
        <n v="-2.0609932314244489E-2"/>
        <n v="-1.2501941295232175E-2"/>
        <n v="4.914681135487918E-2"/>
        <n v="7.7424673961924845E-2"/>
        <n v="9.7391304347816592E-4"/>
        <n v="3.752866773229693E-3"/>
        <n v="0.10967250571210969"/>
        <n v="0.11000187184126782"/>
        <n v="-6.3181562675660538E-2"/>
        <n v="3.9361574462978534E-2"/>
        <n v="4.7280914444059567E-2"/>
        <n v="3.7814894438013419E-2"/>
        <n v="9.0827003771178604E-3"/>
        <n v="2.5160543215075278E-2"/>
        <n v="1.0525775313206056E-2"/>
        <n v="2.2763070982165488E-2"/>
        <n v="2.9956778776889074E-2"/>
        <n v="-5.0308701524213809E-2"/>
        <n v="-1.1427700746609783E-2"/>
        <n v="7.5061652281134483E-2"/>
        <n v="2.3847072879330987E-2"/>
        <n v="-5.6945481702763333E-2"/>
        <n v="3.103345872104539E-2"/>
        <n v="-5.2517882002784302E-2"/>
        <n v="1.7682525206465061E-2"/>
        <n v="6.0240963855420666E-3"/>
        <n v="-2.5684168852377877E-2"/>
        <n v="5.4601787891101178E-2"/>
        <n v="-9.2472186100273929E-3"/>
        <n v="-1.4291964415925321E-2"/>
        <n v="-5.853923164176162E-2"/>
        <n v="3.6092194866422136E-2"/>
        <n v="-2.0122351989483745E-2"/>
        <n v="-3.1474124142201097E-2"/>
        <n v="-3.0419263757924499E-2"/>
        <n v="-4.989010989010996E-2"/>
        <n v="3.0071709461023033E-3"/>
        <n v="5.9963099630995853E-3"/>
        <n v="5.0320953690967458E-2"/>
        <n v="-1.5333406089708623E-2"/>
        <n v="2.0393460792463326E-2"/>
        <n v="-2.1723782110465432E-2"/>
        <n v="1.7320823849442096E-2"/>
        <n v="7.8199181446111932E-2"/>
        <n v="-3.2543779734791001E-2"/>
        <n v="5.5976981428197395E-3"/>
        <n v="-9.416293829986485E-3"/>
        <n v="7.3525550128670011E-3"/>
        <n v="-1.3659350398832201E-2"/>
        <n v="2.4789893757598169E-2"/>
        <n v="7.2209614194347314E-3"/>
        <n v="6.2371978697255255E-2"/>
        <n v="-6.1168418008290738E-2"/>
        <n v="-1.1244031421676837E-2"/>
        <n v="-3.6660089313532047E-2"/>
        <n v="-2.4795170332040099E-3"/>
        <n v="-2.9720090781368818E-3"/>
        <n v="1.2357053818221241E-2"/>
        <n v="-3.3460035333797315E-2"/>
        <n v="2.9688711642849308E-2"/>
        <n v="-4.841312533620256E-3"/>
        <n v="1.1027027027026985E-2"/>
        <n v="-1.4595808383233478E-2"/>
        <n v="-2.0183386685475552E-2"/>
        <n v="-9.7458331026081146E-2"/>
        <n v="1.2822872568869275E-2"/>
        <n v="-1.5325902592682341E-2"/>
        <n v="-1.1565672100892179E-2"/>
        <n v="-4.3069645857969678E-2"/>
        <n v="4.1886178861788602E-2"/>
        <n v="2.5719458143454676E-2"/>
        <n v="-1.5093420972551822E-2"/>
        <n v="-9.3925724525737511E-3"/>
        <n v="1.8713742124634232E-3"/>
        <n v="3.6734948010707612E-3"/>
        <n v="5.4962779156327635E-2"/>
        <n v="1.0172880159943489E-2"/>
        <n v="-1.536759997671568E-2"/>
        <n v="-3.6062666272539973E-3"/>
        <n v="2.1003915984336183E-2"/>
        <n v="-2.3826127382612868E-2"/>
        <n v="-9.7035361352541712E-3"/>
        <n v="1.0219416892095939E-3"/>
        <n v="4.4078789334614475E-2"/>
        <n v="1.7427815483722377E-2"/>
        <n v="1.8373000169596927E-2"/>
        <n v="4.8462307094482175E-2"/>
        <n v="-1.6413406046486972E-2"/>
        <n v="-1.5449211390429049E-2"/>
        <n v="8.5839256424275184E-3"/>
        <n v="4.716214018539594E-2"/>
        <n v="4.1362530413625351E-2"/>
        <n v="1.3770133227281817E-2"/>
        <n v="1.7604079831314682E-2"/>
        <n v="3.108134155744019E-2"/>
        <n v="1.7011730616441626E-2"/>
        <n v="1.7002895087541881E-2"/>
        <n v="1.4730468573494153E-2"/>
        <n v="4.5820902168588952E-2"/>
        <n v="4.0619943796304146E-2"/>
        <n v="2.2217675941080223E-2"/>
        <n v="3.5544170035624094E-2"/>
        <n v="-7.4214371303774852E-3"/>
        <n v="-3.4658670508976781E-3"/>
        <n v="1.8132082844861331E-2"/>
        <n v="5.3389114915176047E-2"/>
        <n v="-5.4618327564219381E-2"/>
        <n v="1.984891698142309E-2"/>
        <n v="-3.0270964816144479E-2"/>
        <n v="-6.0600155884645401E-2"/>
        <n v="3.8000414851690506E-2"/>
        <n v="2.4099756204787982E-2"/>
        <n v="4.9172650640024618E-3"/>
        <n v="1.658252427184459E-2"/>
        <n v="6.8953661611338243E-2"/>
        <n v="9.5061110714031345E-3"/>
        <n v="-2.1028037383177562E-2"/>
        <n v="-7.6299992767773685E-3"/>
        <n v="-1.7563677440513039E-2"/>
        <n v="6.6763102258820823E-4"/>
        <n v="8.1544905296711823E-3"/>
        <n v="2.1728740027206764E-2"/>
        <n v="1.2522490104354151E-2"/>
        <n v="3.1985215722510486E-2"/>
        <n v="1.0193539499965492E-2"/>
        <n v="-7.0907479375468202E-3"/>
        <n v="-9.7370047380347505E-2"/>
        <n v="-1.0954735640928094E-2"/>
        <n v="3.4766556418737105E-2"/>
        <n v="-1.4048911023563627E-2"/>
        <n v="-3.5057297949334667E-3"/>
        <n v="-3.2683941743900186E-2"/>
        <n v="4.1961597121739427E-2"/>
        <n v="3.715658309563163E-3"/>
        <n v="-2.3781924241857731E-2"/>
        <n v="-2.6659516604741945E-2"/>
        <n v="2.0502931801188382E-2"/>
        <n v="-2.1055067098565399E-2"/>
        <n v="-9.4934215709447135E-3"/>
        <n v="-6.9596341220918671E-3"/>
        <n v="-3.0076091309571451E-2"/>
        <n v="1.3006317354143464E-2"/>
        <n v="-1.0964375968044338E-2"/>
        <n v="-1.1910158664743518E-2"/>
        <n v="-2.8361695028361625E-2"/>
        <n v="-3.1593406593406648E-2"/>
        <n v="-2.8280141843971613E-2"/>
        <n v="-1.7014870905939193E-2"/>
        <n v="7.3274861942549493E-2"/>
        <n v="8.2583881010030984E-3"/>
        <n v="1.5738239204082575E-2"/>
        <n v="-2.8793380055729213E-2"/>
        <n v="3.7167449139280176E-2"/>
        <n v="9.6399681461917838E-4"/>
        <n v="7.6877983418474224E-2"/>
        <n v="-1.0887316276538982E-3"/>
        <n v="4.5932269365512139E-3"/>
        <n v="-5.0643211407315536E-2"/>
        <n v="4.6855230398759308E-2"/>
        <n v="-1.7817458770322512E-2"/>
        <n v="-1.7068910765321468E-3"/>
        <n v="-1.1889140721301081E-2"/>
        <n v="0.10092555331991945"/>
        <n v="-2.2296951531544582E-2"/>
        <n v="1.4281441603110486E-2"/>
        <n v="1.7471433837080757E-2"/>
        <n v="-5.9773945804957032E-3"/>
        <n v="-3.3200918400816411E-2"/>
        <n v="4.5989143546442532E-3"/>
        <n v="-1.4671669793621106E-2"/>
        <n v="-2.6238622948322431E-2"/>
        <n v="-4.2315213140398877E-2"/>
        <n v="8.6164652074486019E-3"/>
        <n v="-1.1619903639823492E-2"/>
        <n v="-1.4828772734720648E-2"/>
        <n v="2.4449064449064431E-2"/>
        <n v="1.5585680655897409E-2"/>
        <n v="5.5151466709295639E-3"/>
        <n v="-2.0151033386327476E-2"/>
        <n v="5.9343690423072339E-2"/>
        <n v="-4.2502680349211733E-3"/>
        <n v="1.8457988848296918E-3"/>
        <n v="-3.3009634207191376E-3"/>
        <n v="1.5211614741787609E-2"/>
        <n v="-2.3898035050451236E-3"/>
        <n v="-1.5665994904749247E-2"/>
        <n v="-2.9937806621083942E-2"/>
        <n v="1.1150047785919014E-2"/>
        <n v="3.6625708884688362E-3"/>
        <n v="-4.7753580537571075E-2"/>
        <n v="-9.3003131696060629E-2"/>
        <n v="-3.6890645586297781E-2"/>
        <n v="4.2454832775132512E-4"/>
        <n v="2.0935496039230467E-2"/>
        <n v="-1.8935895067430365E-2"/>
        <n v="-3.1352979945391192E-2"/>
        <n v="7.484447900466663E-3"/>
        <n v="-4.7949831162566313E-2"/>
        <n v="1.7632752330766058E-2"/>
        <n v="2.3999203345946987E-2"/>
        <n v="6.2481766021589003E-2"/>
        <n v="6.6358519060913329E-3"/>
        <n v="-3.1369339879978074E-3"/>
        <n v="1.3271309344643574E-2"/>
        <n v="-3.1505986137363027E-4"/>
        <n v="-5.4612579352573153E-2"/>
        <n v="2.2240213353652807E-2"/>
        <n v="4.22082459818309E-2"/>
        <n v="6.1239998211970799E-2"/>
        <n v="2.2871825112674306E-2"/>
        <n v="-3.8090924065228134E-2"/>
        <n v="3.039513677811584E-3"/>
        <n v="5.5484421681604047E-3"/>
        <n v="2.3769100169779265E-2"/>
        <n v="-2.8980099502487484E-2"/>
        <n v="5.2943939199862544E-3"/>
        <n v="2.6757273306435504E-3"/>
        <n v="4.5069467976956906E-2"/>
        <n v="-1.0457198443579818E-2"/>
        <n v="-1.6629802572294478E-2"/>
        <n v="-5.2065978007330887E-3"/>
        <n v="-1.3608005694426998E-2"/>
        <n v="1.3328805501315842E-2"/>
        <n v="2.7228552278820615E-3"/>
        <n v="1.3660859756861685E-2"/>
        <n v="4.9455984174085772E-3"/>
        <n v="-1.6814304461942233E-2"/>
        <n v="-1.1387336280971128E-2"/>
        <n v="9.6198472638285362E-3"/>
        <n v="4.9145388440804127E-2"/>
        <n v="9.7590121489742627E-3"/>
        <n v="-5.6015779092701678E-3"/>
        <n v="2.0390352269120973E-2"/>
        <n v="-3.9188243526942071E-2"/>
        <n v="2.978069110625562E-2"/>
        <n v="-7.7013752455795991E-3"/>
        <n v="1.6116258810485555E-2"/>
        <n v="1.8822337399165986E-2"/>
        <n v="-3.1594247246022E-2"/>
        <n v="-1.8563867604076217E-2"/>
        <n v="-2.414681262073498E-4"/>
        <n v="-4.0133644634087431E-2"/>
        <n v="-2.1807506814845116E-3"/>
        <n v="-1.8492834026814513E-3"/>
        <n v="1.2463682681375972E-2"/>
        <n v="-2.2832189644416641E-2"/>
        <n v="-4.3411644535240471E-3"/>
        <n v="-2.8725314183123872E-2"/>
        <n v="-3.6660505237215091E-2"/>
        <n v="4.6598748229704891E-3"/>
        <n v="-1.9826292574234846E-2"/>
        <n v="-1.7026212015773676E-2"/>
        <n v="1.4630923164055233E-3"/>
        <n v="-1.5976247702530685E-2"/>
        <n v="1.6283524904213361E-3"/>
        <n v="-6.2637467724967677E-3"/>
        <n v="-0.12125294712024258"/>
        <n v="3.3948420303345811E-3"/>
        <n v="4.190995907230563E-2"/>
        <n v="3.4567642591525512E-3"/>
        <n v="-2.2443760112740806E-2"/>
        <n v="8.3827219819532367E-3"/>
        <n v="-5.0301810865192049E-3"/>
        <n v="-3.6453621414506913E-2"/>
        <n v="2.2313045399315098E-2"/>
        <n v="1.3398163155051422E-2"/>
        <n v="1.0555496321569409E-2"/>
        <n v="2.1154251951888536E-2"/>
        <n v="-2.8103528439324264E-2"/>
        <n v="-2.1846595439323793E-2"/>
        <n v="2.548636017824148E-2"/>
        <n v="6.2211859466906792E-2"/>
        <n v="-2.4943876278373661E-3"/>
        <n v="-3.0957739434858706E-2"/>
        <n v="5.2126341866227258E-3"/>
        <n v="1.355444883708983E-2"/>
        <n v="-2.7556861354541298E-2"/>
        <n v="3.8703964161066869E-2"/>
        <n v="1.6549648946839724E-3"/>
        <n v="1.1565613578330759E-2"/>
        <n v="-7.9192239160560582E-4"/>
        <n v="3.7646126411729291E-3"/>
        <n v="-7.1555467824713781E-2"/>
        <n v="-3.933241203359189E-2"/>
        <n v="-2.3237800154918761E-2"/>
        <n v="1.195196556021306E-2"/>
        <n v="-1.8527847746991337E-2"/>
        <n v="1.3858788639215278E-2"/>
        <n v="-1.2938066040390289E-3"/>
        <n v="-4.5398220119409728E-2"/>
        <n v="-4.1184800566438459E-2"/>
        <n v="6.5846153846153424E-3"/>
        <n v="6.2542030934768109E-2"/>
        <n v="-1.4269275028768803E-2"/>
        <n v="2.5332710716787318E-2"/>
        <n v="-1.6167596493225567E-2"/>
        <n v="-1.1514870964008684E-2"/>
        <n v="1.0536790961774763E-2"/>
        <n v="2.9195388982216255E-2"/>
        <n v="1.2157370405808663E-2"/>
        <n v="-2.2465662014124563E-2"/>
        <n v="-3.2425052619602548E-3"/>
        <n v="-4.9024084008674827E-2"/>
        <n v="1.0502310508311829E-2"/>
        <n v="1.6213326998455981E-2"/>
        <n v="-3.6292443457425091E-2"/>
        <n v="4.8999393571861637E-2"/>
        <n v="2.2545959070412798E-2"/>
        <n v="-2.8946178199909571E-2"/>
        <n v="1.6534699580810455E-2"/>
        <n v="-2.0332187857960957E-2"/>
        <n v="-5.5948553054662502E-2"/>
        <n v="-2.7062174882338225E-2"/>
        <n v="-1.056584558589539E-2"/>
        <n v="-3.5509810228369139E-2"/>
        <n v="-1.9208964183285503E-2"/>
        <n v="-3.4002040122407338E-2"/>
        <n v="1.8514607532558923E-2"/>
        <n v="0.1206110035941387"/>
        <n v="4.9651514216986443E-2"/>
        <n v="-1.1105887883417645E-2"/>
        <n v="0.15306910689880576"/>
        <n v="-5.5501159494975569E-2"/>
        <n v="-1.7950676560453908E-2"/>
        <n v="1.111172842934708E-4"/>
        <n v="6.5551913782568019E-3"/>
        <n v="1.9703074121088324E-2"/>
        <n v="-3.7616367179043021E-2"/>
        <n v="-1.7378100219335266E-2"/>
        <n v="-1.5739468864468864E-2"/>
        <n v="-2.0352387044251904E-2"/>
        <n v="2.0300350210719936E-2"/>
        <n v="3.2928035371458636E-2"/>
        <n v="-2.0050689946493956E-2"/>
        <n v="4.8853382378297276E-3"/>
        <n v="1.498512926103869E-2"/>
        <n v="-1.4144032458018816E-2"/>
        <n v="6.659045441554734E-2"/>
        <n v="-3.4780278670953811E-2"/>
        <n v="-3.5367275553828237E-2"/>
        <n v="3.1656498215724645E-2"/>
        <n v="-1.3891988395447495E-2"/>
        <n v="-3.1683168316831811E-3"/>
        <n v="1.4756796639990888E-2"/>
        <n v="-3.9711393254655159E-3"/>
        <n v="-1.0051662174303798E-2"/>
        <n v="-8.6221566736626124E-3"/>
        <n v="1.3160153344394904E-3"/>
        <n v="1.6799999999999989E-2"/>
        <n v="-2.5851410587839044E-3"/>
        <n v="-2.0791075050709928E-2"/>
        <n v="-1.8010242246389294E-2"/>
        <n v="3.8849173795851372E-2"/>
        <n v="2.9217665971007993E-2"/>
        <n v="-2.4442374088891369E-2"/>
        <n v="5.2974551991461193E-2"/>
        <n v="-1.3764404609474947E-2"/>
        <n v="-1.7797251974467274E-2"/>
        <n v="7.9308255769124734E-3"/>
        <n v="-2.3495983826019259E-3"/>
        <n v="2.6125534012487576E-2"/>
        <n v="4.8145182812917055E-2"/>
        <n v="5.3470489382287665E-3"/>
        <n v="2.3300577449093707E-3"/>
        <n v="6.054174247018404E-2"/>
        <n v="0.10197274373391774"/>
        <n v="6.5424197872524417E-2"/>
        <n v="2.0820650188725288E-2"/>
        <n v="5.6456743002544028E-3"/>
        <n v="3.7123428481062648E-2"/>
        <n v="3.5451530515000452E-3"/>
        <n v="-8.4441236800121514E-2"/>
        <n v="2.9871800190847564E-2"/>
        <n v="1.7765781734681532E-2"/>
        <n v="1.5516149461684675E-2"/>
        <n v="-3.1415653258497045E-2"/>
        <n v="2.9376257545271219E-3"/>
        <n v="-4.0243951370220285E-2"/>
        <n v="5.1463210702341146E-2"/>
        <n v="-2.0396803308019545E-2"/>
        <n v="-0.12334605081581292"/>
        <n v="1.9723135330339325E-2"/>
        <n v="-2.0431328036321847E-3"/>
        <n v="5.5959963603275625E-2"/>
        <n v="-4.0844463593278715E-2"/>
        <n v="4.2449016260892952E-2"/>
        <n v="-6.5540569655707245E-2"/>
        <n v="-4.2377570782993756E-2"/>
        <n v="-4.2326768430683261E-2"/>
        <n v="8.8495575221238486E-3"/>
        <n v="-4.4258373205741608E-2"/>
        <n v="3.6921151439299194E-2"/>
        <n v="5.8338362502514413E-3"/>
        <n v="-1.2549999999999955E-2"/>
        <n v="5.2357081371208682E-2"/>
        <n v="-3.1034980512919294E-2"/>
        <n v="6.3362796702750968E-2"/>
        <n v="9.2462874754834137E-3"/>
        <n v="3.0538589672404193E-2"/>
        <n v="-7.2737068965517447E-3"/>
        <n v="9.8145635459069014E-3"/>
        <n v="-5.6478702915752285E-2"/>
        <n v="4.5855881515237812E-2"/>
        <n v="-3.2271241830065293E-2"/>
        <n v="-1.8760846114159749E-2"/>
        <n v="-1.6538406385928052E-2"/>
        <n v="2.575941676792229E-3"/>
        <n v="3.7958115183246134E-2"/>
        <n v="-1.6393442622950907E-2"/>
        <n v="4.1832858499525179E-2"/>
        <n v="4.904060890570161E-2"/>
        <n v="-8.4459312681930743E-2"/>
        <n v="2.6289564846011582E-2"/>
        <n v="4.5776113191843423E-2"/>
        <n v="8.6660476632621844E-3"/>
        <n v="7.3642221540350097E-3"/>
        <n v="2.0886819546581514E-3"/>
        <n v="-1.5241651830300885E-2"/>
        <n v="4.8064203192521538E-3"/>
        <n v="-2.9402729626542149E-3"/>
        <n v="7.3591549295774647E-2"/>
        <n v="-2.3245326336503721E-2"/>
        <n v="4.9317943336831059E-2"/>
        <n v="1.708000000000004E-2"/>
        <n v="1.0815275101270191E-2"/>
        <n v="-1.0894093844836913E-2"/>
        <n v="2.4545669105499098E-2"/>
        <n v="4.492052522460324E-3"/>
        <n v="-1.3798111837327575E-2"/>
        <n v="-3.4881016975428156E-2"/>
        <n v="-3.357160067464466E-2"/>
        <n v="3.9142358514086331E-2"/>
        <n v="-3.6988163787587972E-2"/>
        <n v="1.5238965245193652E-2"/>
        <n v="-1.4110429447852714E-2"/>
        <n v="-9.4586185438705703E-3"/>
        <n v="-8.7825103656238218E-2"/>
        <n v="6.2442607897152669E-3"/>
        <n v="1.8707793392954764E-3"/>
        <n v="8.0156669854716915E-3"/>
        <n v="-1.9879817467131711E-3"/>
        <n v="-8.6015663905110115E-4"/>
        <n v="-8.3824195740824399E-3"/>
        <n v="-4.0210189627598609E-3"/>
        <n v="-1.9819241179978866E-2"/>
        <n v="0.21919026445120529"/>
        <n v="3.3438267813267732E-2"/>
        <n v="-2.4815186299639684E-2"/>
        <n v="-1.1390042284103497E-2"/>
        <n v="-7.5909371146731294E-3"/>
        <n v="-2.9897107357794668E-2"/>
        <n v="-3.4820892535521496E-3"/>
        <n v="-2.4660615310466649E-2"/>
        <n v="3.5414264536320184E-2"/>
        <n v="0.14751034043907085"/>
        <n v="2.9043773611063157E-2"/>
        <n v="8.1876662961840291E-2"/>
        <n v="8.9595915571882109E-2"/>
        <n v="-6.1457142857142828E-2"/>
        <n v="5.3274072270084322E-3"/>
        <n v="-5.7715600775193804E-2"/>
        <n v="3.065749726846205E-2"/>
        <n v="5.6186081317036604E-2"/>
        <n v="2.1432367007144095E-2"/>
        <n v="-1.1473988439306438E-2"/>
        <n v="-6.9876911382042118E-3"/>
        <n v="3.8040277941349711E-2"/>
        <n v="-3.962446108463815E-2"/>
        <n v="-1.0632328184528687E-3"/>
        <n v="-1.5788073204624165E-2"/>
        <n v="3.6859022499925016E-2"/>
        <n v="3.4563680611889989E-2"/>
        <n v="-1.5878349995799266E-2"/>
        <n v="1.8524842069318738E-2"/>
        <n v="3.2296817813538964E-2"/>
        <n v="5.3397926872175205E-2"/>
        <n v="1.4644673963311061E-3"/>
        <n v="2.8733420559788572E-2"/>
        <n v="5.9303224519314628E-2"/>
        <n v="-1.5702615533111943E-2"/>
        <n v="4.3362831858407065E-2"/>
        <n v="6.1412557595763619E-2"/>
        <n v="3.6369919225951432E-2"/>
        <n v="-8.2794981869712028E-2"/>
        <n v="-8.997341694499306E-3"/>
        <n v="-3.4642455923149261E-2"/>
        <n v="2.2657103500688787E-2"/>
        <n v="7.3571760334416966E-2"/>
        <n v="-1.7630007787488054E-2"/>
        <n v="-4.9479224010745754E-2"/>
        <n v="-3.3012092850854838E-2"/>
        <n v="-3.2510002156153538E-2"/>
        <n v="-6.081616481774961E-2"/>
        <n v="8.2155663362159959E-2"/>
        <n v="1.4862099210603587E-3"/>
        <n v="-4.060333292786765E-2"/>
        <n v="1.4707373973019172E-3"/>
        <n v="-5.0640603635992466E-4"/>
        <n v="2.1710492982722786E-2"/>
        <n v="-1.723240187448858E-2"/>
        <n v="8.0381471389645812E-2"/>
        <n v="-3.3627574611181245E-2"/>
        <n v="3.0641341646126353E-2"/>
        <n v="-5.697538100820649E-3"/>
        <n v="-2.1128587261536963E-2"/>
        <n v="-6.5765700657657439E-3"/>
        <n v="-1.4064697609001434E-2"/>
        <n v="-2.3193467460278439E-2"/>
        <n v="2.3668639053254382E-3"/>
        <n v="-2.2582833027707184E-2"/>
        <n v="2.8732973528655743E-2"/>
        <n v="1.0792445288298317E-2"/>
        <n v="-5.1705388037568002E-2"/>
        <n v="2.22320683903252E-2"/>
        <n v="-3.5797149486244524E-2"/>
        <n v="-1.0180606605494942E-2"/>
        <n v="-3.3928189784141881E-2"/>
        <n v="-3.0114484818317532E-2"/>
        <n v="-6.3382088786245877E-2"/>
        <n v="2.4383561643835587E-2"/>
        <n v="5.773974027517758E-2"/>
        <n v="-2.8094622689223673E-4"/>
        <n v="-4.8617356115106831E-3"/>
        <n v="1.8214679054531044E-2"/>
        <n v="-1.7084535167517265E-2"/>
        <n v="-4.6839729119638733E-2"/>
        <n v="-2.1521610420367196E-2"/>
        <n v="-8.3895561673675498E-2"/>
        <n v="-3.9630118890356669E-2"/>
        <n v="-3.0433287482806128E-2"/>
        <n v="3.9120411420464726E-2"/>
        <n v="-2.8431974878831458E-2"/>
        <n v="-4.4300017565431081E-2"/>
        <n v="2.595206587266579E-2"/>
        <n v="-5.607309208169127E-2"/>
        <n v="-2.9607136078951329E-3"/>
        <n v="-0.15426200175124685"/>
        <n v="3.7947332883187065E-2"/>
        <n v="7.5938936594674253E-2"/>
        <n v="-2.9868192994477797E-2"/>
        <n v="3.8640518530829247E-2"/>
        <n v="-4.7883830706456514E-2"/>
        <n v="-5.3359102558715975E-2"/>
        <n v="4.6824375305135196E-2"/>
        <n v="1.6959213092511542E-3"/>
        <n v="5.2696182172183262E-2"/>
        <n v="0.11933577258654648"/>
        <n v="3.5022809727360896E-2"/>
        <n v="-5.5806205316859807E-2"/>
        <n v="3.9329559655957996E-3"/>
        <n v="-3.5074872771207792E-2"/>
        <n v="-1.6657180800607043E-2"/>
        <n v="3.5885167464114652E-2"/>
        <n v="5.3266780898457919E-2"/>
        <n v="-5.4746074409393192E-2"/>
        <n v="-0.1041978449565997"/>
        <n v="-2.5644238399532282E-2"/>
        <n v="-4.899481332247408E-2"/>
        <n v="0.22689984675020269"/>
        <n v="-7.274063188831735E-2"/>
        <n v="-3.5657686212362682E-4"/>
        <n v="1.5853513534934026E-4"/>
        <n v="6.9744402615415863E-3"/>
        <n v="-4.9427413324938024E-2"/>
        <n v="-7.4518733181538736E-4"/>
        <n v="-5.7463645026308179E-2"/>
        <n v="4.6021978021978015E-2"/>
        <n v="5.3662226331050174E-2"/>
        <n v="3.497646964983641E-2"/>
        <n v="9.8030904396747706E-2"/>
        <n v="3.2637304790314333E-3"/>
        <n v="2.1512522736812568E-2"/>
        <n v="-3.3797897476286504E-2"/>
        <n v="-5.8123050751348283E-3"/>
        <n v="2.3848566947098238E-2"/>
        <n v="-2.4198321785453114E-2"/>
        <n v="-1.7519446228501993E-2"/>
        <n v="3.1596150354094949E-3"/>
        <n v="3.1134602852798367E-2"/>
        <n v="4.7187697493153567E-2"/>
        <n v="6.7457922617850219E-2"/>
        <n v="4.9280733714429294E-2"/>
        <n v="4.0739964678061527E-2"/>
        <n v="-1.3978370915784669E-2"/>
        <n v="2.0885595939560193E-2"/>
        <n v="-2.2544145379736109E-2"/>
        <n v="5.0571487035575968E-3"/>
        <n v="-2.6758187423651877E-2"/>
        <n v="1.4105552567090941E-2"/>
        <n v="6.9399422408204195E-2"/>
        <n v="-1.6506379343602769E-2"/>
        <n v="4.2869151022696264E-3"/>
        <n v="-3.3395642105850588E-2"/>
        <n v="-1.0881487040350926E-2"/>
        <n v="4.6105809915666755E-3"/>
        <n v="-3.5495396055421534E-2"/>
        <n v="-0.14259900617376908"/>
        <n v="3.6670179135932554E-2"/>
        <n v="4.5537710916853012E-2"/>
        <n v="5.6743794153866073E-2"/>
        <n v="1.0426569352020359E-3"/>
        <n v="-2.2424409521183693E-2"/>
        <n v="1.9429037009181749E-2"/>
        <n v="1.1742645476622278E-2"/>
        <n v="-3.8829641782882063E-2"/>
        <n v="1.801801801801798E-2"/>
        <n v="3.4156186927499963E-4"/>
        <n v="8.2319344425130309E-2"/>
        <n v="-2.3545944705747331E-2"/>
        <n v="-3.7947543102182318E-2"/>
        <n v="-5.403755151885326E-3"/>
        <n v="-6.5995457056908877E-3"/>
        <n v="-1.8446991935234591E-2"/>
        <n v="-5.3358937228483422E-2"/>
        <n v="4.9682418276745036E-2"/>
        <n v="-9.504197687310456E-4"/>
        <n v="-6.7892817504360312E-2"/>
        <n v="1.3165952235150047E-2"/>
        <n v="-6.4806420200799394E-3"/>
        <n v="4.7282682168446701E-2"/>
        <n v="1.1746861587117133E-2"/>
        <n v="1.08130522152403E-2"/>
        <n v="-1.93120858314926E-2"/>
        <n v="3.5040864920522698E-2"/>
        <n v="-7.025833929182052E-3"/>
        <n v="3.2059108982185752E-2"/>
        <n v="-3.5188836644925474E-3"/>
        <n v="1.10201223781546E-2"/>
        <n v="1.354972749992438E-3"/>
        <n v="-8.1970170796247271E-2"/>
        <n v="3.5244022273173893E-2"/>
        <n v="3.0152502689362693E-2"/>
        <n v="-1.3483215086458389E-2"/>
        <n v="-6.7247820672477216E-3"/>
        <n v="-3.375752256770323E-2"/>
        <n v="-1.8295649917280263E-2"/>
        <n v="2.1907940389254189E-2"/>
        <n v="-1.7461036021469431E-3"/>
        <n v="3.624643690075148E-2"/>
        <n v="7.3770748022880077E-3"/>
        <n v="2.2900052750799007E-2"/>
        <n v="2.8454421355983608E-2"/>
        <n v="5.3387605816594477E-3"/>
        <n v="-4.2835347963853408E-3"/>
        <n v="-1.1196888443632541E-2"/>
        <n v="-1.4959175159425419E-2"/>
        <n v="1.3915779283639953E-2"/>
        <n v="-1.7454350161117144E-2"/>
        <n v="-1.6428289453706311E-2"/>
        <n v="-1.1701142327878864E-2"/>
        <n v="6.2166130392677446E-2"/>
        <n v="1.9381782888738659E-2"/>
        <n v="1.4627813040969396E-2"/>
        <n v="-5.8862001308044275E-3"/>
        <n v="-1.0354691075514887E-2"/>
        <n v="-3.5002023238337517E-2"/>
        <n v="-1.3508251714739242E-2"/>
        <n v="1.4361185329123029E-2"/>
        <n v="1.3289832081175726E-2"/>
        <n v="3.6363099282190656E-2"/>
        <n v="-1.2655341466195411E-2"/>
        <n v="1.6454965357969112E-3"/>
        <n v="2.3633167132604926E-3"/>
        <n v="6.0438770522441648E-2"/>
        <n v="7.3560912122773228E-2"/>
        <n v="3.561145628125479E-2"/>
        <n v="2.8241147205150675E-2"/>
        <n v="1.0056448935060028E-2"/>
        <n v="-2.1157187808199855E-2"/>
        <n v="2.2118267962096604E-2"/>
        <n v="1.9104841927382793E-2"/>
        <n v="-1.9253356670735258E-2"/>
        <n v="3.4166960197252447E-2"/>
        <n v="6.38056312443234E-3"/>
        <n v="3.4069628392862251E-3"/>
        <n v="-1"/>
      </sharedItems>
    </cacheField>
    <cacheField name="Year " numFmtId="1">
      <sharedItems containsSemiMixedTypes="0" containsString="0" containsNumber="1" containsInteger="1" minValue="2015" maxValue="2025" count="11">
        <n v="2015"/>
        <n v="2016"/>
        <n v="2017"/>
        <n v="2018"/>
        <n v="2019"/>
        <n v="2020"/>
        <n v="2021"/>
        <n v="2022"/>
        <n v="2023"/>
        <n v="2024"/>
        <n v="2025"/>
      </sharedItems>
    </cacheField>
    <cacheField name="Daily % Change" numFmtId="2">
      <sharedItems containsSemiMixedTypes="0" containsString="0" containsNumber="1" minValue="-0.12788854805725966" maxValue="0.2114468823712670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Hassan Al-Qadi" refreshedDate="45937.529299074071" createdVersion="6" refreshedVersion="6" minRefreshableVersion="3" recordCount="11">
  <cacheSource type="worksheet">
    <worksheetSource ref="A24:B35" sheet="Sheet2" r:id="rId2"/>
  </cacheSource>
  <cacheFields count="4">
    <cacheField name="Year " numFmtId="166">
      <sharedItems containsSemiMixedTypes="0" containsNonDate="0" containsDate="1" containsString="0" minDate="2015-10-01T00:00:00" maxDate="2025-01-03T00:00:00" count="11">
        <d v="2015-10-01T00:00:00"/>
        <d v="2016-01-04T00:00:00"/>
        <d v="2017-01-03T00:00:00"/>
        <d v="2018-01-02T00:00:00"/>
        <d v="2019-01-02T00:00:00"/>
        <d v="2020-01-02T00:00:00"/>
        <d v="2021-01-04T00:00:00"/>
        <d v="2022-01-03T00:00:00"/>
        <d v="2023-01-03T00:00:00"/>
        <d v="2024-01-02T00:00:00"/>
        <d v="2025-01-02T00:00:00"/>
      </sharedItems>
      <fieldGroup par="3" base="0">
        <rangePr groupBy="months" startDate="2015-10-01T00:00:00" endDate="2025-01-03T00:00:00"/>
        <groupItems count="14">
          <s v="&lt;10/1/2015"/>
          <s v="Jan"/>
          <s v="Feb"/>
          <s v="Mar"/>
          <s v="Apr"/>
          <s v="May"/>
          <s v="Jun"/>
          <s v="Jul"/>
          <s v="Aug"/>
          <s v="Sep"/>
          <s v="Oct"/>
          <s v="Nov"/>
          <s v="Dec"/>
          <s v="&gt;1/3/2025"/>
        </groupItems>
      </fieldGroup>
    </cacheField>
    <cacheField name="Open Price " numFmtId="0">
      <sharedItems containsSemiMixedTypes="0" containsString="0" containsNumber="1" minValue="14.32" maxValue="390.1"/>
    </cacheField>
    <cacheField name="Quarters" numFmtId="0" databaseField="0">
      <fieldGroup base="0">
        <rangePr groupBy="quarters" startDate="2015-10-01T00:00:00" endDate="2025-01-03T00:00:00"/>
        <groupItems count="6">
          <s v="&lt;10/1/2015"/>
          <s v="Qtr1"/>
          <s v="Qtr2"/>
          <s v="Qtr3"/>
          <s v="Qtr4"/>
          <s v="&gt;1/3/2025"/>
        </groupItems>
      </fieldGroup>
    </cacheField>
    <cacheField name="Years" numFmtId="0" databaseField="0">
      <fieldGroup base="0">
        <rangePr groupBy="years" startDate="2015-10-01T00:00:00" endDate="2025-01-03T00:00:00"/>
        <groupItems count="13">
          <s v="&lt;10/1/2015"/>
          <s v="2015"/>
          <s v="2016"/>
          <s v="2017"/>
          <s v="2018"/>
          <s v="2019"/>
          <s v="2020"/>
          <s v="2021"/>
          <s v="2022"/>
          <s v="2023"/>
          <s v="2024"/>
          <s v="2025"/>
          <s v="&gt;1/3/2025"/>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2513">
  <r>
    <x v="0"/>
    <n v="16.5"/>
    <x v="0"/>
    <x v="0"/>
    <x v="0"/>
    <n v="4572964"/>
    <n v="3.1894934333958708E-2"/>
    <x v="0"/>
  </r>
  <r>
    <x v="1"/>
    <n v="15.71"/>
    <x v="1"/>
    <x v="1"/>
    <x v="1"/>
    <n v="4423982"/>
    <n v="-5.4545454545454463E-3"/>
    <x v="0"/>
  </r>
  <r>
    <x v="2"/>
    <n v="16.59"/>
    <x v="2"/>
    <x v="2"/>
    <x v="2"/>
    <n v="3689865"/>
    <n v="-1.8890920170627587E-2"/>
    <x v="0"/>
  </r>
  <r>
    <x v="3"/>
    <n v="16"/>
    <x v="3"/>
    <x v="3"/>
    <x v="3"/>
    <n v="5235897"/>
    <n v="-3.9751552795031085E-2"/>
    <x v="0"/>
  </r>
  <r>
    <x v="4"/>
    <n v="15.78"/>
    <x v="4"/>
    <x v="4"/>
    <x v="4"/>
    <n v="6813959"/>
    <n v="-2.2639068564036312E-2"/>
    <x v="0"/>
  </r>
  <r>
    <x v="5"/>
    <n v="15.34"/>
    <x v="5"/>
    <x v="5"/>
    <x v="5"/>
    <n v="6133216"/>
    <n v="-2.647253474520176E-2"/>
    <x v="0"/>
  </r>
  <r>
    <x v="6"/>
    <n v="14.73"/>
    <x v="6"/>
    <x v="6"/>
    <x v="6"/>
    <n v="6158370"/>
    <n v="-2.311352821210072E-2"/>
    <x v="0"/>
  </r>
  <r>
    <x v="7"/>
    <n v="14.87"/>
    <x v="7"/>
    <x v="7"/>
    <x v="7"/>
    <n v="3836303"/>
    <n v="1.7397355601948505E-2"/>
    <x v="0"/>
  </r>
  <r>
    <x v="8"/>
    <n v="14.22"/>
    <x v="8"/>
    <x v="8"/>
    <x v="8"/>
    <n v="5171535"/>
    <n v="-1.0943912448700299E-2"/>
    <x v="0"/>
  </r>
  <r>
    <x v="9"/>
    <n v="14.71"/>
    <x v="9"/>
    <x v="9"/>
    <x v="9"/>
    <n v="3104446"/>
    <n v="2.0055325034578086E-2"/>
    <x v="0"/>
  </r>
  <r>
    <x v="10"/>
    <n v="14.43"/>
    <x v="10"/>
    <x v="10"/>
    <x v="10"/>
    <n v="2844233"/>
    <n v="2.5762711864406831E-2"/>
    <x v="0"/>
  </r>
  <r>
    <x v="11"/>
    <n v="14.87"/>
    <x v="11"/>
    <x v="11"/>
    <x v="11"/>
    <n v="4334493"/>
    <n v="5.287508261731663E-3"/>
    <x v="0"/>
  </r>
  <r>
    <x v="12"/>
    <n v="15.1"/>
    <x v="12"/>
    <x v="12"/>
    <x v="12"/>
    <n v="2507895"/>
    <n v="-6.6403681788297267E-2"/>
    <x v="0"/>
  </r>
  <r>
    <x v="13"/>
    <n v="15.18"/>
    <x v="13"/>
    <x v="13"/>
    <x v="13"/>
    <n v="14900047"/>
    <n v="-1.338028169014081E-2"/>
    <x v="0"/>
  </r>
  <r>
    <x v="14"/>
    <n v="14.13"/>
    <x v="14"/>
    <x v="14"/>
    <x v="14"/>
    <n v="4183471"/>
    <n v="7.1377587437544358E-3"/>
    <x v="0"/>
  </r>
  <r>
    <x v="15"/>
    <n v="14.1"/>
    <x v="15"/>
    <x v="15"/>
    <x v="15"/>
    <n v="2825159"/>
    <n v="-1.2048192771084333E-2"/>
    <x v="0"/>
  </r>
  <r>
    <x v="16"/>
    <n v="14.33"/>
    <x v="16"/>
    <x v="16"/>
    <x v="16"/>
    <n v="4235462"/>
    <n v="2.9411764705882363E-2"/>
    <x v="0"/>
  </r>
  <r>
    <x v="17"/>
    <n v="14.09"/>
    <x v="17"/>
    <x v="17"/>
    <x v="17"/>
    <n v="3391438"/>
    <n v="-2.2996515679442515E-2"/>
    <x v="0"/>
  </r>
  <r>
    <x v="18"/>
    <n v="14.32"/>
    <x v="18"/>
    <x v="18"/>
    <x v="18"/>
    <n v="3519449"/>
    <n v="1.2838801711840209E-2"/>
    <x v="0"/>
  </r>
  <r>
    <x v="19"/>
    <n v="14.09"/>
    <x v="19"/>
    <x v="19"/>
    <x v="13"/>
    <n v="2728593"/>
    <n v="-6.3380281690140752E-3"/>
    <x v="0"/>
  </r>
  <r>
    <x v="20"/>
    <n v="14.12"/>
    <x v="20"/>
    <x v="20"/>
    <x v="15"/>
    <n v="1805032"/>
    <n v="-2.1970233876683114E-2"/>
    <x v="0"/>
  </r>
  <r>
    <x v="21"/>
    <n v="14.03"/>
    <x v="21"/>
    <x v="21"/>
    <x v="19"/>
    <n v="4438901"/>
    <n v="3.2608695652173857E-2"/>
    <x v="0"/>
  </r>
  <r>
    <x v="22"/>
    <n v="13.93"/>
    <x v="17"/>
    <x v="22"/>
    <x v="20"/>
    <n v="3927944"/>
    <n v="-2.5263157894736803E-2"/>
    <x v="0"/>
  </r>
  <r>
    <x v="23"/>
    <n v="14.26"/>
    <x v="22"/>
    <x v="16"/>
    <x v="21"/>
    <n v="8332486"/>
    <n v="0.11159107271418278"/>
    <x v="0"/>
  </r>
  <r>
    <x v="24"/>
    <n v="15.13"/>
    <x v="23"/>
    <x v="23"/>
    <x v="22"/>
    <n v="12726366"/>
    <n v="6.4766839378236967E-4"/>
    <x v="0"/>
  </r>
  <r>
    <x v="25"/>
    <n v="15.37"/>
    <x v="24"/>
    <x v="24"/>
    <x v="23"/>
    <n v="4496843"/>
    <n v="2.5889967637541052E-3"/>
    <x v="0"/>
  </r>
  <r>
    <x v="26"/>
    <n v="15.38"/>
    <x v="25"/>
    <x v="25"/>
    <x v="24"/>
    <n v="2445293"/>
    <n v="-3.0342156229825733E-2"/>
    <x v="0"/>
  </r>
  <r>
    <x v="27"/>
    <n v="15.53"/>
    <x v="26"/>
    <x v="26"/>
    <x v="25"/>
    <n v="3850860"/>
    <n v="-3.9280958721704388E-2"/>
    <x v="0"/>
  </r>
  <r>
    <x v="28"/>
    <n v="14.9"/>
    <x v="27"/>
    <x v="27"/>
    <x v="26"/>
    <n v="4617007"/>
    <n v="1.2474012474012454E-2"/>
    <x v="0"/>
  </r>
  <r>
    <x v="29"/>
    <n v="14.52"/>
    <x v="28"/>
    <x v="28"/>
    <x v="27"/>
    <n v="3347806"/>
    <n v="-2.8062970568104049E-2"/>
    <x v="0"/>
  </r>
  <r>
    <x v="30"/>
    <n v="14.52"/>
    <x v="29"/>
    <x v="29"/>
    <x v="13"/>
    <n v="2915900"/>
    <n v="-2.7464788732394281E-2"/>
    <x v="0"/>
  </r>
  <r>
    <x v="31"/>
    <n v="14.2"/>
    <x v="30"/>
    <x v="30"/>
    <x v="28"/>
    <n v="3430327"/>
    <n v="3.475742215785653E-2"/>
    <x v="0"/>
  </r>
  <r>
    <x v="32"/>
    <n v="13.74"/>
    <x v="31"/>
    <x v="31"/>
    <x v="29"/>
    <n v="2925395"/>
    <n v="-1.3995801259621815E-3"/>
    <x v="0"/>
  </r>
  <r>
    <x v="33"/>
    <n v="14.35"/>
    <x v="32"/>
    <x v="32"/>
    <x v="30"/>
    <n v="2148679"/>
    <n v="3.2936229852838166E-2"/>
    <x v="0"/>
  </r>
  <r>
    <x v="34"/>
    <n v="14.3"/>
    <x v="33"/>
    <x v="33"/>
    <x v="31"/>
    <n v="2811900"/>
    <n v="3.3921302578018273E-3"/>
    <x v="0"/>
  </r>
  <r>
    <x v="35"/>
    <n v="14.7"/>
    <x v="34"/>
    <x v="34"/>
    <x v="32"/>
    <n v="2504375"/>
    <n v="-8.1135902636916314E-3"/>
    <x v="0"/>
  </r>
  <r>
    <x v="36"/>
    <n v="14.9"/>
    <x v="35"/>
    <x v="28"/>
    <x v="33"/>
    <n v="4400722"/>
    <n v="-1.0224948875255649E-2"/>
    <x v="0"/>
  </r>
  <r>
    <x v="37"/>
    <n v="14.49"/>
    <x v="36"/>
    <x v="35"/>
    <x v="34"/>
    <n v="2526199"/>
    <n v="2.0661157024794174E-3"/>
    <x v="0"/>
  </r>
  <r>
    <x v="38"/>
    <n v="14.36"/>
    <x v="9"/>
    <x v="36"/>
    <x v="35"/>
    <n v="2480293"/>
    <n v="5.2233676975944998E-2"/>
    <x v="0"/>
  </r>
  <r>
    <x v="39"/>
    <n v="14.76"/>
    <x v="37"/>
    <x v="34"/>
    <x v="36"/>
    <n v="3990779"/>
    <n v="8.4911822338340302E-3"/>
    <x v="0"/>
  </r>
  <r>
    <x v="40"/>
    <n v="15.4"/>
    <x v="38"/>
    <x v="37"/>
    <x v="22"/>
    <n v="1949353"/>
    <n v="-5.829015544041442E-3"/>
    <x v="0"/>
  </r>
  <r>
    <x v="41"/>
    <n v="15.45"/>
    <x v="39"/>
    <x v="4"/>
    <x v="37"/>
    <n v="2659813"/>
    <n v="2.9967426710097778E-2"/>
    <x v="0"/>
  </r>
  <r>
    <x v="42"/>
    <n v="15.4"/>
    <x v="40"/>
    <x v="38"/>
    <x v="38"/>
    <n v="3733955"/>
    <n v="-2.1505376344086013E-2"/>
    <x v="0"/>
  </r>
  <r>
    <x v="43"/>
    <n v="15.8"/>
    <x v="41"/>
    <x v="39"/>
    <x v="39"/>
    <n v="2981468"/>
    <n v="2.5856496444731187E-3"/>
    <x v="0"/>
  </r>
  <r>
    <x v="44"/>
    <n v="15.7"/>
    <x v="42"/>
    <x v="40"/>
    <x v="40"/>
    <n v="2939564"/>
    <n v="-9.6711798839458647E-3"/>
    <x v="0"/>
  </r>
  <r>
    <x v="45"/>
    <n v="15.5"/>
    <x v="43"/>
    <x v="41"/>
    <x v="41"/>
    <n v="2573603"/>
    <n v="3.2552083333333799E-3"/>
    <x v="0"/>
  </r>
  <r>
    <x v="46"/>
    <n v="15.18"/>
    <x v="44"/>
    <x v="42"/>
    <x v="42"/>
    <n v="3144223"/>
    <n v="-1.9467878001297904E-2"/>
    <x v="0"/>
  </r>
  <r>
    <x v="47"/>
    <n v="15.17"/>
    <x v="45"/>
    <x v="26"/>
    <x v="5"/>
    <n v="2687636"/>
    <n v="-9.2653871608205686E-3"/>
    <x v="0"/>
  </r>
  <r>
    <x v="48"/>
    <n v="15.11"/>
    <x v="46"/>
    <x v="43"/>
    <x v="43"/>
    <n v="3057753"/>
    <n v="1.1356045424181692E-2"/>
    <x v="0"/>
  </r>
  <r>
    <x v="49"/>
    <n v="14.98"/>
    <x v="47"/>
    <x v="44"/>
    <x v="44"/>
    <n v="2071692"/>
    <n v="-4.4253632760898276E-2"/>
    <x v="0"/>
  </r>
  <r>
    <x v="50"/>
    <n v="15.02"/>
    <x v="48"/>
    <x v="45"/>
    <x v="45"/>
    <n v="3268726"/>
    <n v="6.9108500345542254E-3"/>
    <x v="0"/>
  </r>
  <r>
    <x v="51"/>
    <n v="14.5"/>
    <x v="9"/>
    <x v="46"/>
    <x v="46"/>
    <n v="2831518"/>
    <n v="1.1667810569663687E-2"/>
    <x v="0"/>
  </r>
  <r>
    <x v="52"/>
    <n v="14.79"/>
    <x v="49"/>
    <x v="47"/>
    <x v="31"/>
    <n v="2244424"/>
    <n v="6.037991858887385E-2"/>
    <x v="0"/>
  </r>
  <r>
    <x v="53"/>
    <n v="14.81"/>
    <x v="50"/>
    <x v="48"/>
    <x v="47"/>
    <n v="5104341"/>
    <n v="-4.4785668586052639E-3"/>
    <x v="0"/>
  </r>
  <r>
    <x v="54"/>
    <n v="15.6"/>
    <x v="4"/>
    <x v="49"/>
    <x v="48"/>
    <n v="3298638"/>
    <n v="-1.2853470437018063E-2"/>
    <x v="0"/>
  </r>
  <r>
    <x v="55"/>
    <n v="15.53"/>
    <x v="51"/>
    <x v="50"/>
    <x v="41"/>
    <n v="3014170"/>
    <n v="9.1145833333333703E-3"/>
    <x v="0"/>
  </r>
  <r>
    <x v="56"/>
    <n v="15.45"/>
    <x v="52"/>
    <x v="51"/>
    <x v="49"/>
    <n v="1953174"/>
    <n v="-1.0967741935483867E-2"/>
    <x v="0"/>
  </r>
  <r>
    <x v="57"/>
    <n v="15.67"/>
    <x v="53"/>
    <x v="52"/>
    <x v="50"/>
    <n v="1961495"/>
    <n v="-1.3046314416177152E-3"/>
    <x v="0"/>
  </r>
  <r>
    <x v="58"/>
    <n v="15.48"/>
    <x v="25"/>
    <x v="53"/>
    <x v="36"/>
    <n v="1554979"/>
    <n v="3.9190071848464215E-3"/>
    <x v="0"/>
  </r>
  <r>
    <x v="59"/>
    <n v="15.37"/>
    <x v="54"/>
    <x v="54"/>
    <x v="51"/>
    <n v="710277"/>
    <n v="-7.156798959011024E-3"/>
    <x v="0"/>
  </r>
  <r>
    <x v="60"/>
    <n v="15.43"/>
    <x v="55"/>
    <x v="55"/>
    <x v="52"/>
    <n v="1901304"/>
    <n v="3.6041939711664528E-2"/>
    <x v="0"/>
  </r>
  <r>
    <x v="61"/>
    <n v="15.34"/>
    <x v="4"/>
    <x v="25"/>
    <x v="38"/>
    <n v="2406290"/>
    <n v="3.7950664136621581E-3"/>
    <x v="0"/>
  </r>
  <r>
    <x v="62"/>
    <n v="15.77"/>
    <x v="56"/>
    <x v="3"/>
    <x v="53"/>
    <n v="3697921"/>
    <n v="8.1915563957152358E-3"/>
    <x v="0"/>
  </r>
  <r>
    <x v="63"/>
    <n v="15.9"/>
    <x v="57"/>
    <x v="56"/>
    <x v="54"/>
    <n v="2715038"/>
    <n v="-6.9374999999999964E-2"/>
    <x v="0"/>
  </r>
  <r>
    <x v="64"/>
    <n v="15.38"/>
    <x v="58"/>
    <x v="57"/>
    <x v="55"/>
    <n v="6827146"/>
    <n v="6.7159167226324955E-4"/>
    <x v="1"/>
  </r>
  <r>
    <x v="65"/>
    <n v="15.09"/>
    <x v="59"/>
    <x v="58"/>
    <x v="56"/>
    <n v="3186752"/>
    <n v="-2.013422818791951E-2"/>
    <x v="1"/>
  </r>
  <r>
    <x v="66"/>
    <n v="14.67"/>
    <x v="60"/>
    <x v="59"/>
    <x v="57"/>
    <n v="3779128"/>
    <n v="-1.5068493150684854E-2"/>
    <x v="1"/>
  </r>
  <r>
    <x v="67"/>
    <n v="14.28"/>
    <x v="61"/>
    <x v="28"/>
    <x v="58"/>
    <n v="3554251"/>
    <n v="-2.1557719054242037E-2"/>
    <x v="1"/>
  </r>
  <r>
    <x v="68"/>
    <n v="14.52"/>
    <x v="62"/>
    <x v="60"/>
    <x v="59"/>
    <n v="3628058"/>
    <n v="-1.4925373134328419E-2"/>
    <x v="1"/>
  </r>
  <r>
    <x v="69"/>
    <n v="14.27"/>
    <x v="22"/>
    <x v="61"/>
    <x v="60"/>
    <n v="4091422"/>
    <n v="1.0101010101010142E-2"/>
    <x v="1"/>
  </r>
  <r>
    <x v="70"/>
    <n v="14.11"/>
    <x v="20"/>
    <x v="62"/>
    <x v="61"/>
    <n v="3091917"/>
    <n v="-4.6428571428571451E-2"/>
    <x v="1"/>
  </r>
  <r>
    <x v="71"/>
    <n v="14.13"/>
    <x v="63"/>
    <x v="63"/>
    <x v="62"/>
    <n v="4126416"/>
    <n v="2.9962546816479429E-2"/>
    <x v="1"/>
  </r>
  <r>
    <x v="72"/>
    <n v="13.48"/>
    <x v="64"/>
    <x v="64"/>
    <x v="63"/>
    <n v="6490741"/>
    <n v="-5.818181818181823E-3"/>
    <x v="1"/>
  </r>
  <r>
    <x v="73"/>
    <n v="13.26"/>
    <x v="65"/>
    <x v="65"/>
    <x v="64"/>
    <n v="5578640"/>
    <n v="-1.4630577907827048E-3"/>
    <x v="1"/>
  </r>
  <r>
    <x v="74"/>
    <n v="13.91"/>
    <x v="66"/>
    <x v="66"/>
    <x v="65"/>
    <n v="4038676"/>
    <n v="-2.9304029304029328E-2"/>
    <x v="1"/>
  </r>
  <r>
    <x v="75"/>
    <n v="13.29"/>
    <x v="67"/>
    <x v="67"/>
    <x v="66"/>
    <n v="5838608"/>
    <n v="6.0377358490566095E-3"/>
    <x v="1"/>
  </r>
  <r>
    <x v="76"/>
    <n v="13.44"/>
    <x v="68"/>
    <x v="68"/>
    <x v="67"/>
    <n v="3166159"/>
    <n v="1.2753188297074263E-2"/>
    <x v="1"/>
  </r>
  <r>
    <x v="77"/>
    <n v="13.65"/>
    <x v="69"/>
    <x v="69"/>
    <x v="68"/>
    <n v="3124055"/>
    <n v="-3.0370370370370381E-2"/>
    <x v="1"/>
  </r>
  <r>
    <x v="78"/>
    <n v="13.34"/>
    <x v="70"/>
    <x v="70"/>
    <x v="69"/>
    <n v="2698739"/>
    <n v="-1.4514896867838006E-2"/>
    <x v="1"/>
  </r>
  <r>
    <x v="79"/>
    <n v="13.11"/>
    <x v="71"/>
    <x v="71"/>
    <x v="70"/>
    <n v="4964180"/>
    <n v="-2.790697674418614E-2"/>
    <x v="1"/>
  </r>
  <r>
    <x v="80"/>
    <n v="12.83"/>
    <x v="72"/>
    <x v="72"/>
    <x v="71"/>
    <n v="3617221"/>
    <n v="8.7719298245615002E-3"/>
    <x v="1"/>
  </r>
  <r>
    <x v="81"/>
    <n v="12.72"/>
    <x v="73"/>
    <x v="73"/>
    <x v="72"/>
    <n v="4592754"/>
    <n v="7.9051383399209203E-3"/>
    <x v="1"/>
  </r>
  <r>
    <x v="82"/>
    <n v="12.66"/>
    <x v="74"/>
    <x v="74"/>
    <x v="73"/>
    <n v="2852289"/>
    <n v="2.9803921568627514E-2"/>
    <x v="1"/>
  </r>
  <r>
    <x v="83"/>
    <n v="12.58"/>
    <x v="75"/>
    <x v="75"/>
    <x v="74"/>
    <n v="5297639"/>
    <n v="-7.1591774562071692E-2"/>
    <x v="1"/>
  </r>
  <r>
    <x v="84"/>
    <n v="12.83"/>
    <x v="76"/>
    <x v="76"/>
    <x v="75"/>
    <n v="5773637"/>
    <n v="-5.0861361771944155E-2"/>
    <x v="1"/>
  </r>
  <r>
    <x v="85"/>
    <n v="12.24"/>
    <x v="77"/>
    <x v="77"/>
    <x v="76"/>
    <n v="7931362"/>
    <n v="1.0371650821088955E-2"/>
    <x v="1"/>
  </r>
  <r>
    <x v="86"/>
    <n v="11.38"/>
    <x v="78"/>
    <x v="78"/>
    <x v="77"/>
    <n v="4385366"/>
    <n v="-7.2711719418306217E-2"/>
    <x v="1"/>
  </r>
  <r>
    <x v="87"/>
    <n v="11.42"/>
    <x v="79"/>
    <x v="79"/>
    <x v="78"/>
    <n v="9437591"/>
    <n v="-8.9483394833948404E-2"/>
    <x v="1"/>
  </r>
  <r>
    <x v="88"/>
    <n v="10.47"/>
    <x v="80"/>
    <x v="80"/>
    <x v="79"/>
    <n v="9312988"/>
    <n v="1.0131712259373417E-3"/>
    <x v="1"/>
  </r>
  <r>
    <x v="89"/>
    <n v="9.49"/>
    <x v="81"/>
    <x v="81"/>
    <x v="80"/>
    <n v="8651648"/>
    <n v="-3.0364372469635696E-2"/>
    <x v="1"/>
  </r>
  <r>
    <x v="90"/>
    <n v="10.029999999999999"/>
    <x v="82"/>
    <x v="82"/>
    <x v="81"/>
    <n v="10406513"/>
    <n v="4.6972860125260883E-2"/>
    <x v="1"/>
  </r>
  <r>
    <x v="91"/>
    <n v="10.130000000000001"/>
    <x v="83"/>
    <x v="83"/>
    <x v="82"/>
    <n v="14252364"/>
    <n v="3.9880358923231234E-3"/>
    <x v="1"/>
  </r>
  <r>
    <x v="92"/>
    <n v="10.33"/>
    <x v="84"/>
    <x v="84"/>
    <x v="83"/>
    <n v="7235783"/>
    <n v="2.6812313803376321E-2"/>
    <x v="1"/>
  </r>
  <r>
    <x v="93"/>
    <n v="10.58"/>
    <x v="85"/>
    <x v="85"/>
    <x v="84"/>
    <n v="5593794"/>
    <n v="8.8007736943907178E-2"/>
    <x v="1"/>
  </r>
  <r>
    <x v="94"/>
    <n v="10.6"/>
    <x v="86"/>
    <x v="86"/>
    <x v="85"/>
    <n v="5825159"/>
    <n v="-1.1555555555555624E-2"/>
    <x v="1"/>
  </r>
  <r>
    <x v="95"/>
    <n v="11.49"/>
    <x v="79"/>
    <x v="87"/>
    <x v="86"/>
    <n v="3887574"/>
    <n v="-8.992805755395492E-4"/>
    <x v="1"/>
  </r>
  <r>
    <x v="96"/>
    <n v="10.91"/>
    <x v="87"/>
    <x v="88"/>
    <x v="87"/>
    <n v="2959390"/>
    <n v="6.660666066606663E-2"/>
    <x v="1"/>
  </r>
  <r>
    <x v="97"/>
    <n v="11.34"/>
    <x v="88"/>
    <x v="89"/>
    <x v="88"/>
    <n v="5060051"/>
    <n v="-3.3755274261602656E-3"/>
    <x v="1"/>
  </r>
  <r>
    <x v="98"/>
    <n v="11.74"/>
    <x v="89"/>
    <x v="90"/>
    <x v="89"/>
    <n v="5984374"/>
    <n v="1.016088060965277E-2"/>
    <x v="1"/>
  </r>
  <r>
    <x v="99"/>
    <n v="11.52"/>
    <x v="90"/>
    <x v="91"/>
    <x v="90"/>
    <n v="5395609"/>
    <n v="4.7778709136630369E-2"/>
    <x v="1"/>
  </r>
  <r>
    <x v="100"/>
    <n v="11.91"/>
    <x v="91"/>
    <x v="92"/>
    <x v="91"/>
    <n v="5750741"/>
    <n v="1.519999999999996E-2"/>
    <x v="1"/>
  </r>
  <r>
    <x v="101"/>
    <n v="12.58"/>
    <x v="92"/>
    <x v="93"/>
    <x v="92"/>
    <n v="6065117"/>
    <n v="8.6682427107959981E-3"/>
    <x v="1"/>
  </r>
  <r>
    <x v="102"/>
    <n v="12.83"/>
    <x v="93"/>
    <x v="94"/>
    <x v="93"/>
    <n v="4498997"/>
    <n v="-2.9687500000000061E-2"/>
    <x v="1"/>
  </r>
  <r>
    <x v="103"/>
    <n v="12.95"/>
    <x v="94"/>
    <x v="75"/>
    <x v="94"/>
    <n v="6712159"/>
    <n v="1.1272141706924362E-2"/>
    <x v="1"/>
  </r>
  <r>
    <x v="104"/>
    <n v="12.25"/>
    <x v="91"/>
    <x v="95"/>
    <x v="95"/>
    <n v="4862396"/>
    <n v="3.9012738853503197E-2"/>
    <x v="1"/>
  </r>
  <r>
    <x v="105"/>
    <n v="12.55"/>
    <x v="95"/>
    <x v="96"/>
    <x v="96"/>
    <n v="4829018"/>
    <n v="2.6819923371647483E-2"/>
    <x v="1"/>
  </r>
  <r>
    <x v="106"/>
    <n v="13.2"/>
    <x v="96"/>
    <x v="97"/>
    <x v="97"/>
    <n v="6489058"/>
    <n v="2.1641791044776055E-2"/>
    <x v="1"/>
  </r>
  <r>
    <x v="107"/>
    <n v="13.18"/>
    <x v="97"/>
    <x v="98"/>
    <x v="98"/>
    <n v="5337072"/>
    <n v="-1.3148283418553669E-2"/>
    <x v="1"/>
  </r>
  <r>
    <x v="108"/>
    <n v="13.57"/>
    <x v="98"/>
    <x v="99"/>
    <x v="99"/>
    <n v="4178693"/>
    <n v="2.9607698001480411E-2"/>
    <x v="1"/>
  </r>
  <r>
    <x v="109"/>
    <n v="13.63"/>
    <x v="99"/>
    <x v="100"/>
    <x v="100"/>
    <n v="3208554"/>
    <n v="-1.6534867002156752E-2"/>
    <x v="1"/>
  </r>
  <r>
    <x v="110"/>
    <n v="14"/>
    <x v="100"/>
    <x v="101"/>
    <x v="101"/>
    <n v="5192523"/>
    <n v="1.096491228070178E-2"/>
    <x v="1"/>
  </r>
  <r>
    <x v="111"/>
    <n v="13.86"/>
    <x v="99"/>
    <x v="62"/>
    <x v="102"/>
    <n v="3343077"/>
    <n v="3.6876355748373085E-2"/>
    <x v="1"/>
  </r>
  <r>
    <x v="112"/>
    <n v="14.18"/>
    <x v="101"/>
    <x v="20"/>
    <x v="103"/>
    <n v="4065706"/>
    <n v="1.5341701534170199E-2"/>
    <x v="1"/>
  </r>
  <r>
    <x v="113"/>
    <n v="14.28"/>
    <x v="29"/>
    <x v="102"/>
    <x v="104"/>
    <n v="3180452"/>
    <n v="1.6483516483516498E-2"/>
    <x v="1"/>
  </r>
  <r>
    <x v="114"/>
    <n v="14.53"/>
    <x v="102"/>
    <x v="103"/>
    <x v="105"/>
    <n v="3516703"/>
    <n v="1.9594594594594537E-2"/>
    <x v="1"/>
  </r>
  <r>
    <x v="115"/>
    <n v="14.76"/>
    <x v="47"/>
    <x v="58"/>
    <x v="106"/>
    <n v="1094018"/>
    <n v="2.8495692511597066E-2"/>
    <x v="1"/>
  </r>
  <r>
    <x v="116"/>
    <n v="15.27"/>
    <x v="103"/>
    <x v="104"/>
    <x v="107"/>
    <n v="4711793"/>
    <n v="2.3840206185567075E-2"/>
    <x v="1"/>
  </r>
  <r>
    <x v="117"/>
    <n v="15.69"/>
    <x v="104"/>
    <x v="105"/>
    <x v="108"/>
    <n v="5307822"/>
    <n v="-1.6991818753933376E-2"/>
    <x v="1"/>
  </r>
  <r>
    <x v="118"/>
    <n v="15.81"/>
    <x v="105"/>
    <x v="106"/>
    <x v="109"/>
    <n v="4315988"/>
    <n v="-4.9935979513444265E-2"/>
    <x v="1"/>
  </r>
  <r>
    <x v="119"/>
    <n v="15.49"/>
    <x v="106"/>
    <x v="107"/>
    <x v="110"/>
    <n v="4948841"/>
    <n v="2.2911051212937995E-2"/>
    <x v="1"/>
  </r>
  <r>
    <x v="120"/>
    <n v="14.39"/>
    <x v="107"/>
    <x v="36"/>
    <x v="111"/>
    <n v="4960900"/>
    <n v="1.1198945981554673E-2"/>
    <x v="1"/>
  </r>
  <r>
    <x v="121"/>
    <n v="15.44"/>
    <x v="106"/>
    <x v="12"/>
    <x v="37"/>
    <n v="3925685"/>
    <n v="-6.5146579804558876E-4"/>
    <x v="1"/>
  </r>
  <r>
    <x v="122"/>
    <n v="15.33"/>
    <x v="108"/>
    <x v="108"/>
    <x v="112"/>
    <n v="4014330"/>
    <n v="-1.3689700130378036E-2"/>
    <x v="1"/>
  </r>
  <r>
    <x v="123"/>
    <n v="15.67"/>
    <x v="109"/>
    <x v="109"/>
    <x v="11"/>
    <n v="4032982"/>
    <n v="1.2557832121612657E-2"/>
    <x v="1"/>
  </r>
  <r>
    <x v="124"/>
    <n v="15.29"/>
    <x v="42"/>
    <x v="12"/>
    <x v="113"/>
    <n v="8012872"/>
    <n v="3.3942558746736261E-2"/>
    <x v="1"/>
  </r>
  <r>
    <x v="125"/>
    <n v="16.32"/>
    <x v="110"/>
    <x v="110"/>
    <x v="114"/>
    <n v="15997509"/>
    <n v="3.977272727272721E-2"/>
    <x v="1"/>
  </r>
  <r>
    <x v="126"/>
    <n v="16.61"/>
    <x v="111"/>
    <x v="111"/>
    <x v="115"/>
    <n v="13475327"/>
    <n v="3.4001214329083325E-2"/>
    <x v="1"/>
  </r>
  <r>
    <x v="127"/>
    <n v="16.03"/>
    <x v="112"/>
    <x v="112"/>
    <x v="116"/>
    <n v="9948699"/>
    <n v="3.8755137991779216E-2"/>
    <x v="1"/>
  </r>
  <r>
    <x v="128"/>
    <n v="16.93"/>
    <x v="113"/>
    <x v="113"/>
    <x v="117"/>
    <n v="11705479"/>
    <n v="-3.0525720746184436E-2"/>
    <x v="1"/>
  </r>
  <r>
    <x v="129"/>
    <n v="17.760000000000002"/>
    <x v="114"/>
    <x v="114"/>
    <x v="118"/>
    <n v="8856171"/>
    <n v="-2.7988338192419644E-2"/>
    <x v="1"/>
  </r>
  <r>
    <x v="130"/>
    <n v="17.37"/>
    <x v="115"/>
    <x v="115"/>
    <x v="119"/>
    <n v="7363935"/>
    <n v="-5.9988002399529469E-4"/>
    <x v="1"/>
  </r>
  <r>
    <x v="131"/>
    <n v="16.73"/>
    <x v="116"/>
    <x v="116"/>
    <x v="120"/>
    <n v="9161693"/>
    <n v="-8.4033613445378495E-3"/>
    <x v="1"/>
  </r>
  <r>
    <x v="132"/>
    <n v="16.63"/>
    <x v="117"/>
    <x v="111"/>
    <x v="121"/>
    <n v="5763208"/>
    <n v="2.7239709443099232E-2"/>
    <x v="1"/>
  </r>
  <r>
    <x v="133"/>
    <n v="16.57"/>
    <x v="118"/>
    <x v="117"/>
    <x v="122"/>
    <n v="4925595"/>
    <n v="-1.0606953447259855E-2"/>
    <x v="1"/>
  </r>
  <r>
    <x v="134"/>
    <n v="16.87"/>
    <x v="119"/>
    <x v="118"/>
    <x v="123"/>
    <n v="4132185"/>
    <n v="1.0720667063728394E-2"/>
    <x v="1"/>
  </r>
  <r>
    <x v="135"/>
    <n v="16.75"/>
    <x v="120"/>
    <x v="119"/>
    <x v="122"/>
    <n v="3752366"/>
    <n v="-2.357100766057699E-3"/>
    <x v="1"/>
  </r>
  <r>
    <x v="136"/>
    <n v="16.82"/>
    <x v="121"/>
    <x v="120"/>
    <x v="124"/>
    <n v="4271362"/>
    <n v="-2.5989367985824057E-2"/>
    <x v="1"/>
  </r>
  <r>
    <x v="137"/>
    <n v="16.87"/>
    <x v="122"/>
    <x v="121"/>
    <x v="125"/>
    <n v="6357526"/>
    <n v="1.0309278350515568E-2"/>
    <x v="1"/>
  </r>
  <r>
    <x v="138"/>
    <n v="16.420000000000002"/>
    <x v="123"/>
    <x v="122"/>
    <x v="120"/>
    <n v="5194051"/>
    <n v="-6.6026410564225344E-3"/>
    <x v="1"/>
  </r>
  <r>
    <x v="139"/>
    <n v="16.600000000000001"/>
    <x v="124"/>
    <x v="123"/>
    <x v="126"/>
    <n v="2783059"/>
    <n v="2.2356495468278004E-2"/>
    <x v="1"/>
  </r>
  <r>
    <x v="140"/>
    <n v="16.59"/>
    <x v="125"/>
    <x v="124"/>
    <x v="127"/>
    <n v="3786327"/>
    <n v="-7.6832151300237914E-3"/>
    <x v="1"/>
  </r>
  <r>
    <x v="141"/>
    <n v="16.87"/>
    <x v="126"/>
    <x v="125"/>
    <x v="123"/>
    <n v="3670348"/>
    <n v="7.7427039904706708E-3"/>
    <x v="1"/>
  </r>
  <r>
    <x v="142"/>
    <n v="16.8"/>
    <x v="127"/>
    <x v="126"/>
    <x v="127"/>
    <n v="3223839"/>
    <n v="-9.4562647754137183E-3"/>
    <x v="1"/>
  </r>
  <r>
    <x v="143"/>
    <n v="16.850000000000001"/>
    <x v="128"/>
    <x v="126"/>
    <x v="128"/>
    <n v="3205808"/>
    <n v="-1.4916467780429593E-2"/>
    <x v="1"/>
  </r>
  <r>
    <x v="144"/>
    <n v="16.66"/>
    <x v="129"/>
    <x v="127"/>
    <x v="129"/>
    <n v="2518990"/>
    <n v="-2.7861901877649958E-2"/>
    <x v="1"/>
  </r>
  <r>
    <x v="145"/>
    <n v="16.54"/>
    <x v="130"/>
    <x v="128"/>
    <x v="130"/>
    <n v="5413787"/>
    <n v="4.3613707165109207E-3"/>
    <x v="1"/>
  </r>
  <r>
    <x v="146"/>
    <n v="16.100000000000001"/>
    <x v="131"/>
    <x v="129"/>
    <x v="131"/>
    <n v="3843935"/>
    <n v="-3.9081885856079447E-2"/>
    <x v="1"/>
  </r>
  <r>
    <x v="147"/>
    <n v="15.82"/>
    <x v="105"/>
    <x v="130"/>
    <x v="24"/>
    <n v="4302222"/>
    <n v="-4.1962556488056836E-2"/>
    <x v="1"/>
  </r>
  <r>
    <x v="148"/>
    <n v="15.35"/>
    <x v="103"/>
    <x v="34"/>
    <x v="110"/>
    <n v="8700459"/>
    <n v="-4.9865229110512145E-2"/>
    <x v="1"/>
  </r>
  <r>
    <x v="149"/>
    <n v="15.23"/>
    <x v="13"/>
    <x v="131"/>
    <x v="132"/>
    <n v="11254827"/>
    <n v="1.6312056737588683E-2"/>
    <x v="1"/>
  </r>
  <r>
    <x v="150"/>
    <n v="14.06"/>
    <x v="132"/>
    <x v="132"/>
    <x v="133"/>
    <n v="5685237"/>
    <n v="-2.7913468248429892E-2"/>
    <x v="1"/>
  </r>
  <r>
    <x v="151"/>
    <n v="14.38"/>
    <x v="133"/>
    <x v="133"/>
    <x v="134"/>
    <n v="4776383"/>
    <n v="-1.4357501794687419E-3"/>
    <x v="1"/>
  </r>
  <r>
    <x v="152"/>
    <n v="13.84"/>
    <x v="99"/>
    <x v="134"/>
    <x v="100"/>
    <n v="4070617"/>
    <n v="1.4378145219266407E-3"/>
    <x v="1"/>
  </r>
  <r>
    <x v="153"/>
    <n v="13.84"/>
    <x v="134"/>
    <x v="135"/>
    <x v="134"/>
    <n v="5161864"/>
    <n v="-7.8966259870782082E-3"/>
    <x v="1"/>
  </r>
  <r>
    <x v="154"/>
    <n v="14.1"/>
    <x v="21"/>
    <x v="136"/>
    <x v="135"/>
    <n v="3650475"/>
    <n v="1.4471780028943251E-3"/>
    <x v="1"/>
  </r>
  <r>
    <x v="155"/>
    <n v="13.85"/>
    <x v="135"/>
    <x v="137"/>
    <x v="136"/>
    <n v="2822781"/>
    <n v="3.6127167630058319E-3"/>
    <x v="1"/>
  </r>
  <r>
    <x v="156"/>
    <n v="13.88"/>
    <x v="136"/>
    <x v="138"/>
    <x v="21"/>
    <n v="2949396"/>
    <n v="-1.7998560115190784E-2"/>
    <x v="1"/>
  </r>
  <r>
    <x v="157"/>
    <n v="13.94"/>
    <x v="137"/>
    <x v="139"/>
    <x v="137"/>
    <n v="2843597"/>
    <n v="3.2258064516128997E-2"/>
    <x v="1"/>
  </r>
  <r>
    <x v="158"/>
    <n v="13.94"/>
    <x v="138"/>
    <x v="16"/>
    <x v="138"/>
    <n v="5617519"/>
    <n v="1.9176136363636333E-2"/>
    <x v="1"/>
  </r>
  <r>
    <x v="159"/>
    <n v="14.24"/>
    <x v="101"/>
    <x v="140"/>
    <x v="17"/>
    <n v="6866321"/>
    <n v="2.3693379790940758E-2"/>
    <x v="1"/>
  </r>
  <r>
    <x v="160"/>
    <n v="14.47"/>
    <x v="62"/>
    <x v="141"/>
    <x v="139"/>
    <n v="9007076"/>
    <n v="-1.9060585432266804E-2"/>
    <x v="1"/>
  </r>
  <r>
    <x v="161"/>
    <n v="14.66"/>
    <x v="102"/>
    <x v="142"/>
    <x v="140"/>
    <n v="5102479"/>
    <n v="8.3275503122830826E-3"/>
    <x v="1"/>
  </r>
  <r>
    <x v="162"/>
    <n v="14.44"/>
    <x v="139"/>
    <x v="7"/>
    <x v="141"/>
    <n v="3013843"/>
    <n v="7.570543702684185E-3"/>
    <x v="1"/>
  </r>
  <r>
    <x v="163"/>
    <n v="14.53"/>
    <x v="33"/>
    <x v="143"/>
    <x v="142"/>
    <n v="3132615"/>
    <n v="2.5273224043715792E-2"/>
    <x v="1"/>
  </r>
  <r>
    <x v="164"/>
    <n v="14.7"/>
    <x v="140"/>
    <x v="57"/>
    <x v="143"/>
    <n v="4072424"/>
    <n v="-9.327115256495707E-3"/>
    <x v="1"/>
  </r>
  <r>
    <x v="165"/>
    <n v="15"/>
    <x v="141"/>
    <x v="48"/>
    <x v="144"/>
    <n v="3650272"/>
    <n v="6.72494956287933E-4"/>
    <x v="1"/>
  </r>
  <r>
    <x v="166"/>
    <n v="14.87"/>
    <x v="142"/>
    <x v="144"/>
    <x v="145"/>
    <n v="2789002"/>
    <n v="-1.612903225806453E-2"/>
    <x v="1"/>
  </r>
  <r>
    <x v="167"/>
    <n v="14.77"/>
    <x v="8"/>
    <x v="145"/>
    <x v="142"/>
    <n v="2982695"/>
    <n v="-2.7322404371585328E-3"/>
    <x v="1"/>
  </r>
  <r>
    <x v="168"/>
    <n v="14.64"/>
    <x v="143"/>
    <x v="103"/>
    <x v="57"/>
    <n v="2032832"/>
    <n v="0"/>
    <x v="1"/>
  </r>
  <r>
    <x v="169"/>
    <n v="14.67"/>
    <x v="144"/>
    <x v="47"/>
    <x v="57"/>
    <n v="2228970"/>
    <n v="7.5342465753425484E-3"/>
    <x v="1"/>
  </r>
  <r>
    <x v="170"/>
    <n v="14.53"/>
    <x v="9"/>
    <x v="9"/>
    <x v="6"/>
    <n v="2249508"/>
    <n v="5.3025152957171945E-2"/>
    <x v="1"/>
  </r>
  <r>
    <x v="171"/>
    <n v="14.82"/>
    <x v="103"/>
    <x v="144"/>
    <x v="24"/>
    <n v="6213573"/>
    <n v="1.3557133634602909E-2"/>
    <x v="1"/>
  </r>
  <r>
    <x v="172"/>
    <n v="15.59"/>
    <x v="145"/>
    <x v="146"/>
    <x v="146"/>
    <n v="5971995"/>
    <n v="-2.6114649681528674E-2"/>
    <x v="1"/>
  </r>
  <r>
    <x v="173"/>
    <n v="15.67"/>
    <x v="146"/>
    <x v="147"/>
    <x v="147"/>
    <n v="4492075"/>
    <n v="-4.5781556572923439E-2"/>
    <x v="1"/>
  </r>
  <r>
    <x v="174"/>
    <n v="15.16"/>
    <x v="147"/>
    <x v="6"/>
    <x v="148"/>
    <n v="6026603"/>
    <n v="-4.7978067169294229E-3"/>
    <x v="1"/>
  </r>
  <r>
    <x v="175"/>
    <n v="14.63"/>
    <x v="48"/>
    <x v="148"/>
    <x v="34"/>
    <n v="4193022"/>
    <n v="-1.3085399449035778E-2"/>
    <x v="1"/>
  </r>
  <r>
    <x v="176"/>
    <n v="14.59"/>
    <x v="49"/>
    <x v="33"/>
    <x v="133"/>
    <n v="3580167"/>
    <n v="1.256106071179342E-2"/>
    <x v="1"/>
  </r>
  <r>
    <x v="177"/>
    <n v="14.46"/>
    <x v="148"/>
    <x v="149"/>
    <x v="149"/>
    <n v="2908522"/>
    <n v="1.3783597518952154E-3"/>
    <x v="1"/>
  </r>
  <r>
    <x v="178"/>
    <n v="14.49"/>
    <x v="149"/>
    <x v="150"/>
    <x v="141"/>
    <n v="2440259"/>
    <n v="-1.1699931176875426E-2"/>
    <x v="1"/>
  </r>
  <r>
    <x v="179"/>
    <n v="14.52"/>
    <x v="60"/>
    <x v="151"/>
    <x v="150"/>
    <n v="3112620"/>
    <n v="2.0194986072423465E-2"/>
    <x v="1"/>
  </r>
  <r>
    <x v="180"/>
    <n v="14.63"/>
    <x v="150"/>
    <x v="152"/>
    <x v="151"/>
    <n v="3555471"/>
    <n v="-6.8259385665527558E-4"/>
    <x v="1"/>
  </r>
  <r>
    <x v="181"/>
    <n v="14.71"/>
    <x v="102"/>
    <x v="153"/>
    <x v="142"/>
    <n v="4529005"/>
    <n v="-0.10450819672131155"/>
    <x v="1"/>
  </r>
  <r>
    <x v="182"/>
    <n v="13.3"/>
    <x v="151"/>
    <x v="154"/>
    <x v="152"/>
    <n v="23742414"/>
    <n v="-1.5255530129671682E-3"/>
    <x v="1"/>
  </r>
  <r>
    <x v="183"/>
    <n v="13.05"/>
    <x v="152"/>
    <x v="155"/>
    <x v="69"/>
    <n v="10130748"/>
    <n v="-1.604278074866303E-2"/>
    <x v="1"/>
  </r>
  <r>
    <x v="184"/>
    <n v="12.67"/>
    <x v="153"/>
    <x v="156"/>
    <x v="153"/>
    <n v="7026516"/>
    <n v="2.7950310559006167E-2"/>
    <x v="1"/>
  </r>
  <r>
    <x v="185"/>
    <n v="12.72"/>
    <x v="154"/>
    <x v="157"/>
    <x v="154"/>
    <n v="7220323"/>
    <n v="1.5861027190332257E-2"/>
    <x v="1"/>
  </r>
  <r>
    <x v="186"/>
    <n v="13.46"/>
    <x v="96"/>
    <x v="158"/>
    <x v="155"/>
    <n v="6212422"/>
    <n v="4.1635687732342046E-2"/>
    <x v="1"/>
  </r>
  <r>
    <x v="187"/>
    <n v="13.68"/>
    <x v="155"/>
    <x v="61"/>
    <x v="14"/>
    <n v="5994908"/>
    <n v="9.9928622412562857E-3"/>
    <x v="1"/>
  </r>
  <r>
    <x v="188"/>
    <n v="14.2"/>
    <x v="19"/>
    <x v="159"/>
    <x v="156"/>
    <n v="4843111"/>
    <n v="1.9787985865724337E-2"/>
    <x v="1"/>
  </r>
  <r>
    <x v="189"/>
    <n v="13.74"/>
    <x v="156"/>
    <x v="160"/>
    <x v="26"/>
    <n v="5399951"/>
    <n v="-1.1088011088011098E-2"/>
    <x v="1"/>
  </r>
  <r>
    <x v="190"/>
    <n v="13.98"/>
    <x v="22"/>
    <x v="132"/>
    <x v="30"/>
    <n v="5175345"/>
    <n v="2.1023125437982576E-3"/>
    <x v="1"/>
  </r>
  <r>
    <x v="191"/>
    <n v="14"/>
    <x v="138"/>
    <x v="159"/>
    <x v="157"/>
    <n v="4919855"/>
    <n v="6.9930069930069678E-3"/>
    <x v="1"/>
  </r>
  <r>
    <x v="192"/>
    <n v="14.21"/>
    <x v="149"/>
    <x v="161"/>
    <x v="158"/>
    <n v="3612022"/>
    <n v="3.4722222222221483E-3"/>
    <x v="1"/>
  </r>
  <r>
    <x v="193"/>
    <n v="14.52"/>
    <x v="157"/>
    <x v="151"/>
    <x v="159"/>
    <n v="4074785"/>
    <n v="3.7370242214532938E-2"/>
    <x v="1"/>
  </r>
  <r>
    <x v="194"/>
    <n v="14.66"/>
    <x v="158"/>
    <x v="162"/>
    <x v="160"/>
    <n v="5429823"/>
    <n v="-6.6711140760505579E-4"/>
    <x v="1"/>
  </r>
  <r>
    <x v="195"/>
    <n v="14.94"/>
    <x v="46"/>
    <x v="163"/>
    <x v="161"/>
    <n v="4576165"/>
    <n v="-9.345794392523402E-3"/>
    <x v="1"/>
  </r>
  <r>
    <x v="196"/>
    <n v="15.03"/>
    <x v="159"/>
    <x v="34"/>
    <x v="110"/>
    <n v="3567062"/>
    <n v="-4.7169811320754906E-3"/>
    <x v="1"/>
  </r>
  <r>
    <x v="197"/>
    <n v="14.87"/>
    <x v="35"/>
    <x v="164"/>
    <x v="162"/>
    <n v="2675834"/>
    <n v="-5.4163845633039996E-3"/>
    <x v="1"/>
  </r>
  <r>
    <x v="198"/>
    <n v="14.83"/>
    <x v="160"/>
    <x v="165"/>
    <x v="139"/>
    <n v="2234247"/>
    <n v="2.6548672566371723E-2"/>
    <x v="1"/>
  </r>
  <r>
    <x v="199"/>
    <n v="14.64"/>
    <x v="161"/>
    <x v="152"/>
    <x v="163"/>
    <n v="3412055"/>
    <n v="-3.9787798408488393E-3"/>
    <x v="1"/>
  </r>
  <r>
    <x v="200"/>
    <n v="15"/>
    <x v="162"/>
    <x v="166"/>
    <x v="25"/>
    <n v="3115065"/>
    <n v="1.3315579227696476E-2"/>
    <x v="1"/>
  </r>
  <r>
    <x v="201"/>
    <n v="15.1"/>
    <x v="163"/>
    <x v="12"/>
    <x v="164"/>
    <n v="2568498"/>
    <n v="-3.4165571616294438E-2"/>
    <x v="1"/>
  </r>
  <r>
    <x v="202"/>
    <n v="15.07"/>
    <x v="164"/>
    <x v="167"/>
    <x v="165"/>
    <n v="4428651"/>
    <n v="8.1632653061225174E-3"/>
    <x v="1"/>
  </r>
  <r>
    <x v="203"/>
    <n v="14.8"/>
    <x v="165"/>
    <x v="153"/>
    <x v="166"/>
    <n v="2579692"/>
    <n v="3.4412955465587029E-2"/>
    <x v="1"/>
  </r>
  <r>
    <x v="204"/>
    <n v="14.82"/>
    <x v="58"/>
    <x v="168"/>
    <x v="50"/>
    <n v="4490683"/>
    <n v="-1.9569471624265727E-3"/>
    <x v="1"/>
  </r>
  <r>
    <x v="205"/>
    <n v="15.18"/>
    <x v="166"/>
    <x v="108"/>
    <x v="167"/>
    <n v="3430042"/>
    <n v="-4.5751633986928289E-3"/>
    <x v="1"/>
  </r>
  <r>
    <x v="206"/>
    <n v="15.29"/>
    <x v="25"/>
    <x v="37"/>
    <x v="168"/>
    <n v="2889007"/>
    <n v="9.1923834537097036E-3"/>
    <x v="1"/>
  </r>
  <r>
    <x v="207"/>
    <n v="15.2"/>
    <x v="5"/>
    <x v="169"/>
    <x v="51"/>
    <n v="2419059"/>
    <n v="1.8217306441119137E-2"/>
    <x v="1"/>
  </r>
  <r>
    <x v="208"/>
    <n v="15.38"/>
    <x v="146"/>
    <x v="170"/>
    <x v="169"/>
    <n v="3070813"/>
    <n v="-2.0447284345047941E-2"/>
    <x v="1"/>
  </r>
  <r>
    <x v="209"/>
    <n v="15.7"/>
    <x v="167"/>
    <x v="50"/>
    <x v="50"/>
    <n v="4016284"/>
    <n v="-1.1741682974559669E-2"/>
    <x v="1"/>
  </r>
  <r>
    <x v="210"/>
    <n v="15.29"/>
    <x v="163"/>
    <x v="168"/>
    <x v="170"/>
    <n v="3934432"/>
    <n v="-6.6006600660065773E-3"/>
    <x v="1"/>
  </r>
  <r>
    <x v="211"/>
    <n v="15.16"/>
    <x v="168"/>
    <x v="26"/>
    <x v="171"/>
    <n v="3887759"/>
    <n v="2.1262458471760698E-2"/>
    <x v="1"/>
  </r>
  <r>
    <x v="212"/>
    <n v="15.05"/>
    <x v="37"/>
    <x v="107"/>
    <x v="51"/>
    <n v="4146997"/>
    <n v="-1.9518542615484294E-3"/>
    <x v="1"/>
  </r>
  <r>
    <x v="213"/>
    <n v="15.33"/>
    <x v="55"/>
    <x v="171"/>
    <x v="112"/>
    <n v="3205215"/>
    <n v="-1.6949152542372867E-2"/>
    <x v="1"/>
  </r>
  <r>
    <x v="214"/>
    <n v="15.2"/>
    <x v="168"/>
    <x v="172"/>
    <x v="163"/>
    <n v="2263584"/>
    <n v="1.2599469496021188E-2"/>
    <x v="1"/>
  </r>
  <r>
    <x v="215"/>
    <n v="15.12"/>
    <x v="169"/>
    <x v="169"/>
    <x v="172"/>
    <n v="2207833"/>
    <n v="-1.5062213490504284E-2"/>
    <x v="1"/>
  </r>
  <r>
    <x v="216"/>
    <n v="15.22"/>
    <x v="163"/>
    <x v="173"/>
    <x v="173"/>
    <n v="2338301"/>
    <n v="-3.3244680851063123E-3"/>
    <x v="1"/>
  </r>
  <r>
    <x v="217"/>
    <n v="15.08"/>
    <x v="46"/>
    <x v="174"/>
    <x v="160"/>
    <n v="1880936"/>
    <n v="3.335557038025279E-3"/>
    <x v="1"/>
  </r>
  <r>
    <x v="218"/>
    <n v="15.03"/>
    <x v="170"/>
    <x v="175"/>
    <x v="173"/>
    <n v="1813540"/>
    <n v="0"/>
    <x v="1"/>
  </r>
  <r>
    <x v="219"/>
    <n v="15.07"/>
    <x v="171"/>
    <x v="12"/>
    <x v="173"/>
    <n v="2034328"/>
    <n v="-8.6436170212765302E-3"/>
    <x v="1"/>
  </r>
  <r>
    <x v="220"/>
    <n v="15.03"/>
    <x v="172"/>
    <x v="174"/>
    <x v="174"/>
    <n v="2267147"/>
    <n v="-2.0120724346076031E-3"/>
    <x v="1"/>
  </r>
  <r>
    <x v="221"/>
    <n v="14.96"/>
    <x v="173"/>
    <x v="176"/>
    <x v="145"/>
    <n v="1787127"/>
    <n v="1.3440860215053476E-3"/>
    <x v="1"/>
  </r>
  <r>
    <x v="222"/>
    <n v="14.92"/>
    <x v="159"/>
    <x v="177"/>
    <x v="56"/>
    <n v="1714467"/>
    <n v="6.7114093959731299E-3"/>
    <x v="1"/>
  </r>
  <r>
    <x v="223"/>
    <n v="14.9"/>
    <x v="174"/>
    <x v="178"/>
    <x v="175"/>
    <n v="1659530"/>
    <n v="-9.3333333333333705E-3"/>
    <x v="1"/>
  </r>
  <r>
    <x v="224"/>
    <n v="14.94"/>
    <x v="174"/>
    <x v="176"/>
    <x v="176"/>
    <n v="2065493"/>
    <n v="8.7483176312248175E-3"/>
    <x v="1"/>
  </r>
  <r>
    <x v="225"/>
    <n v="14.95"/>
    <x v="47"/>
    <x v="176"/>
    <x v="160"/>
    <n v="4784418"/>
    <n v="-1.0006671114076075E-2"/>
    <x v="1"/>
  </r>
  <r>
    <x v="226"/>
    <n v="15.14"/>
    <x v="161"/>
    <x v="179"/>
    <x v="110"/>
    <n v="2570693"/>
    <n v="-7.4123989218328459E-3"/>
    <x v="1"/>
  </r>
  <r>
    <x v="227"/>
    <n v="14.87"/>
    <x v="150"/>
    <x v="48"/>
    <x v="177"/>
    <n v="1762519"/>
    <n v="-4.0733197556008481E-3"/>
    <x v="1"/>
  </r>
  <r>
    <x v="228"/>
    <n v="14.81"/>
    <x v="175"/>
    <x v="153"/>
    <x v="33"/>
    <n v="2238992"/>
    <n v="-2.1813224267212016E-2"/>
    <x v="1"/>
  </r>
  <r>
    <x v="229"/>
    <n v="14.68"/>
    <x v="176"/>
    <x v="36"/>
    <x v="17"/>
    <n v="3266334"/>
    <n v="-1.8118466898954688E-2"/>
    <x v="1"/>
  </r>
  <r>
    <x v="230"/>
    <n v="14.41"/>
    <x v="133"/>
    <x v="180"/>
    <x v="178"/>
    <n v="3168862"/>
    <n v="2.8388928317956653E-3"/>
    <x v="1"/>
  </r>
  <r>
    <x v="231"/>
    <n v="14.03"/>
    <x v="177"/>
    <x v="181"/>
    <x v="179"/>
    <n v="3276548"/>
    <n v="-5.3078556263269634E-2"/>
    <x v="1"/>
  </r>
  <r>
    <x v="232"/>
    <n v="13.93"/>
    <x v="178"/>
    <x v="182"/>
    <x v="180"/>
    <n v="7943138"/>
    <n v="-1.4200298953662278E-2"/>
    <x v="1"/>
  </r>
  <r>
    <x v="233"/>
    <n v="13.49"/>
    <x v="68"/>
    <x v="183"/>
    <x v="181"/>
    <n v="5977413"/>
    <n v="2.5018953752843069E-2"/>
    <x v="1"/>
  </r>
  <r>
    <x v="234"/>
    <n v="13.27"/>
    <x v="68"/>
    <x v="69"/>
    <x v="182"/>
    <n v="4390572"/>
    <n v="-5.1775147928994295E-3"/>
    <x v="1"/>
  </r>
  <r>
    <x v="235"/>
    <n v="13.7"/>
    <x v="179"/>
    <x v="101"/>
    <x v="155"/>
    <n v="3640923"/>
    <n v="-2.1561338289962761E-2"/>
    <x v="1"/>
  </r>
  <r>
    <x v="236"/>
    <n v="13.3"/>
    <x v="180"/>
    <x v="184"/>
    <x v="183"/>
    <n v="3377946"/>
    <n v="-1.5197568389057697E-2"/>
    <x v="1"/>
  </r>
  <r>
    <x v="237"/>
    <n v="13.27"/>
    <x v="180"/>
    <x v="185"/>
    <x v="184"/>
    <n v="3756992"/>
    <n v="2.006172839506171E-2"/>
    <x v="1"/>
  </r>
  <r>
    <x v="238"/>
    <n v="13"/>
    <x v="67"/>
    <x v="186"/>
    <x v="185"/>
    <n v="3715161"/>
    <n v="-1.1346444780635427E-2"/>
    <x v="1"/>
  </r>
  <r>
    <x v="239"/>
    <n v="13.14"/>
    <x v="181"/>
    <x v="187"/>
    <x v="186"/>
    <n v="3589379"/>
    <n v="1.5302218821728825E-3"/>
    <x v="1"/>
  </r>
  <r>
    <x v="240"/>
    <n v="13.05"/>
    <x v="71"/>
    <x v="188"/>
    <x v="69"/>
    <n v="2259231"/>
    <n v="2.062643239113824E-2"/>
    <x v="1"/>
  </r>
  <r>
    <x v="241"/>
    <n v="13.1"/>
    <x v="182"/>
    <x v="184"/>
    <x v="187"/>
    <n v="3085115"/>
    <n v="2.4700598802395217E-2"/>
    <x v="1"/>
  </r>
  <r>
    <x v="242"/>
    <n v="13.36"/>
    <x v="183"/>
    <x v="69"/>
    <x v="98"/>
    <n v="3107808"/>
    <n v="5.1132213294375669E-3"/>
    <x v="1"/>
  </r>
  <r>
    <x v="243"/>
    <n v="13.8"/>
    <x v="99"/>
    <x v="134"/>
    <x v="188"/>
    <n v="2299498"/>
    <n v="-8.7209302325580822E-3"/>
    <x v="1"/>
  </r>
  <r>
    <x v="244"/>
    <n v="13.79"/>
    <x v="184"/>
    <x v="21"/>
    <x v="137"/>
    <n v="2410488"/>
    <n v="2.9325513196480314E-3"/>
    <x v="1"/>
  </r>
  <r>
    <x v="245"/>
    <n v="13.76"/>
    <x v="185"/>
    <x v="189"/>
    <x v="101"/>
    <n v="2633503"/>
    <n v="5.8479532163742748E-3"/>
    <x v="1"/>
  </r>
  <r>
    <x v="246"/>
    <n v="13.76"/>
    <x v="186"/>
    <x v="61"/>
    <x v="188"/>
    <n v="2382902"/>
    <n v="5.0872093023256017E-3"/>
    <x v="1"/>
  </r>
  <r>
    <x v="247"/>
    <n v="13.73"/>
    <x v="187"/>
    <x v="190"/>
    <x v="102"/>
    <n v="2905229"/>
    <n v="7.2306579898770533E-3"/>
    <x v="1"/>
  </r>
  <r>
    <x v="248"/>
    <n v="13.77"/>
    <x v="178"/>
    <x v="30"/>
    <x v="134"/>
    <n v="2394358"/>
    <n v="-1.5075376884422044E-2"/>
    <x v="1"/>
  </r>
  <r>
    <x v="249"/>
    <n v="13.98"/>
    <x v="64"/>
    <x v="191"/>
    <x v="189"/>
    <n v="3373180"/>
    <n v="2.1865889212827521E-3"/>
    <x v="1"/>
  </r>
  <r>
    <x v="250"/>
    <n v="13.83"/>
    <x v="188"/>
    <x v="192"/>
    <x v="63"/>
    <n v="2088374"/>
    <n v="-2.6909090909090851E-2"/>
    <x v="1"/>
  </r>
  <r>
    <x v="251"/>
    <n v="13.71"/>
    <x v="186"/>
    <x v="182"/>
    <x v="180"/>
    <n v="2727029"/>
    <n v="1.644245142002981E-2"/>
    <x v="1"/>
  </r>
  <r>
    <x v="252"/>
    <n v="13.48"/>
    <x v="65"/>
    <x v="193"/>
    <x v="190"/>
    <n v="2586273"/>
    <n v="4.7794117647058848E-2"/>
    <x v="1"/>
  </r>
  <r>
    <x v="253"/>
    <n v="14.15"/>
    <x v="15"/>
    <x v="194"/>
    <x v="20"/>
    <n v="5999892"/>
    <n v="-1.1228070175438606E-2"/>
    <x v="1"/>
  </r>
  <r>
    <x v="254"/>
    <n v="14.21"/>
    <x v="100"/>
    <x v="14"/>
    <x v="178"/>
    <n v="3541481"/>
    <n v="-1.3484740951029063E-2"/>
    <x v="1"/>
  </r>
  <r>
    <x v="255"/>
    <n v="14.15"/>
    <x v="136"/>
    <x v="132"/>
    <x v="191"/>
    <n v="1877534"/>
    <n v="-3.5971223021582732E-2"/>
    <x v="1"/>
  </r>
  <r>
    <x v="256"/>
    <n v="13.5"/>
    <x v="189"/>
    <x v="195"/>
    <x v="97"/>
    <n v="4703402"/>
    <n v="-2.1641791044776187E-2"/>
    <x v="1"/>
  </r>
  <r>
    <x v="257"/>
    <n v="13.4"/>
    <x v="67"/>
    <x v="154"/>
    <x v="152"/>
    <n v="3493018"/>
    <n v="2.212051868802448E-2"/>
    <x v="1"/>
  </r>
  <r>
    <x v="258"/>
    <n v="13.42"/>
    <x v="189"/>
    <x v="196"/>
    <x v="97"/>
    <n v="3316297"/>
    <n v="-4.4776119402985442E-3"/>
    <x v="1"/>
  </r>
  <r>
    <x v="259"/>
    <n v="13.46"/>
    <x v="190"/>
    <x v="197"/>
    <x v="192"/>
    <n v="2328422"/>
    <n v="6.7466266866566607E-3"/>
    <x v="1"/>
  </r>
  <r>
    <x v="260"/>
    <n v="13.4"/>
    <x v="191"/>
    <x v="198"/>
    <x v="193"/>
    <n v="1970689"/>
    <n v="-5.9568131049888362E-3"/>
    <x v="1"/>
  </r>
  <r>
    <x v="261"/>
    <n v="13.37"/>
    <x v="192"/>
    <x v="199"/>
    <x v="62"/>
    <n v="2495413"/>
    <n v="-1.8726591760299626E-2"/>
    <x v="1"/>
  </r>
  <r>
    <x v="262"/>
    <n v="13.38"/>
    <x v="193"/>
    <x v="184"/>
    <x v="194"/>
    <n v="4269850"/>
    <n v="-1.2977099236641216E-2"/>
    <x v="1"/>
  </r>
  <r>
    <x v="263"/>
    <n v="13.14"/>
    <x v="181"/>
    <x v="200"/>
    <x v="195"/>
    <n v="4554080"/>
    <n v="2.6295436968290786E-2"/>
    <x v="1"/>
  </r>
  <r>
    <x v="264"/>
    <n v="13.07"/>
    <x v="75"/>
    <x v="201"/>
    <x v="196"/>
    <n v="5680475"/>
    <n v="2.2607385079125901E-2"/>
    <x v="1"/>
  </r>
  <r>
    <x v="265"/>
    <n v="13.32"/>
    <x v="194"/>
    <x v="202"/>
    <x v="197"/>
    <n v="6991183"/>
    <n v="-2.2107590272660332E-2"/>
    <x v="1"/>
  </r>
  <r>
    <x v="266"/>
    <n v="13.47"/>
    <x v="195"/>
    <x v="199"/>
    <x v="196"/>
    <n v="5072877"/>
    <n v="5.2750565184627191E-3"/>
    <x v="1"/>
  </r>
  <r>
    <x v="267"/>
    <n v="13.24"/>
    <x v="196"/>
    <x v="98"/>
    <x v="192"/>
    <n v="2943402"/>
    <n v="1.3493253373313321E-2"/>
    <x v="1"/>
  </r>
  <r>
    <x v="268"/>
    <n v="13.4"/>
    <x v="96"/>
    <x v="195"/>
    <x v="182"/>
    <n v="2751562"/>
    <n v="-2.2189349112425563E-3"/>
    <x v="1"/>
  </r>
  <r>
    <x v="269"/>
    <n v="13.53"/>
    <x v="197"/>
    <x v="203"/>
    <x v="198"/>
    <n v="2445014"/>
    <n v="-7.4128984432911683E-4"/>
    <x v="1"/>
  </r>
  <r>
    <x v="270"/>
    <n v="13.4"/>
    <x v="68"/>
    <x v="204"/>
    <x v="199"/>
    <n v="5632841"/>
    <n v="8.9020771513352529E-3"/>
    <x v="1"/>
  </r>
  <r>
    <x v="271"/>
    <n v="14.09"/>
    <x v="20"/>
    <x v="189"/>
    <x v="190"/>
    <n v="13093744"/>
    <n v="-1.9852941176470556E-2"/>
    <x v="1"/>
  </r>
  <r>
    <x v="272"/>
    <n v="13.6"/>
    <x v="198"/>
    <x v="205"/>
    <x v="67"/>
    <n v="4280141"/>
    <n v="-1.1252813203300852E-2"/>
    <x v="1"/>
  </r>
  <r>
    <x v="273"/>
    <n v="13.5"/>
    <x v="182"/>
    <x v="154"/>
    <x v="200"/>
    <n v="4692273"/>
    <n v="-3.4901365705614501E-2"/>
    <x v="1"/>
  </r>
  <r>
    <x v="274"/>
    <n v="13.2"/>
    <x v="181"/>
    <x v="74"/>
    <x v="201"/>
    <n v="7060036"/>
    <n v="-1.4937106918239093E-2"/>
    <x v="1"/>
  </r>
  <r>
    <x v="275"/>
    <n v="12.67"/>
    <x v="199"/>
    <x v="206"/>
    <x v="202"/>
    <n v="4253382"/>
    <n v="-3.1923383878690462E-3"/>
    <x v="1"/>
  </r>
  <r>
    <x v="276"/>
    <n v="12.6"/>
    <x v="200"/>
    <x v="207"/>
    <x v="203"/>
    <n v="2653023"/>
    <n v="1.6813450760608414E-2"/>
    <x v="1"/>
  </r>
  <r>
    <x v="277"/>
    <n v="12.6"/>
    <x v="201"/>
    <x v="208"/>
    <x v="204"/>
    <n v="5146043"/>
    <n v="1.4173228346456811E-2"/>
    <x v="1"/>
  </r>
  <r>
    <x v="278"/>
    <n v="12.91"/>
    <x v="202"/>
    <x v="209"/>
    <x v="153"/>
    <n v="3870112"/>
    <n v="9.3167701863353432E-3"/>
    <x v="1"/>
  </r>
  <r>
    <x v="279"/>
    <n v="12.92"/>
    <x v="152"/>
    <x v="67"/>
    <x v="205"/>
    <n v="3267580"/>
    <n v="-2.5384615384615391E-2"/>
    <x v="1"/>
  </r>
  <r>
    <x v="280"/>
    <n v="12.46"/>
    <x v="92"/>
    <x v="210"/>
    <x v="206"/>
    <n v="8173065"/>
    <n v="-2.4467245461720639E-2"/>
    <x v="1"/>
  </r>
  <r>
    <x v="281"/>
    <n v="12.74"/>
    <x v="203"/>
    <x v="211"/>
    <x v="207"/>
    <n v="6750341"/>
    <n v="1.6990291262135991E-2"/>
    <x v="1"/>
  </r>
  <r>
    <x v="282"/>
    <n v="12.28"/>
    <x v="204"/>
    <x v="212"/>
    <x v="208"/>
    <n v="3988504"/>
    <n v="-3.7390612569610231E-2"/>
    <x v="1"/>
  </r>
  <r>
    <x v="283"/>
    <n v="12.53"/>
    <x v="205"/>
    <x v="213"/>
    <x v="209"/>
    <n v="6552205"/>
    <n v="1.2396694214876063E-2"/>
    <x v="1"/>
  </r>
  <r>
    <x v="284"/>
    <n v="12.19"/>
    <x v="206"/>
    <x v="214"/>
    <x v="210"/>
    <n v="3902018"/>
    <n v="8.1632653061222747E-4"/>
    <x v="1"/>
  </r>
  <r>
    <x v="285"/>
    <n v="12.18"/>
    <x v="207"/>
    <x v="215"/>
    <x v="211"/>
    <n v="3434437"/>
    <n v="2.6101141924959239E-2"/>
    <x v="1"/>
  </r>
  <r>
    <x v="286"/>
    <n v="12.23"/>
    <x v="208"/>
    <x v="214"/>
    <x v="212"/>
    <n v="4887067"/>
    <n v="-1.987281399046105E-2"/>
    <x v="1"/>
  </r>
  <r>
    <x v="287"/>
    <n v="12.71"/>
    <x v="76"/>
    <x v="93"/>
    <x v="213"/>
    <n v="5210347"/>
    <n v="-2.4330900243308483E-3"/>
    <x v="1"/>
  </r>
  <r>
    <x v="288"/>
    <n v="12.34"/>
    <x v="204"/>
    <x v="216"/>
    <x v="214"/>
    <n v="4361043"/>
    <n v="3.5772357723577196E-2"/>
    <x v="1"/>
  </r>
  <r>
    <x v="289"/>
    <n v="12.39"/>
    <x v="200"/>
    <x v="217"/>
    <x v="215"/>
    <n v="5603361"/>
    <n v="1.0989010989011033E-2"/>
    <x v="1"/>
  </r>
  <r>
    <x v="290"/>
    <n v="12.71"/>
    <x v="209"/>
    <x v="218"/>
    <x v="153"/>
    <n v="4891893"/>
    <n v="1.7857142857142752E-2"/>
    <x v="1"/>
  </r>
  <r>
    <x v="291"/>
    <n v="12.91"/>
    <x v="210"/>
    <x v="185"/>
    <x v="152"/>
    <n v="2366098"/>
    <n v="-3.0511060259343363E-3"/>
    <x v="1"/>
  </r>
  <r>
    <x v="292"/>
    <n v="13.03"/>
    <x v="211"/>
    <x v="219"/>
    <x v="186"/>
    <n v="4529182"/>
    <n v="-3.2899770466717652E-2"/>
    <x v="1"/>
  </r>
  <r>
    <x v="293"/>
    <n v="13.04"/>
    <x v="212"/>
    <x v="220"/>
    <x v="216"/>
    <n v="4439256"/>
    <n v="-7.9113924050631219E-4"/>
    <x v="1"/>
  </r>
  <r>
    <x v="294"/>
    <n v="12.73"/>
    <x v="213"/>
    <x v="206"/>
    <x v="217"/>
    <n v="3547104"/>
    <n v="-3.9588281868566902E-2"/>
    <x v="1"/>
  </r>
  <r>
    <x v="295"/>
    <n v="12.55"/>
    <x v="91"/>
    <x v="221"/>
    <x v="218"/>
    <n v="5126401"/>
    <n v="-2.4732069249794836E-3"/>
    <x v="1"/>
  </r>
  <r>
    <x v="296"/>
    <n v="12.19"/>
    <x v="214"/>
    <x v="222"/>
    <x v="209"/>
    <n v="4042324"/>
    <n v="2.8925619834710717E-2"/>
    <x v="1"/>
  </r>
  <r>
    <x v="297"/>
    <n v="12.17"/>
    <x v="204"/>
    <x v="223"/>
    <x v="219"/>
    <n v="4072239"/>
    <n v="-4.8192771084336321E-3"/>
    <x v="1"/>
  </r>
  <r>
    <x v="298"/>
    <n v="12.37"/>
    <x v="215"/>
    <x v="75"/>
    <x v="220"/>
    <n v="3391622"/>
    <n v="3.9548022598870074E-2"/>
    <x v="1"/>
  </r>
  <r>
    <x v="299"/>
    <n v="12.41"/>
    <x v="216"/>
    <x v="93"/>
    <x v="153"/>
    <n v="5461851"/>
    <n v="-4.6583850931677401E-3"/>
    <x v="1"/>
  </r>
  <r>
    <x v="300"/>
    <n v="12.8"/>
    <x v="217"/>
    <x v="224"/>
    <x v="221"/>
    <n v="3194148"/>
    <n v="-7.8003120124803325E-4"/>
    <x v="1"/>
  </r>
  <r>
    <x v="301"/>
    <n v="12.72"/>
    <x v="74"/>
    <x v="225"/>
    <x v="222"/>
    <n v="2722505"/>
    <n v="1.5612802498048066E-3"/>
    <x v="1"/>
  </r>
  <r>
    <x v="302"/>
    <n v="12.85"/>
    <x v="218"/>
    <x v="226"/>
    <x v="223"/>
    <n v="2438876"/>
    <n v="2.9618082618862104E-2"/>
    <x v="1"/>
  </r>
  <r>
    <x v="303"/>
    <n v="12.88"/>
    <x v="67"/>
    <x v="227"/>
    <x v="224"/>
    <n v="6823884"/>
    <n v="3.0280090840271875E-3"/>
    <x v="1"/>
  </r>
  <r>
    <x v="304"/>
    <n v="13.25"/>
    <x v="195"/>
    <x v="228"/>
    <x v="66"/>
    <n v="4150927"/>
    <n v="-6.0377358490566095E-3"/>
    <x v="1"/>
  </r>
  <r>
    <x v="305"/>
    <n v="13.23"/>
    <x v="219"/>
    <x v="98"/>
    <x v="225"/>
    <n v="3219567"/>
    <n v="2.5056947608200462E-2"/>
    <x v="1"/>
  </r>
  <r>
    <x v="306"/>
    <n v="13.21"/>
    <x v="220"/>
    <x v="97"/>
    <x v="68"/>
    <n v="3796889"/>
    <n v="1.48148148148145E-3"/>
    <x v="1"/>
  </r>
  <r>
    <x v="307"/>
    <n v="13.5"/>
    <x v="221"/>
    <x v="205"/>
    <x v="182"/>
    <n v="3488071"/>
    <n v="2.9585798816568074E-2"/>
    <x v="1"/>
  </r>
  <r>
    <x v="308"/>
    <n v="13.54"/>
    <x v="222"/>
    <x v="229"/>
    <x v="226"/>
    <n v="4689071"/>
    <n v="-5.0287356321839288E-3"/>
    <x v="1"/>
  </r>
  <r>
    <x v="309"/>
    <n v="13.9"/>
    <x v="223"/>
    <x v="18"/>
    <x v="227"/>
    <n v="5207622"/>
    <n v="3.6101083032491488E-3"/>
    <x v="1"/>
  </r>
  <r>
    <x v="310"/>
    <n v="13.88"/>
    <x v="64"/>
    <x v="30"/>
    <x v="191"/>
    <n v="3111108"/>
    <n v="2.3021582733812971E-2"/>
    <x v="1"/>
  </r>
  <r>
    <x v="311"/>
    <n v="13.87"/>
    <x v="19"/>
    <x v="16"/>
    <x v="228"/>
    <n v="4670464"/>
    <n v="2.9535864978902947E-2"/>
    <x v="1"/>
  </r>
  <r>
    <x v="312"/>
    <n v="14.33"/>
    <x v="224"/>
    <x v="230"/>
    <x v="142"/>
    <n v="5915732"/>
    <n v="6.8306010928960285E-4"/>
    <x v="1"/>
  </r>
  <r>
    <x v="313"/>
    <n v="14.77"/>
    <x v="150"/>
    <x v="231"/>
    <x v="151"/>
    <n v="3782456"/>
    <n v="-2.3208191126279854E-2"/>
    <x v="1"/>
  </r>
  <r>
    <x v="314"/>
    <n v="14.57"/>
    <x v="36"/>
    <x v="232"/>
    <x v="229"/>
    <n v="4044968"/>
    <n v="-4.1928721174004542E-3"/>
    <x v="1"/>
  </r>
  <r>
    <x v="315"/>
    <n v="14.42"/>
    <x v="225"/>
    <x v="233"/>
    <x v="20"/>
    <n v="4642620"/>
    <n v="1.5438596491228114E-2"/>
    <x v="1"/>
  </r>
  <r>
    <x v="316"/>
    <n v="14.32"/>
    <x v="176"/>
    <x v="234"/>
    <x v="45"/>
    <n v="5923254"/>
    <n v="4.5611610228058062E-2"/>
    <x v="2"/>
  </r>
  <r>
    <x v="317"/>
    <n v="14.32"/>
    <x v="147"/>
    <x v="230"/>
    <x v="11"/>
    <n v="11213471"/>
    <n v="-6.6093853271656066E-4"/>
    <x v="2"/>
  </r>
  <r>
    <x v="318"/>
    <n v="15.09"/>
    <x v="46"/>
    <x v="107"/>
    <x v="230"/>
    <n v="5911695"/>
    <n v="9.9206349206349444E-3"/>
    <x v="2"/>
  </r>
  <r>
    <x v="319"/>
    <n v="15.13"/>
    <x v="226"/>
    <x v="235"/>
    <x v="172"/>
    <n v="5527893"/>
    <n v="9.8231827111984523E-3"/>
    <x v="2"/>
  </r>
  <r>
    <x v="320"/>
    <n v="15.26"/>
    <x v="54"/>
    <x v="104"/>
    <x v="231"/>
    <n v="3979484"/>
    <n v="-6.4850843060959562E-3"/>
    <x v="2"/>
  </r>
  <r>
    <x v="321"/>
    <n v="15.47"/>
    <x v="55"/>
    <x v="37"/>
    <x v="113"/>
    <n v="3659955"/>
    <n v="0"/>
    <x v="2"/>
  </r>
  <r>
    <x v="322"/>
    <n v="15.27"/>
    <x v="166"/>
    <x v="169"/>
    <x v="113"/>
    <n v="3650825"/>
    <n v="-6.5274151436029934E-4"/>
    <x v="2"/>
  </r>
  <r>
    <x v="323"/>
    <n v="15.27"/>
    <x v="5"/>
    <x v="55"/>
    <x v="36"/>
    <n v="3790229"/>
    <n v="3.5271064663618491E-2"/>
    <x v="2"/>
  </r>
  <r>
    <x v="324"/>
    <n v="15.33"/>
    <x v="227"/>
    <x v="52"/>
    <x v="232"/>
    <n v="6092960"/>
    <n v="-8.8328075709778412E-3"/>
    <x v="2"/>
  </r>
  <r>
    <x v="325"/>
    <n v="15.78"/>
    <x v="228"/>
    <x v="236"/>
    <x v="233"/>
    <n v="4617522"/>
    <n v="1.1457670273710993E-2"/>
    <x v="2"/>
  </r>
  <r>
    <x v="326"/>
    <n v="15.78"/>
    <x v="229"/>
    <x v="3"/>
    <x v="108"/>
    <n v="3768967"/>
    <n v="2.2655758338577685E-2"/>
    <x v="2"/>
  </r>
  <r>
    <x v="327"/>
    <n v="16.48"/>
    <x v="230"/>
    <x v="237"/>
    <x v="234"/>
    <n v="7732303"/>
    <n v="4.3076923076923249E-3"/>
    <x v="2"/>
  </r>
  <r>
    <x v="328"/>
    <n v="16.36"/>
    <x v="231"/>
    <x v="238"/>
    <x v="235"/>
    <n v="4204275"/>
    <n v="1.6544117647058796E-2"/>
    <x v="2"/>
  </r>
  <r>
    <x v="329"/>
    <n v="16.39"/>
    <x v="124"/>
    <x v="239"/>
    <x v="236"/>
    <n v="6262938"/>
    <n v="2.2905364677516516E-2"/>
    <x v="2"/>
  </r>
  <r>
    <x v="330"/>
    <n v="16.670000000000002"/>
    <x v="232"/>
    <x v="240"/>
    <x v="122"/>
    <n v="4965451"/>
    <n v="-5.8927519151432003E-4"/>
    <x v="2"/>
  </r>
  <r>
    <x v="331"/>
    <n v="17.149999999999999"/>
    <x v="233"/>
    <x v="241"/>
    <x v="237"/>
    <n v="5146361"/>
    <n v="-7.6650943396227916E-3"/>
    <x v="2"/>
  </r>
  <r>
    <x v="332"/>
    <n v="16.95"/>
    <x v="127"/>
    <x v="125"/>
    <x v="238"/>
    <n v="3152123"/>
    <n v="1.7825311942959679E-3"/>
    <x v="2"/>
  </r>
  <r>
    <x v="333"/>
    <n v="16.760000000000002"/>
    <x v="234"/>
    <x v="242"/>
    <x v="239"/>
    <n v="3166336"/>
    <n v="-8.8967971530248269E-3"/>
    <x v="2"/>
  </r>
  <r>
    <x v="334"/>
    <n v="16.84"/>
    <x v="235"/>
    <x v="243"/>
    <x v="240"/>
    <n v="3801074"/>
    <n v="5.3859964093357186E-3"/>
    <x v="2"/>
  </r>
  <r>
    <x v="335"/>
    <n v="16.62"/>
    <x v="236"/>
    <x v="244"/>
    <x v="241"/>
    <n v="4116104"/>
    <n v="-1.0714285714285697E-2"/>
    <x v="2"/>
  </r>
  <r>
    <x v="336"/>
    <n v="16.87"/>
    <x v="237"/>
    <x v="245"/>
    <x v="242"/>
    <n v="3958829"/>
    <n v="9.0252707581226568E-3"/>
    <x v="2"/>
  </r>
  <r>
    <x v="337"/>
    <n v="16.559999999999999"/>
    <x v="238"/>
    <x v="244"/>
    <x v="243"/>
    <n v="2499775"/>
    <n v="-5.9630292188419859E-4"/>
    <x v="2"/>
  </r>
  <r>
    <x v="338"/>
    <n v="16.79"/>
    <x v="111"/>
    <x v="246"/>
    <x v="128"/>
    <n v="2186723"/>
    <n v="2.5059665871121607E-2"/>
    <x v="2"/>
  </r>
  <r>
    <x v="339"/>
    <n v="16.73"/>
    <x v="239"/>
    <x v="247"/>
    <x v="244"/>
    <n v="3562517"/>
    <n v="-5.8207217694982599E-4"/>
    <x v="2"/>
  </r>
  <r>
    <x v="340"/>
    <n v="17.21"/>
    <x v="240"/>
    <x v="248"/>
    <x v="245"/>
    <n v="4244775"/>
    <n v="1.7472335468840833E-2"/>
    <x v="2"/>
  </r>
  <r>
    <x v="341"/>
    <n v="17.16"/>
    <x v="241"/>
    <x v="249"/>
    <x v="246"/>
    <n v="3933014"/>
    <n v="2.7475672581568428E-2"/>
    <x v="2"/>
  </r>
  <r>
    <x v="342"/>
    <n v="17.75"/>
    <x v="242"/>
    <x v="250"/>
    <x v="247"/>
    <n v="7820222"/>
    <n v="0"/>
    <x v="2"/>
  </r>
  <r>
    <x v="343"/>
    <n v="17.989999999999998"/>
    <x v="243"/>
    <x v="250"/>
    <x v="247"/>
    <n v="3619739"/>
    <n v="4.2339832869080871E-2"/>
    <x v="2"/>
  </r>
  <r>
    <x v="344"/>
    <n v="18.05"/>
    <x v="244"/>
    <x v="251"/>
    <x v="248"/>
    <n v="7029605"/>
    <n v="1.0689470871191647E-3"/>
    <x v="2"/>
  </r>
  <r>
    <x v="345"/>
    <n v="18.600000000000001"/>
    <x v="245"/>
    <x v="252"/>
    <x v="249"/>
    <n v="7345224"/>
    <n v="-4.2712226374800773E-3"/>
    <x v="2"/>
  </r>
  <r>
    <x v="346"/>
    <n v="18.670000000000002"/>
    <x v="246"/>
    <x v="253"/>
    <x v="250"/>
    <n v="4947856"/>
    <n v="-3.8605898123324336E-2"/>
    <x v="2"/>
  </r>
  <r>
    <x v="347"/>
    <n v="18.510000000000002"/>
    <x v="247"/>
    <x v="254"/>
    <x v="251"/>
    <n v="7077322"/>
    <n v="1.2269938650306685E-2"/>
    <x v="2"/>
  </r>
  <r>
    <x v="348"/>
    <n v="17.72"/>
    <x v="248"/>
    <x v="255"/>
    <x v="252"/>
    <n v="6257149"/>
    <n v="1.8732782369145998E-2"/>
    <x v="2"/>
  </r>
  <r>
    <x v="349"/>
    <n v="18.36"/>
    <x v="249"/>
    <x v="256"/>
    <x v="253"/>
    <n v="5676747"/>
    <n v="-1.406165494862077E-2"/>
    <x v="2"/>
  </r>
  <r>
    <x v="350"/>
    <n v="18.690000000000001"/>
    <x v="250"/>
    <x v="257"/>
    <x v="254"/>
    <n v="8754975"/>
    <n v="-6.3631376851343943E-2"/>
    <x v="2"/>
  </r>
  <r>
    <x v="351"/>
    <n v="17.600000000000001"/>
    <x v="251"/>
    <x v="258"/>
    <x v="255"/>
    <n v="14915249"/>
    <n v="3.5149384885763751E-3"/>
    <x v="2"/>
  </r>
  <r>
    <x v="352"/>
    <n v="16.84"/>
    <x v="121"/>
    <x v="259"/>
    <x v="256"/>
    <n v="8171626"/>
    <n v="-4.1447752481027285E-2"/>
    <x v="2"/>
  </r>
  <r>
    <x v="353"/>
    <n v="16.54"/>
    <x v="130"/>
    <x v="260"/>
    <x v="257"/>
    <n v="11460810"/>
    <n v="1.5225334957369061E-2"/>
    <x v="2"/>
  </r>
  <r>
    <x v="354"/>
    <n v="16.28"/>
    <x v="124"/>
    <x v="261"/>
    <x v="119"/>
    <n v="6078145"/>
    <n v="0"/>
    <x v="2"/>
  </r>
  <r>
    <x v="355"/>
    <n v="16.95"/>
    <x v="232"/>
    <x v="119"/>
    <x v="119"/>
    <n v="4809488"/>
    <n v="1.7996400719854579E-3"/>
    <x v="2"/>
  </r>
  <r>
    <x v="356"/>
    <n v="16.649999999999999"/>
    <x v="252"/>
    <x v="262"/>
    <x v="258"/>
    <n v="3351833"/>
    <n v="4.1916167664670829E-3"/>
    <x v="2"/>
  </r>
  <r>
    <x v="357"/>
    <n v="16.72"/>
    <x v="117"/>
    <x v="245"/>
    <x v="243"/>
    <n v="2929234"/>
    <n v="-1.192605843768609E-3"/>
    <x v="2"/>
  </r>
  <r>
    <x v="358"/>
    <n v="16.53"/>
    <x v="253"/>
    <x v="127"/>
    <x v="259"/>
    <n v="3355500"/>
    <n v="-1.0746268656716402E-2"/>
    <x v="2"/>
  </r>
  <r>
    <x v="359"/>
    <n v="16.79"/>
    <x v="125"/>
    <x v="262"/>
    <x v="260"/>
    <n v="3459470"/>
    <n v="-6.6385033192516256E-3"/>
    <x v="2"/>
  </r>
  <r>
    <x v="360"/>
    <n v="16.47"/>
    <x v="254"/>
    <x v="116"/>
    <x v="261"/>
    <n v="3728649"/>
    <n v="-7.8979343863914073E-3"/>
    <x v="2"/>
  </r>
  <r>
    <x v="361"/>
    <n v="16.510000000000002"/>
    <x v="230"/>
    <x v="238"/>
    <x v="262"/>
    <n v="3879293"/>
    <n v="-4.898958971218512E-3"/>
    <x v="2"/>
  </r>
  <r>
    <x v="362"/>
    <n v="16.41"/>
    <x v="255"/>
    <x v="238"/>
    <x v="234"/>
    <n v="3066272"/>
    <n v="9.8461538461538552E-3"/>
    <x v="2"/>
  </r>
  <r>
    <x v="363"/>
    <n v="16.29"/>
    <x v="256"/>
    <x v="263"/>
    <x v="2"/>
    <n v="3022625"/>
    <n v="4.8141377209018836E-2"/>
    <x v="2"/>
  </r>
  <r>
    <x v="364"/>
    <n v="16.41"/>
    <x v="257"/>
    <x v="264"/>
    <x v="263"/>
    <n v="7598446"/>
    <n v="-8.7209302325580579E-3"/>
    <x v="2"/>
  </r>
  <r>
    <x v="365"/>
    <n v="17.13"/>
    <x v="258"/>
    <x v="265"/>
    <x v="264"/>
    <n v="5330806"/>
    <n v="2.4633431085043879E-2"/>
    <x v="2"/>
  </r>
  <r>
    <x v="366"/>
    <n v="17.489999999999998"/>
    <x v="259"/>
    <x v="266"/>
    <x v="246"/>
    <n v="7132153"/>
    <n v="-2.2896393817973182E-3"/>
    <x v="2"/>
  </r>
  <r>
    <x v="367"/>
    <n v="17.600000000000001"/>
    <x v="260"/>
    <x v="267"/>
    <x v="265"/>
    <n v="6497496"/>
    <n v="1.7211703958692564E-3"/>
    <x v="2"/>
  </r>
  <r>
    <x v="368"/>
    <n v="17.37"/>
    <x v="251"/>
    <x v="268"/>
    <x v="266"/>
    <n v="3614294"/>
    <n v="-4.29553264604811E-2"/>
    <x v="2"/>
  </r>
  <r>
    <x v="369"/>
    <n v="17.52"/>
    <x v="261"/>
    <x v="259"/>
    <x v="240"/>
    <n v="6908554"/>
    <n v="1.7354877318970625E-2"/>
    <x v="2"/>
  </r>
  <r>
    <x v="370"/>
    <n v="16.77"/>
    <x v="128"/>
    <x v="269"/>
    <x v="267"/>
    <n v="4059297"/>
    <n v="-5.8823529411773906E-4"/>
    <x v="2"/>
  </r>
  <r>
    <x v="371"/>
    <n v="17.03"/>
    <x v="262"/>
    <x v="270"/>
    <x v="268"/>
    <n v="3320245"/>
    <n v="3.2371983519717526E-2"/>
    <x v="2"/>
  </r>
  <r>
    <x v="372"/>
    <n v="17.05"/>
    <x v="263"/>
    <x v="271"/>
    <x v="269"/>
    <n v="5647253"/>
    <n v="2.6795895096921461E-2"/>
    <x v="2"/>
  </r>
  <r>
    <x v="373"/>
    <n v="17.37"/>
    <x v="264"/>
    <x v="272"/>
    <x v="270"/>
    <n v="6230795"/>
    <n v="2.7207107162687306E-2"/>
    <x v="2"/>
  </r>
  <r>
    <x v="374"/>
    <n v="18.47"/>
    <x v="265"/>
    <x v="273"/>
    <x v="271"/>
    <n v="7987604"/>
    <n v="-5.4054054054062501E-4"/>
    <x v="2"/>
  </r>
  <r>
    <x v="375"/>
    <n v="18.559999999999999"/>
    <x v="266"/>
    <x v="274"/>
    <x v="253"/>
    <n v="3676157"/>
    <n v="2.1633315305572042E-3"/>
    <x v="2"/>
  </r>
  <r>
    <x v="376"/>
    <n v="18.54"/>
    <x v="267"/>
    <x v="275"/>
    <x v="272"/>
    <n v="4148426"/>
    <n v="1.0793308148947423E-3"/>
    <x v="2"/>
  </r>
  <r>
    <x v="377"/>
    <n v="18.579999999999998"/>
    <x v="268"/>
    <x v="276"/>
    <x v="273"/>
    <n v="3294640"/>
    <n v="7.2776280323450016E-2"/>
    <x v="2"/>
  </r>
  <r>
    <x v="378"/>
    <n v="19.13"/>
    <x v="269"/>
    <x v="277"/>
    <x v="274"/>
    <n v="13888618"/>
    <n v="1.7587939698492535E-2"/>
    <x v="2"/>
  </r>
  <r>
    <x v="379"/>
    <n v="19.79"/>
    <x v="270"/>
    <x v="278"/>
    <x v="275"/>
    <n v="10134556"/>
    <n v="-2.864197530864189E-2"/>
    <x v="2"/>
  </r>
  <r>
    <x v="380"/>
    <n v="20.14"/>
    <x v="271"/>
    <x v="279"/>
    <x v="276"/>
    <n v="7880938"/>
    <n v="1.2201321809862655E-2"/>
    <x v="2"/>
  </r>
  <r>
    <x v="381"/>
    <n v="19.79"/>
    <x v="272"/>
    <x v="279"/>
    <x v="277"/>
    <n v="5520588"/>
    <n v="1.3058764439979989E-2"/>
    <x v="2"/>
  </r>
  <r>
    <x v="382"/>
    <n v="19.829999999999998"/>
    <x v="273"/>
    <x v="280"/>
    <x v="278"/>
    <n v="4579613"/>
    <n v="3.2721864154685004E-2"/>
    <x v="2"/>
  </r>
  <r>
    <x v="383"/>
    <n v="20.61"/>
    <x v="274"/>
    <x v="281"/>
    <x v="279"/>
    <n v="7664458"/>
    <n v="-1.2001920307249161E-2"/>
    <x v="2"/>
  </r>
  <r>
    <x v="384"/>
    <n v="20.89"/>
    <x v="275"/>
    <x v="282"/>
    <x v="280"/>
    <n v="5724577"/>
    <n v="-3.8386783284742432E-2"/>
    <x v="2"/>
  </r>
  <r>
    <x v="385"/>
    <n v="20.420000000000002"/>
    <x v="276"/>
    <x v="283"/>
    <x v="281"/>
    <n v="6050682"/>
    <n v="2.42546740778171E-2"/>
    <x v="2"/>
  </r>
  <r>
    <x v="386"/>
    <n v="19.78"/>
    <x v="277"/>
    <x v="284"/>
    <x v="282"/>
    <n v="9284634"/>
    <n v="-8.3867784903797812E-3"/>
    <x v="2"/>
  </r>
  <r>
    <x v="387"/>
    <n v="20.18"/>
    <x v="278"/>
    <x v="285"/>
    <x v="283"/>
    <n v="4138736"/>
    <n v="-3.9800995024876539E-3"/>
    <x v="2"/>
  </r>
  <r>
    <x v="388"/>
    <n v="19.98"/>
    <x v="279"/>
    <x v="286"/>
    <x v="284"/>
    <n v="3035698"/>
    <n v="1.7482517482517553E-2"/>
    <x v="2"/>
  </r>
  <r>
    <x v="389"/>
    <n v="20.16"/>
    <x v="280"/>
    <x v="287"/>
    <x v="285"/>
    <n v="3898024"/>
    <n v="-9.8183603338242165E-3"/>
    <x v="2"/>
  </r>
  <r>
    <x v="390"/>
    <n v="20.43"/>
    <x v="281"/>
    <x v="288"/>
    <x v="278"/>
    <n v="6149352"/>
    <n v="9.9157164105106235E-3"/>
    <x v="2"/>
  </r>
  <r>
    <x v="391"/>
    <n v="20.13"/>
    <x v="282"/>
    <x v="289"/>
    <x v="285"/>
    <n v="4509756"/>
    <n v="8.3456062837505233E-3"/>
    <x v="2"/>
  </r>
  <r>
    <x v="392"/>
    <n v="20.61"/>
    <x v="283"/>
    <x v="290"/>
    <x v="286"/>
    <n v="5083505"/>
    <n v="1.8500486854917359E-2"/>
    <x v="2"/>
  </r>
  <r>
    <x v="393"/>
    <n v="20.53"/>
    <x v="284"/>
    <x v="291"/>
    <x v="287"/>
    <n v="6737708"/>
    <n v="-1.1472275334608125E-2"/>
    <x v="2"/>
  </r>
  <r>
    <x v="394"/>
    <n v="20.82"/>
    <x v="285"/>
    <x v="292"/>
    <x v="288"/>
    <n v="4695044"/>
    <n v="-4.8355899419729896E-3"/>
    <x v="2"/>
  </r>
  <r>
    <x v="395"/>
    <n v="20.78"/>
    <x v="286"/>
    <x v="293"/>
    <x v="280"/>
    <n v="3468569"/>
    <n v="1.7492711370262537E-2"/>
    <x v="2"/>
  </r>
  <r>
    <x v="396"/>
    <n v="20.66"/>
    <x v="287"/>
    <x v="294"/>
    <x v="289"/>
    <n v="4505478"/>
    <n v="2.7698185291308419E-2"/>
    <x v="2"/>
  </r>
  <r>
    <x v="397"/>
    <n v="20.99"/>
    <x v="288"/>
    <x v="295"/>
    <x v="290"/>
    <n v="8829565"/>
    <n v="-1.2081784386617007E-2"/>
    <x v="2"/>
  </r>
  <r>
    <x v="398"/>
    <n v="21.6"/>
    <x v="289"/>
    <x v="296"/>
    <x v="291"/>
    <n v="5382777"/>
    <n v="-2.492944496707437E-2"/>
    <x v="2"/>
  </r>
  <r>
    <x v="399"/>
    <n v="21.18"/>
    <x v="290"/>
    <x v="297"/>
    <x v="292"/>
    <n v="7133365"/>
    <n v="-4.968644476603961E-2"/>
    <x v="2"/>
  </r>
  <r>
    <x v="400"/>
    <n v="20.5"/>
    <x v="291"/>
    <x v="298"/>
    <x v="293"/>
    <n v="14152008"/>
    <n v="4.3654822335025351E-2"/>
    <x v="2"/>
  </r>
  <r>
    <x v="401"/>
    <n v="19.87"/>
    <x v="292"/>
    <x v="299"/>
    <x v="294"/>
    <n v="8177347"/>
    <n v="-3.8910505836575048E-3"/>
    <x v="2"/>
  </r>
  <r>
    <x v="402"/>
    <n v="20.73"/>
    <x v="274"/>
    <x v="291"/>
    <x v="295"/>
    <n v="7006471"/>
    <n v="4.5898437500000062E-2"/>
    <x v="2"/>
  </r>
  <r>
    <x v="403"/>
    <n v="20.63"/>
    <x v="293"/>
    <x v="300"/>
    <x v="296"/>
    <n v="9676537"/>
    <n v="1.2138188608776751E-2"/>
    <x v="2"/>
  </r>
  <r>
    <x v="404"/>
    <n v="21.44"/>
    <x v="294"/>
    <x v="301"/>
    <x v="297"/>
    <n v="5741607"/>
    <n v="-6.4575645756457826E-3"/>
    <x v="2"/>
  </r>
  <r>
    <x v="405"/>
    <n v="21.56"/>
    <x v="295"/>
    <x v="302"/>
    <x v="298"/>
    <n v="4753819"/>
    <n v="5.1067780872794538E-3"/>
    <x v="2"/>
  </r>
  <r>
    <x v="406"/>
    <n v="21.7"/>
    <x v="296"/>
    <x v="303"/>
    <x v="299"/>
    <n v="4121612"/>
    <n v="-2.7251732101616622E-2"/>
    <x v="2"/>
  </r>
  <r>
    <x v="407"/>
    <n v="21.23"/>
    <x v="297"/>
    <x v="304"/>
    <x v="300"/>
    <n v="7622004"/>
    <n v="3.3238366571700043E-3"/>
    <x v="2"/>
  </r>
  <r>
    <x v="408"/>
    <n v="21.17"/>
    <x v="298"/>
    <x v="305"/>
    <x v="301"/>
    <n v="4152484"/>
    <n v="-3.4074775201135776E-2"/>
    <x v="2"/>
  </r>
  <r>
    <x v="409"/>
    <n v="20.96"/>
    <x v="299"/>
    <x v="282"/>
    <x v="302"/>
    <n v="6711940"/>
    <n v="2.253797158255761E-2"/>
    <x v="2"/>
  </r>
  <r>
    <x v="410"/>
    <n v="20.47"/>
    <x v="284"/>
    <x v="306"/>
    <x v="303"/>
    <n v="5653801"/>
    <n v="-7.1873502635362782E-3"/>
    <x v="2"/>
  </r>
  <r>
    <x v="411"/>
    <n v="21.03"/>
    <x v="300"/>
    <x v="307"/>
    <x v="304"/>
    <n v="4687572"/>
    <n v="-1.4478764478763314E-3"/>
    <x v="2"/>
  </r>
  <r>
    <x v="412"/>
    <n v="20.85"/>
    <x v="301"/>
    <x v="308"/>
    <x v="305"/>
    <n v="4329178"/>
    <n v="-2.0782986950217481E-2"/>
    <x v="2"/>
  </r>
  <r>
    <x v="413"/>
    <n v="20.7"/>
    <x v="302"/>
    <x v="309"/>
    <x v="306"/>
    <n v="4318354"/>
    <n v="2.0730503455083815E-2"/>
    <x v="2"/>
  </r>
  <r>
    <x v="414"/>
    <n v="20.43"/>
    <x v="303"/>
    <x v="310"/>
    <x v="288"/>
    <n v="5041692"/>
    <n v="2.1276595744680913E-2"/>
    <x v="2"/>
  </r>
  <r>
    <x v="415"/>
    <n v="20.73"/>
    <x v="304"/>
    <x v="311"/>
    <x v="307"/>
    <n v="5013963"/>
    <n v="2.6515151515151453E-2"/>
    <x v="2"/>
  </r>
  <r>
    <x v="416"/>
    <n v="21.15"/>
    <x v="294"/>
    <x v="312"/>
    <x v="297"/>
    <n v="7802199"/>
    <n v="3.0442804428044288E-2"/>
    <x v="2"/>
  </r>
  <r>
    <x v="417"/>
    <n v="21.73"/>
    <x v="305"/>
    <x v="313"/>
    <x v="308"/>
    <n v="7782916"/>
    <n v="1.7457475380483464E-2"/>
    <x v="2"/>
  </r>
  <r>
    <x v="418"/>
    <n v="22.51"/>
    <x v="306"/>
    <x v="314"/>
    <x v="309"/>
    <n v="9963444"/>
    <n v="-1.7597888253409215E-3"/>
    <x v="2"/>
  </r>
  <r>
    <x v="419"/>
    <n v="22.93"/>
    <x v="307"/>
    <x v="315"/>
    <x v="310"/>
    <n v="7607996"/>
    <n v="-1.3221683561040606E-3"/>
    <x v="2"/>
  </r>
  <r>
    <x v="420"/>
    <n v="22.65"/>
    <x v="306"/>
    <x v="316"/>
    <x v="311"/>
    <n v="5590239"/>
    <n v="2.1624007060900195E-2"/>
    <x v="2"/>
  </r>
  <r>
    <x v="421"/>
    <n v="22.57"/>
    <x v="308"/>
    <x v="317"/>
    <x v="312"/>
    <n v="6784368"/>
    <n v="1.5982721382289462E-2"/>
    <x v="2"/>
  </r>
  <r>
    <x v="422"/>
    <n v="22.98"/>
    <x v="309"/>
    <x v="318"/>
    <x v="313"/>
    <n v="11086798"/>
    <n v="1.9557823129251736E-2"/>
    <x v="2"/>
  </r>
  <r>
    <x v="423"/>
    <n v="23.76"/>
    <x v="310"/>
    <x v="319"/>
    <x v="314"/>
    <n v="9397959"/>
    <n v="2.8773978315262773E-2"/>
    <x v="2"/>
  </r>
  <r>
    <x v="424"/>
    <n v="24.25"/>
    <x v="311"/>
    <x v="320"/>
    <x v="315"/>
    <n v="9061496"/>
    <n v="-3.4454803404945333E-2"/>
    <x v="2"/>
  </r>
  <r>
    <x v="425"/>
    <n v="24.96"/>
    <x v="312"/>
    <x v="321"/>
    <x v="316"/>
    <n v="17261435"/>
    <n v="4.617968094038599E-3"/>
    <x v="2"/>
  </r>
  <r>
    <x v="426"/>
    <n v="23.87"/>
    <x v="313"/>
    <x v="322"/>
    <x v="317"/>
    <n v="10517660"/>
    <n v="4.7221061429168369E-2"/>
    <x v="2"/>
  </r>
  <r>
    <x v="427"/>
    <n v="24.51"/>
    <x v="314"/>
    <x v="323"/>
    <x v="318"/>
    <n v="11807920"/>
    <n v="1.2769353551476469E-2"/>
    <x v="2"/>
  </r>
  <r>
    <x v="428"/>
    <n v="25.41"/>
    <x v="315"/>
    <x v="324"/>
    <x v="319"/>
    <n v="12818429"/>
    <n v="-1.4184397163120546E-2"/>
    <x v="2"/>
  </r>
  <r>
    <x v="429"/>
    <n v="24.83"/>
    <x v="316"/>
    <x v="325"/>
    <x v="320"/>
    <n v="10426469"/>
    <n v="-1.0391686650679377E-2"/>
    <x v="2"/>
  </r>
  <r>
    <x v="430"/>
    <n v="25.2"/>
    <x v="317"/>
    <x v="326"/>
    <x v="321"/>
    <n v="6730973"/>
    <n v="-4.4426494345720102E-3"/>
    <x v="2"/>
  </r>
  <r>
    <x v="431"/>
    <n v="25"/>
    <x v="318"/>
    <x v="327"/>
    <x v="322"/>
    <n v="6549332"/>
    <n v="6.8965517241380003E-3"/>
    <x v="2"/>
  </r>
  <r>
    <x v="432"/>
    <n v="25.11"/>
    <x v="319"/>
    <x v="328"/>
    <x v="323"/>
    <n v="7438701"/>
    <n v="1.0878323932312634E-2"/>
    <x v="2"/>
  </r>
  <r>
    <x v="433"/>
    <n v="24.96"/>
    <x v="320"/>
    <x v="329"/>
    <x v="324"/>
    <n v="4923210"/>
    <n v="1.67397369469909E-2"/>
    <x v="2"/>
  </r>
  <r>
    <x v="434"/>
    <n v="25.2"/>
    <x v="321"/>
    <x v="330"/>
    <x v="325"/>
    <n v="7529778"/>
    <n v="1.9600156801253296E-3"/>
    <x v="2"/>
  </r>
  <r>
    <x v="435"/>
    <n v="25.5"/>
    <x v="322"/>
    <x v="331"/>
    <x v="326"/>
    <n v="6445758"/>
    <n v="-1.5258215962441198E-2"/>
    <x v="2"/>
  </r>
  <r>
    <x v="436"/>
    <n v="25.78"/>
    <x v="322"/>
    <x v="332"/>
    <x v="327"/>
    <n v="6604099"/>
    <n v="-4.0127135478744594E-2"/>
    <x v="2"/>
  </r>
  <r>
    <x v="437"/>
    <n v="25.09"/>
    <x v="323"/>
    <x v="333"/>
    <x v="328"/>
    <n v="6996399"/>
    <n v="2.4420529801324496E-2"/>
    <x v="2"/>
  </r>
  <r>
    <x v="438"/>
    <n v="24.45"/>
    <x v="324"/>
    <x v="334"/>
    <x v="329"/>
    <n v="6302463"/>
    <n v="-2.8282828282828253E-2"/>
    <x v="2"/>
  </r>
  <r>
    <x v="439"/>
    <n v="24.71"/>
    <x v="325"/>
    <x v="335"/>
    <x v="330"/>
    <n v="8221038"/>
    <n v="2.4948024948024416E-3"/>
    <x v="2"/>
  </r>
  <r>
    <x v="440"/>
    <n v="24.25"/>
    <x v="326"/>
    <x v="336"/>
    <x v="331"/>
    <n v="5848521"/>
    <n v="-2.4885939444213932E-2"/>
    <x v="2"/>
  </r>
  <r>
    <x v="441"/>
    <n v="24.68"/>
    <x v="327"/>
    <x v="337"/>
    <x v="332"/>
    <n v="6305401"/>
    <n v="-7.2309655465759362E-2"/>
    <x v="2"/>
  </r>
  <r>
    <x v="442"/>
    <n v="23.15"/>
    <x v="328"/>
    <x v="338"/>
    <x v="333"/>
    <n v="17046701"/>
    <n v="-5.5937643282897707E-2"/>
    <x v="2"/>
  </r>
  <r>
    <x v="443"/>
    <n v="21.15"/>
    <x v="329"/>
    <x v="339"/>
    <x v="334"/>
    <n v="19324495"/>
    <n v="1.408450704225348E-2"/>
    <x v="2"/>
  </r>
  <r>
    <x v="444"/>
    <n v="20.9"/>
    <x v="304"/>
    <x v="340"/>
    <x v="335"/>
    <n v="14176915"/>
    <n v="9.0996168582376091E-3"/>
    <x v="2"/>
  </r>
  <r>
    <x v="445"/>
    <n v="20.86"/>
    <x v="330"/>
    <x v="341"/>
    <x v="336"/>
    <n v="13820889"/>
    <n v="3.512102515424767E-2"/>
    <x v="2"/>
  </r>
  <r>
    <x v="446"/>
    <n v="21.07"/>
    <x v="288"/>
    <x v="342"/>
    <x v="333"/>
    <n v="11559402"/>
    <n v="7.3360843649702039E-3"/>
    <x v="2"/>
  </r>
  <r>
    <x v="447"/>
    <n v="22.03"/>
    <x v="331"/>
    <x v="343"/>
    <x v="337"/>
    <n v="10346127"/>
    <n v="-1.8661811561219852E-2"/>
    <x v="2"/>
  </r>
  <r>
    <x v="448"/>
    <n v="22.01"/>
    <x v="332"/>
    <x v="344"/>
    <x v="338"/>
    <n v="8594466"/>
    <n v="1.3450834879406433E-2"/>
    <x v="2"/>
  </r>
  <r>
    <x v="449"/>
    <n v="21.55"/>
    <x v="333"/>
    <x v="345"/>
    <x v="339"/>
    <n v="5625211"/>
    <n v="-2.517162471395884E-2"/>
    <x v="2"/>
  </r>
  <r>
    <x v="450"/>
    <n v="21.7"/>
    <x v="334"/>
    <x v="346"/>
    <x v="340"/>
    <n v="9876912"/>
    <n v="2.7230046948356727E-2"/>
    <x v="2"/>
  </r>
  <r>
    <x v="451"/>
    <n v="21.17"/>
    <x v="335"/>
    <x v="347"/>
    <x v="341"/>
    <n v="6373720"/>
    <n v="-9.140767824497225E-3"/>
    <x v="2"/>
  </r>
  <r>
    <x v="452"/>
    <n v="21.88"/>
    <x v="332"/>
    <x v="348"/>
    <x v="297"/>
    <n v="6357014"/>
    <n v="1.4298892988929831E-2"/>
    <x v="2"/>
  </r>
  <r>
    <x v="453"/>
    <n v="21.79"/>
    <x v="336"/>
    <x v="349"/>
    <x v="342"/>
    <n v="5166188"/>
    <n v="-4.5475216007275065E-3"/>
    <x v="2"/>
  </r>
  <r>
    <x v="454"/>
    <n v="21.96"/>
    <x v="337"/>
    <x v="313"/>
    <x v="343"/>
    <n v="4901606"/>
    <n v="4.2941982640474996E-2"/>
    <x v="2"/>
  </r>
  <r>
    <x v="455"/>
    <n v="22.02"/>
    <x v="338"/>
    <x v="350"/>
    <x v="344"/>
    <n v="8637082"/>
    <n v="-8.3223828296100626E-3"/>
    <x v="2"/>
  </r>
  <r>
    <x v="456"/>
    <n v="23"/>
    <x v="339"/>
    <x v="317"/>
    <x v="345"/>
    <n v="6989197"/>
    <n v="1.2367491166077788E-2"/>
    <x v="2"/>
  </r>
  <r>
    <x v="457"/>
    <n v="22.69"/>
    <x v="340"/>
    <x v="351"/>
    <x v="346"/>
    <n v="4820790"/>
    <n v="-2.7050610820244368E-2"/>
    <x v="2"/>
  </r>
  <r>
    <x v="458"/>
    <n v="23.07"/>
    <x v="341"/>
    <x v="352"/>
    <x v="347"/>
    <n v="8302405"/>
    <n v="1.793721973094132E-3"/>
    <x v="2"/>
  </r>
  <r>
    <x v="459"/>
    <n v="22.46"/>
    <x v="342"/>
    <x v="353"/>
    <x v="308"/>
    <n v="4880414"/>
    <n v="-3.4914950760966929E-2"/>
    <x v="2"/>
  </r>
  <r>
    <x v="460"/>
    <n v="22.37"/>
    <x v="343"/>
    <x v="354"/>
    <x v="338"/>
    <n v="8535136"/>
    <n v="-1.2059369202226253E-2"/>
    <x v="2"/>
  </r>
  <r>
    <x v="461"/>
    <n v="21.53"/>
    <x v="344"/>
    <x v="355"/>
    <x v="340"/>
    <n v="8303102"/>
    <n v="2.0187793427230032E-2"/>
    <x v="2"/>
  </r>
  <r>
    <x v="462"/>
    <n v="21.26"/>
    <x v="334"/>
    <x v="356"/>
    <x v="348"/>
    <n v="13091462"/>
    <n v="6.4887252646111365E-2"/>
    <x v="2"/>
  </r>
  <r>
    <x v="463"/>
    <n v="23.02"/>
    <x v="345"/>
    <x v="357"/>
    <x v="349"/>
    <n v="13535033"/>
    <n v="2.8089887640449375E-2"/>
    <x v="2"/>
  </r>
  <r>
    <x v="464"/>
    <n v="23.13"/>
    <x v="346"/>
    <x v="358"/>
    <x v="350"/>
    <n v="9268909"/>
    <n v="-4.6237915090373873E-3"/>
    <x v="2"/>
  </r>
  <r>
    <x v="465"/>
    <n v="23.82"/>
    <x v="309"/>
    <x v="359"/>
    <x v="351"/>
    <n v="6324480"/>
    <n v="2.8293918918918991E-2"/>
    <x v="2"/>
  </r>
  <r>
    <x v="466"/>
    <n v="23.84"/>
    <x v="347"/>
    <x v="360"/>
    <x v="352"/>
    <n v="7449837"/>
    <n v="-4.5174537987680893E-3"/>
    <x v="2"/>
  </r>
  <r>
    <x v="467"/>
    <n v="24.07"/>
    <x v="348"/>
    <x v="361"/>
    <x v="353"/>
    <n v="6892096"/>
    <n v="-2.2689768976897572E-2"/>
    <x v="2"/>
  </r>
  <r>
    <x v="468"/>
    <n v="24.11"/>
    <x v="349"/>
    <x v="362"/>
    <x v="354"/>
    <n v="7092858"/>
    <n v="7.1760236386660256E-3"/>
    <x v="2"/>
  </r>
  <r>
    <x v="469"/>
    <n v="23.8"/>
    <x v="350"/>
    <x v="363"/>
    <x v="355"/>
    <n v="4365783"/>
    <n v="1.6345347862531459E-2"/>
    <x v="2"/>
  </r>
  <r>
    <x v="470"/>
    <n v="24.31"/>
    <x v="351"/>
    <x v="334"/>
    <x v="356"/>
    <n v="4519186"/>
    <n v="-3.7113402061855613E-3"/>
    <x v="2"/>
  </r>
  <r>
    <x v="471"/>
    <n v="24.35"/>
    <x v="352"/>
    <x v="364"/>
    <x v="328"/>
    <n v="3085088"/>
    <n v="1.2417218543046829E-3"/>
    <x v="2"/>
  </r>
  <r>
    <x v="472"/>
    <n v="24.2"/>
    <x v="353"/>
    <x v="334"/>
    <x v="357"/>
    <n v="3413773"/>
    <n v="-3.0177759404712706E-2"/>
    <x v="2"/>
  </r>
  <r>
    <x v="473"/>
    <n v="24.08"/>
    <x v="354"/>
    <x v="365"/>
    <x v="358"/>
    <n v="5027660"/>
    <n v="-1.278772378516627E-2"/>
    <x v="2"/>
  </r>
  <r>
    <x v="474"/>
    <n v="23.53"/>
    <x v="355"/>
    <x v="366"/>
    <x v="359"/>
    <n v="5408183"/>
    <n v="-2.7633851468048382E-2"/>
    <x v="2"/>
  </r>
  <r>
    <x v="475"/>
    <n v="23.05"/>
    <x v="356"/>
    <x v="367"/>
    <x v="360"/>
    <n v="6495424"/>
    <n v="1.0657193605683925E-2"/>
    <x v="2"/>
  </r>
  <r>
    <x v="476"/>
    <n v="22.74"/>
    <x v="357"/>
    <x v="315"/>
    <x v="361"/>
    <n v="4321966"/>
    <n v="3.3391915641476186E-2"/>
    <x v="2"/>
  </r>
  <r>
    <x v="477"/>
    <n v="22.6"/>
    <x v="358"/>
    <x v="368"/>
    <x v="313"/>
    <n v="4954504"/>
    <n v="4.2517006802727733E-4"/>
    <x v="2"/>
  </r>
  <r>
    <x v="478"/>
    <n v="23.5"/>
    <x v="359"/>
    <x v="369"/>
    <x v="362"/>
    <n v="4584687"/>
    <n v="-1.4024649383765483E-2"/>
    <x v="2"/>
  </r>
  <r>
    <x v="479"/>
    <n v="23.62"/>
    <x v="360"/>
    <x v="370"/>
    <x v="363"/>
    <n v="3483956"/>
    <n v="-6.896551724137937E-3"/>
    <x v="2"/>
  </r>
  <r>
    <x v="480"/>
    <n v="23.15"/>
    <x v="361"/>
    <x v="371"/>
    <x v="364"/>
    <n v="3763956"/>
    <n v="5.2083333333333764E-3"/>
    <x v="2"/>
  </r>
  <r>
    <x v="481"/>
    <n v="22.63"/>
    <x v="362"/>
    <x v="372"/>
    <x v="359"/>
    <n v="4073675"/>
    <n v="1.6839378238341994E-2"/>
    <x v="2"/>
  </r>
  <r>
    <x v="482"/>
    <n v="23.31"/>
    <x v="363"/>
    <x v="373"/>
    <x v="365"/>
    <n v="3412943"/>
    <n v="7.6433121019108159E-3"/>
    <x v="2"/>
  </r>
  <r>
    <x v="483"/>
    <n v="23.57"/>
    <x v="364"/>
    <x v="359"/>
    <x v="366"/>
    <n v="4072795"/>
    <n v="-1.6856300042140391E-3"/>
    <x v="2"/>
  </r>
  <r>
    <x v="484"/>
    <n v="23.74"/>
    <x v="365"/>
    <x v="374"/>
    <x v="354"/>
    <n v="3049546"/>
    <n v="-1.6040523427606691E-2"/>
    <x v="2"/>
  </r>
  <r>
    <x v="485"/>
    <n v="23.59"/>
    <x v="366"/>
    <x v="375"/>
    <x v="367"/>
    <n v="3848382"/>
    <n v="-1.458601458601458E-2"/>
    <x v="2"/>
  </r>
  <r>
    <x v="486"/>
    <n v="23.3"/>
    <x v="367"/>
    <x v="376"/>
    <x v="368"/>
    <n v="4091351"/>
    <n v="1.7414018284719293E-2"/>
    <x v="2"/>
  </r>
  <r>
    <x v="487"/>
    <n v="23.07"/>
    <x v="368"/>
    <x v="377"/>
    <x v="369"/>
    <n v="4239213"/>
    <n v="-2.0539152759948668E-2"/>
    <x v="2"/>
  </r>
  <r>
    <x v="488"/>
    <n v="23.27"/>
    <x v="369"/>
    <x v="378"/>
    <x v="370"/>
    <n v="3263508"/>
    <n v="5.9414591524683244E-2"/>
    <x v="2"/>
  </r>
  <r>
    <x v="489"/>
    <n v="23.42"/>
    <x v="370"/>
    <x v="379"/>
    <x v="356"/>
    <n v="7667055"/>
    <n v="-2.8865979381443416E-3"/>
    <x v="2"/>
  </r>
  <r>
    <x v="490"/>
    <n v="24.3"/>
    <x v="371"/>
    <x v="380"/>
    <x v="371"/>
    <n v="5972907"/>
    <n v="9.9255583126551701E-3"/>
    <x v="2"/>
  </r>
  <r>
    <x v="491"/>
    <n v="24.25"/>
    <x v="372"/>
    <x v="336"/>
    <x v="372"/>
    <n v="4185231"/>
    <n v="3.1122031122031039E-2"/>
    <x v="2"/>
  </r>
  <r>
    <x v="492"/>
    <n v="24.29"/>
    <x v="317"/>
    <x v="381"/>
    <x v="373"/>
    <n v="7202524"/>
    <n v="5.5599682287530011E-3"/>
    <x v="2"/>
  </r>
  <r>
    <x v="493"/>
    <n v="24.97"/>
    <x v="373"/>
    <x v="382"/>
    <x v="374"/>
    <n v="5420496"/>
    <n v="1.3823064770932125E-2"/>
    <x v="2"/>
  </r>
  <r>
    <x v="494"/>
    <n v="25.35"/>
    <x v="374"/>
    <x v="383"/>
    <x v="375"/>
    <n v="7187980"/>
    <n v="-2.5710946630307756E-2"/>
    <x v="2"/>
  </r>
  <r>
    <x v="495"/>
    <n v="25.33"/>
    <x v="375"/>
    <x v="330"/>
    <x v="376"/>
    <n v="6451886"/>
    <n v="-3.1987205117953556E-3"/>
    <x v="2"/>
  </r>
  <r>
    <x v="496"/>
    <n v="24.87"/>
    <x v="376"/>
    <x v="384"/>
    <x v="377"/>
    <n v="4919052"/>
    <n v="-2.0056157240272765E-2"/>
    <x v="2"/>
  </r>
  <r>
    <x v="497"/>
    <n v="24.99"/>
    <x v="312"/>
    <x v="385"/>
    <x v="378"/>
    <n v="4618190"/>
    <n v="-4.1751944330740878E-2"/>
    <x v="2"/>
  </r>
  <r>
    <x v="498"/>
    <n v="24.43"/>
    <x v="377"/>
    <x v="386"/>
    <x v="379"/>
    <n v="8159418"/>
    <n v="-1.7513882956001713E-2"/>
    <x v="2"/>
  </r>
  <r>
    <x v="499"/>
    <n v="23.54"/>
    <x v="378"/>
    <x v="387"/>
    <x v="380"/>
    <n v="7605946"/>
    <n v="8.6956521739128584E-4"/>
    <x v="2"/>
  </r>
  <r>
    <x v="500"/>
    <n v="23.4"/>
    <x v="379"/>
    <x v="388"/>
    <x v="381"/>
    <n v="7156274"/>
    <n v="-1.2597741094700224E-2"/>
    <x v="2"/>
  </r>
  <r>
    <x v="501"/>
    <n v="23.33"/>
    <x v="380"/>
    <x v="389"/>
    <x v="309"/>
    <n v="6060330"/>
    <n v="-3.9595248570171515E-3"/>
    <x v="2"/>
  </r>
  <r>
    <x v="502"/>
    <n v="22.66"/>
    <x v="381"/>
    <x v="390"/>
    <x v="345"/>
    <n v="5319617"/>
    <n v="4.4169611307419551E-3"/>
    <x v="2"/>
  </r>
  <r>
    <x v="503"/>
    <n v="22.79"/>
    <x v="382"/>
    <x v="391"/>
    <x v="382"/>
    <n v="5107082"/>
    <n v="1.3192612137203667E-3"/>
    <x v="2"/>
  </r>
  <r>
    <x v="504"/>
    <n v="22.83"/>
    <x v="383"/>
    <x v="392"/>
    <x v="383"/>
    <n v="5286774"/>
    <n v="1.9323671497584599E-2"/>
    <x v="2"/>
  </r>
  <r>
    <x v="505"/>
    <n v="22.39"/>
    <x v="384"/>
    <x v="393"/>
    <x v="384"/>
    <n v="10153596"/>
    <n v="1.9819043515726015E-2"/>
    <x v="2"/>
  </r>
  <r>
    <x v="506"/>
    <n v="23.42"/>
    <x v="385"/>
    <x v="394"/>
    <x v="385"/>
    <n v="8163543"/>
    <n v="8.4495141529360249E-4"/>
    <x v="2"/>
  </r>
  <r>
    <x v="507"/>
    <n v="23.73"/>
    <x v="378"/>
    <x v="395"/>
    <x v="354"/>
    <n v="4171675"/>
    <n v="4.2211903756858536E-3"/>
    <x v="2"/>
  </r>
  <r>
    <x v="508"/>
    <n v="23.54"/>
    <x v="386"/>
    <x v="396"/>
    <x v="350"/>
    <n v="4297474"/>
    <n v="-3.9092055485498101E-2"/>
    <x v="2"/>
  </r>
  <r>
    <x v="509"/>
    <n v="23.31"/>
    <x v="387"/>
    <x v="397"/>
    <x v="386"/>
    <n v="7493654"/>
    <n v="3.7182852143482124E-2"/>
    <x v="2"/>
  </r>
  <r>
    <x v="510"/>
    <n v="23.12"/>
    <x v="360"/>
    <x v="398"/>
    <x v="387"/>
    <n v="6978495"/>
    <n v="-2.9523407844791348E-3"/>
    <x v="2"/>
  </r>
  <r>
    <x v="511"/>
    <n v="23.59"/>
    <x v="365"/>
    <x v="399"/>
    <x v="388"/>
    <n v="4500831"/>
    <n v="2.9610829103215008E-3"/>
    <x v="2"/>
  </r>
  <r>
    <x v="512"/>
    <n v="23.53"/>
    <x v="388"/>
    <x v="400"/>
    <x v="387"/>
    <n v="4087048"/>
    <n v="-4.2176296921136915E-4"/>
    <x v="2"/>
  </r>
  <r>
    <x v="513"/>
    <n v="23.8"/>
    <x v="364"/>
    <x v="374"/>
    <x v="389"/>
    <n v="3540533"/>
    <n v="-1.3924050632911321E-2"/>
    <x v="2"/>
  </r>
  <r>
    <x v="514"/>
    <n v="23.58"/>
    <x v="389"/>
    <x v="401"/>
    <x v="369"/>
    <n v="5375486"/>
    <n v="1.4976465554129135E-2"/>
    <x v="2"/>
  </r>
  <r>
    <x v="515"/>
    <n v="23.39"/>
    <x v="390"/>
    <x v="402"/>
    <x v="390"/>
    <n v="3293345"/>
    <n v="1.0961214165261449E-2"/>
    <x v="2"/>
  </r>
  <r>
    <x v="516"/>
    <n v="23.73"/>
    <x v="391"/>
    <x v="335"/>
    <x v="314"/>
    <n v="4939074"/>
    <n v="-2.2101751459549672E-2"/>
    <x v="2"/>
  </r>
  <r>
    <x v="517"/>
    <n v="23.7"/>
    <x v="392"/>
    <x v="403"/>
    <x v="391"/>
    <n v="5061843"/>
    <n v="-1.8763326226012698E-2"/>
    <x v="2"/>
  </r>
  <r>
    <x v="518"/>
    <n v="23.51"/>
    <x v="393"/>
    <x v="404"/>
    <x v="392"/>
    <n v="4930395"/>
    <n v="-2.3468057366362566E-2"/>
    <x v="2"/>
  </r>
  <r>
    <x v="519"/>
    <n v="23.33"/>
    <x v="345"/>
    <x v="405"/>
    <x v="393"/>
    <n v="5747346"/>
    <n v="8.9007565643077773E-4"/>
    <x v="2"/>
  </r>
  <r>
    <x v="520"/>
    <n v="22.59"/>
    <x v="381"/>
    <x v="406"/>
    <x v="394"/>
    <n v="4491672"/>
    <n v="-3.4237438861716304E-2"/>
    <x v="2"/>
  </r>
  <r>
    <x v="521"/>
    <n v="22.45"/>
    <x v="394"/>
    <x v="407"/>
    <x v="395"/>
    <n v="8594073"/>
    <n v="9.2081031307548686E-4"/>
    <x v="2"/>
  </r>
  <r>
    <x v="522"/>
    <n v="21.85"/>
    <x v="395"/>
    <x v="348"/>
    <x v="396"/>
    <n v="5023500"/>
    <n v="-1.6099356025758873E-2"/>
    <x v="2"/>
  </r>
  <r>
    <x v="523"/>
    <n v="21.32"/>
    <x v="396"/>
    <x v="408"/>
    <x v="397"/>
    <n v="6979704"/>
    <n v="-2.3375409069659051E-3"/>
    <x v="2"/>
  </r>
  <r>
    <x v="524"/>
    <n v="21.28"/>
    <x v="397"/>
    <x v="409"/>
    <x v="398"/>
    <n v="4254378"/>
    <n v="3.561387066541713E-2"/>
    <x v="2"/>
  </r>
  <r>
    <x v="525"/>
    <n v="21.35"/>
    <x v="398"/>
    <x v="410"/>
    <x v="399"/>
    <n v="5672347"/>
    <n v="-3.122171945701363E-2"/>
    <x v="2"/>
  </r>
  <r>
    <x v="526"/>
    <n v="22.15"/>
    <x v="399"/>
    <x v="410"/>
    <x v="400"/>
    <n v="8457336"/>
    <n v="-6.8192433442316708E-2"/>
    <x v="2"/>
  </r>
  <r>
    <x v="527"/>
    <n v="20.010000000000002"/>
    <x v="400"/>
    <x v="411"/>
    <x v="401"/>
    <n v="19791416"/>
    <n v="2.3057644110275732E-2"/>
    <x v="2"/>
  </r>
  <r>
    <x v="528"/>
    <n v="19.97"/>
    <x v="401"/>
    <x v="412"/>
    <x v="302"/>
    <n v="8893974"/>
    <n v="-1.0779029887310086E-2"/>
    <x v="2"/>
  </r>
  <r>
    <x v="529"/>
    <n v="20.47"/>
    <x v="402"/>
    <x v="413"/>
    <x v="402"/>
    <n v="6486009"/>
    <n v="1.0401188707280698E-2"/>
    <x v="2"/>
  </r>
  <r>
    <x v="530"/>
    <n v="20.07"/>
    <x v="282"/>
    <x v="414"/>
    <x v="403"/>
    <n v="5294274"/>
    <n v="-5.3921568627450702E-3"/>
    <x v="2"/>
  </r>
  <r>
    <x v="531"/>
    <n v="20.37"/>
    <x v="403"/>
    <x v="415"/>
    <x v="404"/>
    <n v="4725271"/>
    <n v="-4.4356826022671197E-3"/>
    <x v="2"/>
  </r>
  <r>
    <x v="532"/>
    <n v="20.170000000000002"/>
    <x v="404"/>
    <x v="283"/>
    <x v="405"/>
    <n v="5447147"/>
    <n v="0"/>
    <x v="2"/>
  </r>
  <r>
    <x v="533"/>
    <n v="20.170000000000002"/>
    <x v="276"/>
    <x v="416"/>
    <x v="405"/>
    <n v="4625429"/>
    <n v="4.1089108910891181E-2"/>
    <x v="2"/>
  </r>
  <r>
    <x v="534"/>
    <n v="20.010000000000002"/>
    <x v="405"/>
    <x v="417"/>
    <x v="406"/>
    <n v="7584944"/>
    <n v="-2.1398002853067182E-2"/>
    <x v="2"/>
  </r>
  <r>
    <x v="535"/>
    <n v="21"/>
    <x v="406"/>
    <x v="418"/>
    <x v="280"/>
    <n v="5676076"/>
    <n v="8.2604470359573228E-3"/>
    <x v="2"/>
  </r>
  <r>
    <x v="536"/>
    <n v="20.399999999999999"/>
    <x v="407"/>
    <x v="419"/>
    <x v="407"/>
    <n v="5978665"/>
    <n v="3.8554216867469058E-3"/>
    <x v="2"/>
  </r>
  <r>
    <x v="537"/>
    <n v="20.93"/>
    <x v="408"/>
    <x v="356"/>
    <x v="279"/>
    <n v="5822073"/>
    <n v="8.1613058089295108E-3"/>
    <x v="2"/>
  </r>
  <r>
    <x v="538"/>
    <n v="21.71"/>
    <x v="409"/>
    <x v="420"/>
    <x v="408"/>
    <n v="13735139"/>
    <n v="-2.000000000000008E-2"/>
    <x v="2"/>
  </r>
  <r>
    <x v="539"/>
    <n v="20.92"/>
    <x v="410"/>
    <x v="421"/>
    <x v="280"/>
    <n v="8247650"/>
    <n v="2.964042759961142E-2"/>
    <x v="2"/>
  </r>
  <r>
    <x v="540"/>
    <n v="20.72"/>
    <x v="411"/>
    <x v="281"/>
    <x v="409"/>
    <n v="7261273"/>
    <n v="-1.6517225106182226E-2"/>
    <x v="2"/>
  </r>
  <r>
    <x v="541"/>
    <n v="21.12"/>
    <x v="412"/>
    <x v="422"/>
    <x v="410"/>
    <n v="4917636"/>
    <n v="9.5969289827254941E-3"/>
    <x v="2"/>
  </r>
  <r>
    <x v="542"/>
    <n v="20.92"/>
    <x v="406"/>
    <x v="423"/>
    <x v="411"/>
    <n v="3244065"/>
    <n v="3.8022813688213808E-3"/>
    <x v="2"/>
  </r>
  <r>
    <x v="543"/>
    <n v="20.88"/>
    <x v="412"/>
    <x v="424"/>
    <x v="307"/>
    <n v="4555894"/>
    <n v="2.3674242424242759E-3"/>
    <x v="2"/>
  </r>
  <r>
    <x v="544"/>
    <n v="21.09"/>
    <x v="413"/>
    <x v="425"/>
    <x v="412"/>
    <n v="4949491"/>
    <n v="-3.1648559282002914E-2"/>
    <x v="2"/>
  </r>
  <r>
    <x v="545"/>
    <n v="21.15"/>
    <x v="330"/>
    <x v="426"/>
    <x v="413"/>
    <n v="8767398"/>
    <n v="4.3902439024390179E-3"/>
    <x v="2"/>
  </r>
  <r>
    <x v="546"/>
    <n v="20.57"/>
    <x v="414"/>
    <x v="427"/>
    <x v="334"/>
    <n v="4351587"/>
    <n v="-7.2850898494414076E-3"/>
    <x v="2"/>
  </r>
  <r>
    <x v="547"/>
    <n v="20.36"/>
    <x v="415"/>
    <x v="428"/>
    <x v="414"/>
    <n v="4292868"/>
    <n v="-4.4031311154598754E-3"/>
    <x v="2"/>
  </r>
  <r>
    <x v="548"/>
    <n v="20.43"/>
    <x v="416"/>
    <x v="429"/>
    <x v="415"/>
    <n v="5835140"/>
    <n v="-4.9140049140049833E-3"/>
    <x v="2"/>
  </r>
  <r>
    <x v="549"/>
    <n v="20.13"/>
    <x v="417"/>
    <x v="430"/>
    <x v="275"/>
    <n v="4646520"/>
    <n v="3.1111111111111062E-2"/>
    <x v="2"/>
  </r>
  <r>
    <x v="550"/>
    <n v="20.010000000000002"/>
    <x v="418"/>
    <x v="414"/>
    <x v="335"/>
    <n v="7195341"/>
    <n v="-6.2260536398466961E-3"/>
    <x v="2"/>
  </r>
  <r>
    <x v="551"/>
    <n v="20.8"/>
    <x v="419"/>
    <x v="431"/>
    <x v="407"/>
    <n v="4780597"/>
    <n v="1.2530120481927786E-2"/>
    <x v="2"/>
  </r>
  <r>
    <x v="552"/>
    <n v="20.97"/>
    <x v="304"/>
    <x v="356"/>
    <x v="416"/>
    <n v="3468458"/>
    <n v="4.3788672060923281E-2"/>
    <x v="2"/>
  </r>
  <r>
    <x v="553"/>
    <n v="20.98"/>
    <x v="420"/>
    <x v="432"/>
    <x v="417"/>
    <n v="7937981"/>
    <n v="3.6935704514363829E-2"/>
    <x v="2"/>
  </r>
  <r>
    <x v="554"/>
    <n v="22.03"/>
    <x v="421"/>
    <x v="350"/>
    <x v="382"/>
    <n v="8733199"/>
    <n v="-6.15655233069468E-3"/>
    <x v="2"/>
  </r>
  <r>
    <x v="555"/>
    <n v="22.73"/>
    <x v="422"/>
    <x v="433"/>
    <x v="418"/>
    <n v="6221461"/>
    <n v="-3.0973451327433754E-3"/>
    <x v="2"/>
  </r>
  <r>
    <x v="556"/>
    <n v="22.73"/>
    <x v="361"/>
    <x v="434"/>
    <x v="419"/>
    <n v="5799916"/>
    <n v="1.6422547714158783E-2"/>
    <x v="2"/>
  </r>
  <r>
    <x v="557"/>
    <n v="22.8"/>
    <x v="423"/>
    <x v="435"/>
    <x v="420"/>
    <n v="6933199"/>
    <n v="-1.3537117903930076E-2"/>
    <x v="2"/>
  </r>
  <r>
    <x v="558"/>
    <n v="22.99"/>
    <x v="424"/>
    <x v="436"/>
    <x v="421"/>
    <n v="5476166"/>
    <n v="-2.3019034971226187E-2"/>
    <x v="2"/>
  </r>
  <r>
    <x v="559"/>
    <n v="22.68"/>
    <x v="343"/>
    <x v="437"/>
    <x v="422"/>
    <n v="6824971"/>
    <n v="-6.3434526506570259E-3"/>
    <x v="2"/>
  </r>
  <r>
    <x v="560"/>
    <n v="22.18"/>
    <x v="331"/>
    <x v="438"/>
    <x v="417"/>
    <n v="5953800"/>
    <n v="8.2079343365252955E-3"/>
    <x v="2"/>
  </r>
  <r>
    <x v="561"/>
    <n v="21.97"/>
    <x v="425"/>
    <x v="439"/>
    <x v="423"/>
    <n v="4385222"/>
    <n v="-1.9448213478064212E-2"/>
    <x v="2"/>
  </r>
  <r>
    <x v="562"/>
    <n v="21.97"/>
    <x v="426"/>
    <x v="440"/>
    <x v="297"/>
    <n v="4215807"/>
    <n v="-2.4446494464944703E-2"/>
    <x v="2"/>
  </r>
  <r>
    <x v="563"/>
    <n v="21.59"/>
    <x v="427"/>
    <x v="408"/>
    <x v="424"/>
    <n v="4378413"/>
    <n v="-1.7494089834515246E-2"/>
    <x v="2"/>
  </r>
  <r>
    <x v="564"/>
    <n v="21.07"/>
    <x v="428"/>
    <x v="441"/>
    <x v="425"/>
    <n v="4712111"/>
    <n v="1.1549566891241503E-2"/>
    <x v="2"/>
  </r>
  <r>
    <x v="565"/>
    <n v="20.78"/>
    <x v="429"/>
    <x v="442"/>
    <x v="426"/>
    <n v="4316347"/>
    <n v="-1.2369172216936156E-2"/>
    <x v="2"/>
  </r>
  <r>
    <x v="566"/>
    <n v="21.08"/>
    <x v="406"/>
    <x v="443"/>
    <x v="427"/>
    <n v="3777155"/>
    <n v="2.9383429672446983E-2"/>
    <x v="2"/>
  </r>
  <r>
    <x v="567"/>
    <n v="20.8"/>
    <x v="293"/>
    <x v="423"/>
    <x v="428"/>
    <n v="4352241"/>
    <n v="-1.0294805802527019E-2"/>
    <x v="3"/>
  </r>
  <r>
    <x v="568"/>
    <n v="21.4"/>
    <x v="430"/>
    <x v="347"/>
    <x v="424"/>
    <n v="4521527"/>
    <n v="-8.5106382978723284E-3"/>
    <x v="3"/>
  </r>
  <r>
    <x v="569"/>
    <n v="20.86"/>
    <x v="419"/>
    <x v="444"/>
    <x v="429"/>
    <n v="9946304"/>
    <n v="6.6762041010968321E-3"/>
    <x v="3"/>
  </r>
  <r>
    <x v="570"/>
    <n v="21.11"/>
    <x v="431"/>
    <x v="445"/>
    <x v="430"/>
    <n v="4591180"/>
    <n v="6.2529606821411662E-2"/>
    <x v="3"/>
  </r>
  <r>
    <x v="571"/>
    <n v="21.07"/>
    <x v="432"/>
    <x v="446"/>
    <x v="431"/>
    <n v="9859435"/>
    <n v="-8.0249665626393098E-3"/>
    <x v="3"/>
  </r>
  <r>
    <x v="572"/>
    <n v="22.34"/>
    <x v="433"/>
    <x v="447"/>
    <x v="432"/>
    <n v="7146631"/>
    <n v="3.1460674157303497E-3"/>
    <x v="3"/>
  </r>
  <r>
    <x v="573"/>
    <n v="22.15"/>
    <x v="432"/>
    <x v="350"/>
    <x v="433"/>
    <n v="4309926"/>
    <n v="9.4086021505376729E-3"/>
    <x v="3"/>
  </r>
  <r>
    <x v="574"/>
    <n v="22.35"/>
    <x v="307"/>
    <x v="448"/>
    <x v="419"/>
    <n v="6645484"/>
    <n v="-5.3262316910786056E-3"/>
    <x v="3"/>
  </r>
  <r>
    <x v="575"/>
    <n v="22.58"/>
    <x v="434"/>
    <x v="449"/>
    <x v="434"/>
    <n v="4825059"/>
    <n v="1.1601963409192395E-2"/>
    <x v="3"/>
  </r>
  <r>
    <x v="576"/>
    <n v="22.5"/>
    <x v="435"/>
    <x v="450"/>
    <x v="435"/>
    <n v="6474251"/>
    <n v="2.0732245258050234E-2"/>
    <x v="3"/>
  </r>
  <r>
    <x v="577"/>
    <n v="22.7"/>
    <x v="362"/>
    <x v="371"/>
    <x v="349"/>
    <n v="7103505"/>
    <n v="-7.3465859982714647E-3"/>
    <x v="3"/>
  </r>
  <r>
    <x v="578"/>
    <n v="23.04"/>
    <x v="436"/>
    <x v="451"/>
    <x v="368"/>
    <n v="5685845"/>
    <n v="1.5672616456247256E-2"/>
    <x v="3"/>
  </r>
  <r>
    <x v="579"/>
    <n v="23"/>
    <x v="437"/>
    <x v="397"/>
    <x v="436"/>
    <n v="4888303"/>
    <n v="4.7149592798972568E-3"/>
    <x v="3"/>
  </r>
  <r>
    <x v="580"/>
    <n v="23.29"/>
    <x v="438"/>
    <x v="452"/>
    <x v="437"/>
    <n v="6210360"/>
    <n v="3.4129692832763777E-3"/>
    <x v="3"/>
  </r>
  <r>
    <x v="581"/>
    <n v="24"/>
    <x v="310"/>
    <x v="453"/>
    <x v="313"/>
    <n v="5465414"/>
    <n v="-1.9557823129251736E-2"/>
    <x v="3"/>
  </r>
  <r>
    <x v="582"/>
    <n v="23.64"/>
    <x v="439"/>
    <x v="377"/>
    <x v="438"/>
    <n v="5287478"/>
    <n v="-2.3850823937554083E-2"/>
    <x v="3"/>
  </r>
  <r>
    <x v="583"/>
    <n v="23.22"/>
    <x v="440"/>
    <x v="433"/>
    <x v="439"/>
    <n v="6740303"/>
    <n v="1.554864504664584E-2"/>
    <x v="3"/>
  </r>
  <r>
    <x v="584"/>
    <n v="22.77"/>
    <x v="423"/>
    <x v="435"/>
    <x v="386"/>
    <n v="4539356"/>
    <n v="1.9247594050743715E-2"/>
    <x v="3"/>
  </r>
  <r>
    <x v="585"/>
    <n v="22.66"/>
    <x v="441"/>
    <x v="368"/>
    <x v="440"/>
    <n v="4747149"/>
    <n v="-1.0729613733905579E-2"/>
    <x v="3"/>
  </r>
  <r>
    <x v="586"/>
    <n v="23.01"/>
    <x v="442"/>
    <x v="454"/>
    <x v="441"/>
    <n v="4717700"/>
    <n v="2.4728850325379623E-2"/>
    <x v="3"/>
  </r>
  <r>
    <x v="587"/>
    <n v="23.17"/>
    <x v="390"/>
    <x v="455"/>
    <x v="442"/>
    <n v="6214069"/>
    <n v="-1.4394580863674846E-2"/>
    <x v="3"/>
  </r>
  <r>
    <x v="588"/>
    <n v="23.4"/>
    <x v="443"/>
    <x v="456"/>
    <x v="443"/>
    <n v="4197687"/>
    <n v="-1.546391752577317E-2"/>
    <x v="3"/>
  </r>
  <r>
    <x v="589"/>
    <n v="23.23"/>
    <x v="444"/>
    <x v="389"/>
    <x v="346"/>
    <n v="3704836"/>
    <n v="-3.097731239092499E-2"/>
    <x v="3"/>
  </r>
  <r>
    <x v="590"/>
    <n v="22.53"/>
    <x v="445"/>
    <x v="457"/>
    <x v="444"/>
    <n v="4464147"/>
    <n v="2.2512381809995817E-3"/>
    <x v="3"/>
  </r>
  <r>
    <x v="591"/>
    <n v="21.68"/>
    <x v="446"/>
    <x v="407"/>
    <x v="445"/>
    <n v="5088438"/>
    <n v="3.324348607367468E-2"/>
    <x v="3"/>
  </r>
  <r>
    <x v="592"/>
    <n v="22.6"/>
    <x v="447"/>
    <x v="435"/>
    <x v="380"/>
    <n v="6969239"/>
    <n v="-8.6086956521739144E-2"/>
    <x v="3"/>
  </r>
  <r>
    <x v="593"/>
    <n v="22.89"/>
    <x v="384"/>
    <x v="458"/>
    <x v="426"/>
    <n v="10314573"/>
    <n v="-1.5699333967649776E-2"/>
    <x v="3"/>
  </r>
  <r>
    <x v="594"/>
    <n v="21.33"/>
    <x v="448"/>
    <x v="459"/>
    <x v="305"/>
    <n v="12933721"/>
    <n v="1.7399710004833223E-2"/>
    <x v="3"/>
  </r>
  <r>
    <x v="595"/>
    <n v="21.08"/>
    <x v="408"/>
    <x v="339"/>
    <x v="446"/>
    <n v="6227822"/>
    <n v="2.5178147268408436E-2"/>
    <x v="3"/>
  </r>
  <r>
    <x v="596"/>
    <n v="21"/>
    <x v="449"/>
    <x v="460"/>
    <x v="447"/>
    <n v="4560231"/>
    <n v="-4.1705282669138024E-3"/>
    <x v="3"/>
  </r>
  <r>
    <x v="597"/>
    <n v="21.39"/>
    <x v="450"/>
    <x v="461"/>
    <x v="448"/>
    <n v="3950743"/>
    <n v="3.6295951605397912E-2"/>
    <x v="3"/>
  </r>
  <r>
    <x v="598"/>
    <n v="21.63"/>
    <x v="451"/>
    <x v="462"/>
    <x v="449"/>
    <n v="5912917"/>
    <n v="4.4903457566233236E-3"/>
    <x v="3"/>
  </r>
  <r>
    <x v="599"/>
    <n v="22.17"/>
    <x v="452"/>
    <x v="463"/>
    <x v="450"/>
    <n v="5642637"/>
    <n v="-2.2351363433169738E-3"/>
    <x v="3"/>
  </r>
  <r>
    <x v="600"/>
    <n v="22.3"/>
    <x v="453"/>
    <x v="464"/>
    <x v="433"/>
    <n v="4009435"/>
    <n v="-4.4802867383513184E-3"/>
    <x v="3"/>
  </r>
  <r>
    <x v="601"/>
    <n v="22.4"/>
    <x v="454"/>
    <x v="465"/>
    <x v="451"/>
    <n v="3219649"/>
    <n v="3.870387038703868E-2"/>
    <x v="3"/>
  </r>
  <r>
    <x v="602"/>
    <n v="22.37"/>
    <x v="361"/>
    <x v="450"/>
    <x v="452"/>
    <n v="6969808"/>
    <n v="1.6897746967071085E-2"/>
    <x v="3"/>
  </r>
  <r>
    <x v="603"/>
    <n v="23.19"/>
    <x v="455"/>
    <x v="401"/>
    <x v="453"/>
    <n v="5817387"/>
    <n v="1.5338730293992308E-2"/>
    <x v="3"/>
  </r>
  <r>
    <x v="604"/>
    <n v="23.57"/>
    <x v="456"/>
    <x v="466"/>
    <x v="454"/>
    <n v="4339985"/>
    <n v="-1.8044481745698688E-2"/>
    <x v="3"/>
  </r>
  <r>
    <x v="605"/>
    <n v="23.75"/>
    <x v="457"/>
    <x v="379"/>
    <x v="455"/>
    <n v="4797419"/>
    <n v="-2.2649572649572548E-2"/>
    <x v="3"/>
  </r>
  <r>
    <x v="606"/>
    <n v="23.5"/>
    <x v="458"/>
    <x v="454"/>
    <x v="456"/>
    <n v="6069658"/>
    <n v="-3.5417577612593017E-2"/>
    <x v="3"/>
  </r>
  <r>
    <x v="607"/>
    <n v="23"/>
    <x v="384"/>
    <x v="350"/>
    <x v="457"/>
    <n v="6885601"/>
    <n v="1.2692656391659164E-2"/>
    <x v="3"/>
  </r>
  <r>
    <x v="608"/>
    <n v="21.8"/>
    <x v="459"/>
    <x v="467"/>
    <x v="308"/>
    <n v="5092829"/>
    <n v="-5.3715308863026409E-3"/>
    <x v="3"/>
  </r>
  <r>
    <x v="609"/>
    <n v="22.16"/>
    <x v="460"/>
    <x v="468"/>
    <x v="451"/>
    <n v="3823769"/>
    <n v="-1.5301530153015296E-2"/>
    <x v="3"/>
  </r>
  <r>
    <x v="610"/>
    <n v="22.25"/>
    <x v="305"/>
    <x v="469"/>
    <x v="341"/>
    <n v="4285744"/>
    <n v="1.2340036563071279E-2"/>
    <x v="3"/>
  </r>
  <r>
    <x v="611"/>
    <n v="21.7"/>
    <x v="399"/>
    <x v="470"/>
    <x v="458"/>
    <n v="5007297"/>
    <n v="-9.4808126410833998E-3"/>
    <x v="3"/>
  </r>
  <r>
    <x v="612"/>
    <n v="22.19"/>
    <x v="461"/>
    <x v="352"/>
    <x v="459"/>
    <n v="3566244"/>
    <n v="-5.9252506836828872E-3"/>
    <x v="3"/>
  </r>
  <r>
    <x v="613"/>
    <n v="21.61"/>
    <x v="462"/>
    <x v="462"/>
    <x v="333"/>
    <n v="5506764"/>
    <n v="5.5937643282897867E-2"/>
    <x v="3"/>
  </r>
  <r>
    <x v="614"/>
    <n v="21.91"/>
    <x v="328"/>
    <x v="471"/>
    <x v="460"/>
    <n v="8264035"/>
    <n v="-1.042118975249683E-2"/>
    <x v="3"/>
  </r>
  <r>
    <x v="615"/>
    <n v="22.99"/>
    <x v="463"/>
    <x v="405"/>
    <x v="461"/>
    <n v="5965805"/>
    <n v="-4.4317683194383416E-2"/>
    <x v="3"/>
  </r>
  <r>
    <x v="616"/>
    <n v="22.45"/>
    <x v="454"/>
    <x v="472"/>
    <x v="462"/>
    <n v="7967370"/>
    <n v="-3.2139577594123177E-3"/>
    <x v="3"/>
  </r>
  <r>
    <x v="617"/>
    <n v="21.96"/>
    <x v="464"/>
    <x v="345"/>
    <x v="463"/>
    <n v="6564801"/>
    <n v="-1.3357899585444456E-2"/>
    <x v="3"/>
  </r>
  <r>
    <x v="618"/>
    <n v="21.73"/>
    <x v="465"/>
    <x v="473"/>
    <x v="296"/>
    <n v="6117279"/>
    <n v="-2.4276377217553831E-2"/>
    <x v="3"/>
  </r>
  <r>
    <x v="619"/>
    <n v="21.1"/>
    <x v="466"/>
    <x v="442"/>
    <x v="464"/>
    <n v="7484294"/>
    <n v="-9.5693779904305887E-3"/>
    <x v="3"/>
  </r>
  <r>
    <x v="620"/>
    <n v="20.99"/>
    <x v="467"/>
    <x v="281"/>
    <x v="465"/>
    <n v="4764293"/>
    <n v="1.9323671497584644E-2"/>
    <x v="3"/>
  </r>
  <r>
    <x v="621"/>
    <n v="20.68"/>
    <x v="468"/>
    <x v="307"/>
    <x v="466"/>
    <n v="5958411"/>
    <n v="-2.3222748815165971E-2"/>
    <x v="3"/>
  </r>
  <r>
    <x v="622"/>
    <n v="20.93"/>
    <x v="469"/>
    <x v="474"/>
    <x v="467"/>
    <n v="4939771"/>
    <n v="-2.4745269286753906E-2"/>
    <x v="3"/>
  </r>
  <r>
    <x v="623"/>
    <n v="20.75"/>
    <x v="470"/>
    <x v="289"/>
    <x v="283"/>
    <n v="6654899"/>
    <n v="8.9552238805969998E-3"/>
    <x v="3"/>
  </r>
  <r>
    <x v="624"/>
    <n v="20.49"/>
    <x v="471"/>
    <x v="475"/>
    <x v="468"/>
    <n v="8375175"/>
    <n v="-8.2347140039447805E-2"/>
    <x v="3"/>
  </r>
  <r>
    <x v="625"/>
    <n v="20.27"/>
    <x v="472"/>
    <x v="275"/>
    <x v="469"/>
    <n v="13872029"/>
    <n v="-7.630306286942494E-2"/>
    <x v="3"/>
  </r>
  <r>
    <x v="626"/>
    <n v="17.64"/>
    <x v="473"/>
    <x v="476"/>
    <x v="470"/>
    <n v="21001437"/>
    <n v="3.1995346131471619E-2"/>
    <x v="3"/>
  </r>
  <r>
    <x v="627"/>
    <n v="17.100000000000001"/>
    <x v="243"/>
    <x v="262"/>
    <x v="471"/>
    <n v="15170749"/>
    <n v="-5.1296505073280735E-2"/>
    <x v="3"/>
  </r>
  <r>
    <x v="628"/>
    <n v="17.079999999999998"/>
    <x v="474"/>
    <x v="477"/>
    <x v="238"/>
    <n v="16113968"/>
    <n v="6.0011883541295406E-2"/>
    <x v="3"/>
  </r>
  <r>
    <x v="629"/>
    <n v="17.989999999999998"/>
    <x v="475"/>
    <x v="114"/>
    <x v="472"/>
    <n v="18844384"/>
    <n v="7.2309417040358703E-2"/>
    <x v="3"/>
  </r>
  <r>
    <x v="630"/>
    <n v="16.850000000000001"/>
    <x v="476"/>
    <x v="478"/>
    <x v="473"/>
    <n v="19896746"/>
    <n v="6.5342394145321489E-2"/>
    <x v="3"/>
  </r>
  <r>
    <x v="631"/>
    <n v="19.29"/>
    <x v="401"/>
    <x v="479"/>
    <x v="474"/>
    <n v="19121101"/>
    <n v="-2.1099116781157987E-2"/>
    <x v="3"/>
  </r>
  <r>
    <x v="632"/>
    <n v="20.07"/>
    <x v="477"/>
    <x v="480"/>
    <x v="401"/>
    <n v="13520286"/>
    <n v="-3.208020050125316E-2"/>
    <x v="3"/>
  </r>
  <r>
    <x v="633"/>
    <n v="20.02"/>
    <x v="478"/>
    <x v="481"/>
    <x v="475"/>
    <n v="10249805"/>
    <n v="5.1786639047125847E-2"/>
    <x v="3"/>
  </r>
  <r>
    <x v="634"/>
    <n v="19.93"/>
    <x v="479"/>
    <x v="482"/>
    <x v="476"/>
    <n v="11024259"/>
    <n v="-1.2309207287050714E-2"/>
    <x v="3"/>
  </r>
  <r>
    <x v="635"/>
    <n v="20.05"/>
    <x v="480"/>
    <x v="483"/>
    <x v="477"/>
    <n v="7482945"/>
    <n v="-2.2432701894317016E-2"/>
    <x v="3"/>
  </r>
  <r>
    <x v="636"/>
    <n v="20.149999999999999"/>
    <x v="481"/>
    <x v="482"/>
    <x v="478"/>
    <n v="7608769"/>
    <n v="2.0907700152983179E-2"/>
    <x v="3"/>
  </r>
  <r>
    <x v="637"/>
    <n v="20.239999999999998"/>
    <x v="481"/>
    <x v="484"/>
    <x v="284"/>
    <n v="7327223"/>
    <n v="-3.046953046953044E-2"/>
    <x v="3"/>
  </r>
  <r>
    <x v="638"/>
    <n v="19.93"/>
    <x v="482"/>
    <x v="485"/>
    <x v="479"/>
    <n v="6338488"/>
    <n v="-1.1849562081401361E-2"/>
    <x v="3"/>
  </r>
  <r>
    <x v="639"/>
    <n v="19.260000000000002"/>
    <x v="483"/>
    <x v="486"/>
    <x v="480"/>
    <n v="7000023"/>
    <n v="1.9812304483837279E-2"/>
    <x v="3"/>
  </r>
  <r>
    <x v="640"/>
    <n v="19.41"/>
    <x v="484"/>
    <x v="479"/>
    <x v="481"/>
    <n v="6557700"/>
    <n v="2.3006134969325302E-2"/>
    <x v="3"/>
  </r>
  <r>
    <x v="641"/>
    <n v="19.41"/>
    <x v="485"/>
    <x v="487"/>
    <x v="482"/>
    <n v="6090599"/>
    <n v="-3.2983508245877063E-2"/>
    <x v="3"/>
  </r>
  <r>
    <x v="642"/>
    <n v="19.68"/>
    <x v="486"/>
    <x v="488"/>
    <x v="483"/>
    <n v="5627928"/>
    <n v="-2.3772609819121489E-2"/>
    <x v="3"/>
  </r>
  <r>
    <x v="643"/>
    <n v="19.420000000000002"/>
    <x v="487"/>
    <x v="489"/>
    <x v="484"/>
    <n v="4893378"/>
    <n v="5.2938062466903176E-4"/>
    <x v="3"/>
  </r>
  <r>
    <x v="644"/>
    <n v="19"/>
    <x v="488"/>
    <x v="490"/>
    <x v="485"/>
    <n v="5685308"/>
    <n v="-1.0052910052909933E-2"/>
    <x v="3"/>
  </r>
  <r>
    <x v="645"/>
    <n v="18.899999999999999"/>
    <x v="489"/>
    <x v="275"/>
    <x v="248"/>
    <n v="4013574"/>
    <n v="1.7103153393907018E-2"/>
    <x v="3"/>
  </r>
  <r>
    <x v="646"/>
    <n v="18.579999999999998"/>
    <x v="490"/>
    <x v="253"/>
    <x v="486"/>
    <n v="4356013"/>
    <n v="3.047819232790322E-2"/>
    <x v="3"/>
  </r>
  <r>
    <x v="647"/>
    <n v="19.02"/>
    <x v="491"/>
    <x v="491"/>
    <x v="478"/>
    <n v="4364626"/>
    <n v="-1.0198878123406209E-3"/>
    <x v="3"/>
  </r>
  <r>
    <x v="648"/>
    <n v="19.57"/>
    <x v="492"/>
    <x v="492"/>
    <x v="487"/>
    <n v="4228172"/>
    <n v="2.0418580908626777E-2"/>
    <x v="3"/>
  </r>
  <r>
    <x v="649"/>
    <n v="19.57"/>
    <x v="493"/>
    <x v="493"/>
    <x v="488"/>
    <n v="4625603"/>
    <n v="4.5022511255627742E-3"/>
    <x v="3"/>
  </r>
  <r>
    <x v="650"/>
    <n v="19.899999999999999"/>
    <x v="403"/>
    <x v="494"/>
    <x v="489"/>
    <n v="8970370"/>
    <n v="-5.5776892430278759E-2"/>
    <x v="3"/>
  </r>
  <r>
    <x v="651"/>
    <n v="18.59"/>
    <x v="494"/>
    <x v="495"/>
    <x v="490"/>
    <n v="17352130"/>
    <n v="3.428270042194085E-2"/>
    <x v="3"/>
  </r>
  <r>
    <x v="652"/>
    <n v="18.87"/>
    <x v="495"/>
    <x v="496"/>
    <x v="478"/>
    <n v="8569354"/>
    <n v="2.9066802651708329E-2"/>
    <x v="3"/>
  </r>
  <r>
    <x v="653"/>
    <n v="19.829999999999998"/>
    <x v="496"/>
    <x v="412"/>
    <x v="491"/>
    <n v="8678224"/>
    <n v="-2.4777006937562293E-3"/>
    <x v="3"/>
  </r>
  <r>
    <x v="654"/>
    <n v="20.05"/>
    <x v="291"/>
    <x v="413"/>
    <x v="492"/>
    <n v="5930000"/>
    <n v="1.6393442622950911E-2"/>
    <x v="3"/>
  </r>
  <r>
    <x v="655"/>
    <n v="20.03"/>
    <x v="479"/>
    <x v="414"/>
    <x v="493"/>
    <n v="5727365"/>
    <n v="-6.3538611925709945E-3"/>
    <x v="3"/>
  </r>
  <r>
    <x v="656"/>
    <n v="20.5"/>
    <x v="286"/>
    <x v="497"/>
    <x v="494"/>
    <n v="5651561"/>
    <n v="-1.2788981800295033E-2"/>
    <x v="3"/>
  </r>
  <r>
    <x v="657"/>
    <n v="20.51"/>
    <x v="497"/>
    <x v="417"/>
    <x v="495"/>
    <n v="4679649"/>
    <n v="-3.0393622321873415E-2"/>
    <x v="3"/>
  </r>
  <r>
    <x v="658"/>
    <n v="20.22"/>
    <x v="271"/>
    <x v="498"/>
    <x v="496"/>
    <n v="7286804"/>
    <n v="-2.6207605344296073E-2"/>
    <x v="3"/>
  </r>
  <r>
    <x v="659"/>
    <n v="19"/>
    <x v="498"/>
    <x v="499"/>
    <x v="497"/>
    <n v="9519173"/>
    <n v="7.9155672823220131E-3"/>
    <x v="3"/>
  </r>
  <r>
    <x v="660"/>
    <n v="18.920000000000002"/>
    <x v="499"/>
    <x v="500"/>
    <x v="498"/>
    <n v="5674019"/>
    <n v="-6.8062827225132223E-3"/>
    <x v="3"/>
  </r>
  <r>
    <x v="661"/>
    <n v="19.059999999999999"/>
    <x v="500"/>
    <x v="501"/>
    <x v="499"/>
    <n v="4420612"/>
    <n v="0"/>
    <x v="3"/>
  </r>
  <r>
    <x v="662"/>
    <n v="19.059999999999999"/>
    <x v="500"/>
    <x v="501"/>
    <x v="499"/>
    <n v="27062"/>
    <n v="0"/>
    <x v="3"/>
  </r>
  <r>
    <x v="663"/>
    <n v="18.760000000000002"/>
    <x v="501"/>
    <x v="502"/>
    <x v="499"/>
    <n v="9182571"/>
    <n v="-3.3737480231945206E-2"/>
    <x v="3"/>
  </r>
  <r>
    <x v="664"/>
    <n v="19.18"/>
    <x v="494"/>
    <x v="503"/>
    <x v="500"/>
    <n v="8945756"/>
    <n v="1.4729950900163838E-2"/>
    <x v="3"/>
  </r>
  <r>
    <x v="665"/>
    <n v="18.52"/>
    <x v="502"/>
    <x v="256"/>
    <x v="501"/>
    <n v="5985053"/>
    <n v="-4.3010752688173032E-3"/>
    <x v="3"/>
  </r>
  <r>
    <x v="666"/>
    <n v="18.559999999999999"/>
    <x v="503"/>
    <x v="273"/>
    <x v="502"/>
    <n v="4176708"/>
    <n v="3.7796976241900801E-3"/>
    <x v="3"/>
  </r>
  <r>
    <x v="667"/>
    <n v="18.510000000000002"/>
    <x v="266"/>
    <x v="274"/>
    <x v="503"/>
    <n v="3875082"/>
    <n v="1.7751479289940929E-2"/>
    <x v="3"/>
  </r>
  <r>
    <x v="668"/>
    <n v="18.57"/>
    <x v="504"/>
    <x v="504"/>
    <x v="504"/>
    <n v="5666640"/>
    <n v="2.8012684989429045E-2"/>
    <x v="3"/>
  </r>
  <r>
    <x v="669"/>
    <n v="18.89"/>
    <x v="505"/>
    <x v="500"/>
    <x v="505"/>
    <n v="7489686"/>
    <n v="-2.4164524421593774E-2"/>
    <x v="3"/>
  </r>
  <r>
    <x v="670"/>
    <n v="19.149999999999999"/>
    <x v="506"/>
    <x v="505"/>
    <x v="506"/>
    <n v="5919721"/>
    <n v="2.4762908324552101E-2"/>
    <x v="3"/>
  </r>
  <r>
    <x v="671"/>
    <n v="19.059999999999999"/>
    <x v="507"/>
    <x v="491"/>
    <x v="505"/>
    <n v="5424386"/>
    <n v="1.6966580976863849E-2"/>
    <x v="3"/>
  </r>
  <r>
    <x v="672"/>
    <n v="19.62"/>
    <x v="269"/>
    <x v="506"/>
    <x v="507"/>
    <n v="4797810"/>
    <n v="-1.8705763397371133E-2"/>
    <x v="3"/>
  </r>
  <r>
    <x v="673"/>
    <n v="19.850000000000001"/>
    <x v="508"/>
    <x v="507"/>
    <x v="479"/>
    <n v="5995157"/>
    <n v="9.7372488408037125E-2"/>
    <x v="3"/>
  </r>
  <r>
    <x v="674"/>
    <n v="20.03"/>
    <x v="509"/>
    <x v="508"/>
    <x v="340"/>
    <n v="18767269"/>
    <n v="-1.0798122065727719E-2"/>
    <x v="3"/>
  </r>
  <r>
    <x v="675"/>
    <n v="21.08"/>
    <x v="510"/>
    <x v="509"/>
    <x v="336"/>
    <n v="14345271"/>
    <n v="5.220692928334097E-3"/>
    <x v="3"/>
  </r>
  <r>
    <x v="676"/>
    <n v="21.27"/>
    <x v="344"/>
    <x v="510"/>
    <x v="508"/>
    <n v="8205202"/>
    <n v="4.5325779036827239E-2"/>
    <x v="3"/>
  </r>
  <r>
    <x v="677"/>
    <n v="21.5"/>
    <x v="511"/>
    <x v="511"/>
    <x v="509"/>
    <n v="13183473"/>
    <n v="3.206865401987357E-2"/>
    <x v="3"/>
  </r>
  <r>
    <x v="678"/>
    <n v="22.98"/>
    <x v="512"/>
    <x v="512"/>
    <x v="510"/>
    <n v="22347403"/>
    <n v="6.126914660831379E-3"/>
    <x v="3"/>
  </r>
  <r>
    <x v="679"/>
    <n v="23.11"/>
    <x v="328"/>
    <x v="371"/>
    <x v="511"/>
    <n v="9469804"/>
    <n v="3.7407568508047107E-2"/>
    <x v="3"/>
  </r>
  <r>
    <x v="680"/>
    <n v="23.18"/>
    <x v="513"/>
    <x v="513"/>
    <x v="512"/>
    <n v="10981023"/>
    <n v="1.2578616352200245E-3"/>
    <x v="3"/>
  </r>
  <r>
    <x v="681"/>
    <n v="23.59"/>
    <x v="514"/>
    <x v="395"/>
    <x v="513"/>
    <n v="10848254"/>
    <n v="3.5175879396984917E-2"/>
    <x v="3"/>
  </r>
  <r>
    <x v="682"/>
    <n v="23.69"/>
    <x v="515"/>
    <x v="514"/>
    <x v="514"/>
    <n v="12073226"/>
    <n v="-4.9352750809061444E-2"/>
    <x v="3"/>
  </r>
  <r>
    <x v="683"/>
    <n v="24.34"/>
    <x v="348"/>
    <x v="515"/>
    <x v="515"/>
    <n v="12761903"/>
    <n v="2.7659574468085046E-2"/>
    <x v="3"/>
  </r>
  <r>
    <x v="684"/>
    <n v="23.87"/>
    <x v="516"/>
    <x v="516"/>
    <x v="516"/>
    <n v="8383656"/>
    <n v="-4.0579710144927408E-2"/>
    <x v="3"/>
  </r>
  <r>
    <x v="685"/>
    <n v="24.13"/>
    <x v="517"/>
    <x v="515"/>
    <x v="517"/>
    <n v="7967145"/>
    <n v="-4.0138109624514598E-2"/>
    <x v="3"/>
  </r>
  <r>
    <x v="686"/>
    <n v="23.44"/>
    <x v="518"/>
    <x v="517"/>
    <x v="518"/>
    <n v="10266059"/>
    <n v="-1.7985611510790984E-3"/>
    <x v="3"/>
  </r>
  <r>
    <x v="687"/>
    <n v="22.01"/>
    <x v="519"/>
    <x v="447"/>
    <x v="519"/>
    <n v="6931304"/>
    <n v="2.7027027027027091E-2"/>
    <x v="3"/>
  </r>
  <r>
    <x v="688"/>
    <n v="22.4"/>
    <x v="520"/>
    <x v="313"/>
    <x v="520"/>
    <n v="7452487"/>
    <n v="7.4561403508771121E-3"/>
    <x v="3"/>
  </r>
  <r>
    <x v="689"/>
    <n v="23"/>
    <x v="441"/>
    <x v="518"/>
    <x v="368"/>
    <n v="8333727"/>
    <n v="1.5672616456247256E-2"/>
    <x v="3"/>
  </r>
  <r>
    <x v="690"/>
    <n v="23.24"/>
    <x v="521"/>
    <x v="519"/>
    <x v="436"/>
    <n v="8398005"/>
    <n v="-2.0145735105014956E-2"/>
    <x v="3"/>
  </r>
  <r>
    <x v="691"/>
    <n v="23.56"/>
    <x v="522"/>
    <x v="520"/>
    <x v="386"/>
    <n v="6492396"/>
    <n v="-2.2747156605424305E-2"/>
    <x v="3"/>
  </r>
  <r>
    <x v="692"/>
    <n v="24"/>
    <x v="523"/>
    <x v="521"/>
    <x v="308"/>
    <n v="18759765"/>
    <n v="-7.2515666965085088E-2"/>
    <x v="3"/>
  </r>
  <r>
    <x v="693"/>
    <n v="22.12"/>
    <x v="399"/>
    <x v="522"/>
    <x v="304"/>
    <n v="12282638"/>
    <n v="-5.3088803088802818E-3"/>
    <x v="3"/>
  </r>
  <r>
    <x v="694"/>
    <n v="20.92"/>
    <x v="301"/>
    <x v="283"/>
    <x v="467"/>
    <n v="17476374"/>
    <n v="-9.7040271712758733E-4"/>
    <x v="3"/>
  </r>
  <r>
    <x v="695"/>
    <n v="20.329999999999998"/>
    <x v="524"/>
    <x v="523"/>
    <x v="334"/>
    <n v="8865451"/>
    <n v="3.1083050024283659E-2"/>
    <x v="3"/>
  </r>
  <r>
    <x v="696"/>
    <n v="20.8"/>
    <x v="525"/>
    <x v="294"/>
    <x v="521"/>
    <n v="7596753"/>
    <n v="1.2717852096090419E-2"/>
    <x v="3"/>
  </r>
  <r>
    <x v="697"/>
    <n v="21.64"/>
    <x v="526"/>
    <x v="524"/>
    <x v="522"/>
    <n v="9471498"/>
    <n v="-1.1162790697674346E-2"/>
    <x v="3"/>
  </r>
  <r>
    <x v="698"/>
    <n v="21.05"/>
    <x v="527"/>
    <x v="525"/>
    <x v="291"/>
    <n v="4884076"/>
    <n v="-7.0555032925683032E-3"/>
    <x v="3"/>
  </r>
  <r>
    <x v="699"/>
    <n v="21.43"/>
    <x v="528"/>
    <x v="526"/>
    <x v="430"/>
    <n v="5721166"/>
    <n v="7.10563713879688E-3"/>
    <x v="3"/>
  </r>
  <r>
    <x v="700"/>
    <n v="21.04"/>
    <x v="529"/>
    <x v="527"/>
    <x v="291"/>
    <n v="5875770"/>
    <n v="-2.7751646284101591E-2"/>
    <x v="3"/>
  </r>
  <r>
    <x v="701"/>
    <n v="20.78"/>
    <x v="530"/>
    <x v="339"/>
    <x v="523"/>
    <n v="7818655"/>
    <n v="4.0638606676342517E-2"/>
    <x v="3"/>
  </r>
  <r>
    <x v="702"/>
    <n v="20.59"/>
    <x v="531"/>
    <x v="528"/>
    <x v="524"/>
    <n v="6996232"/>
    <n v="3.7192003719199577E-3"/>
    <x v="3"/>
  </r>
  <r>
    <x v="703"/>
    <n v="21.67"/>
    <x v="294"/>
    <x v="355"/>
    <x v="525"/>
    <n v="5624211"/>
    <n v="-1.1116257526632627E-2"/>
    <x v="3"/>
  </r>
  <r>
    <x v="704"/>
    <n v="21.09"/>
    <x v="532"/>
    <x v="425"/>
    <x v="526"/>
    <n v="5915345"/>
    <n v="-2.0608899297423947E-2"/>
    <x v="3"/>
  </r>
  <r>
    <x v="705"/>
    <n v="21.42"/>
    <x v="528"/>
    <x v="529"/>
    <x v="527"/>
    <n v="5166547"/>
    <n v="-3.3476805356288823E-2"/>
    <x v="3"/>
  </r>
  <r>
    <x v="706"/>
    <n v="20.12"/>
    <x v="533"/>
    <x v="530"/>
    <x v="528"/>
    <n v="10992947"/>
    <n v="-1.8802572983671575E-2"/>
    <x v="3"/>
  </r>
  <r>
    <x v="707"/>
    <n v="20.29"/>
    <x v="471"/>
    <x v="492"/>
    <x v="529"/>
    <n v="9590784"/>
    <n v="3.7821482602118005E-2"/>
    <x v="3"/>
  </r>
  <r>
    <x v="708"/>
    <n v="19.78"/>
    <x v="534"/>
    <x v="531"/>
    <x v="280"/>
    <n v="7094180"/>
    <n v="-6.8027210884352299E-3"/>
    <x v="3"/>
  </r>
  <r>
    <x v="709"/>
    <n v="20.32"/>
    <x v="414"/>
    <x v="532"/>
    <x v="414"/>
    <n v="4630522"/>
    <n v="-3.0821917808219301E-2"/>
    <x v="3"/>
  </r>
  <r>
    <x v="710"/>
    <n v="20.48"/>
    <x v="471"/>
    <x v="284"/>
    <x v="530"/>
    <n v="5703326"/>
    <n v="-2.3725391216557239E-2"/>
    <x v="3"/>
  </r>
  <r>
    <x v="711"/>
    <n v="19.73"/>
    <x v="535"/>
    <x v="533"/>
    <x v="531"/>
    <n v="6814072"/>
    <n v="2.792140641158217E-2"/>
    <x v="3"/>
  </r>
  <r>
    <x v="712"/>
    <n v="19.48"/>
    <x v="536"/>
    <x v="485"/>
    <x v="532"/>
    <n v="5076916"/>
    <n v="9.0543259557343929E-3"/>
    <x v="3"/>
  </r>
  <r>
    <x v="713"/>
    <n v="19.87"/>
    <x v="537"/>
    <x v="534"/>
    <x v="477"/>
    <n v="10129430"/>
    <n v="0.16151545363908287"/>
    <x v="3"/>
  </r>
  <r>
    <x v="714"/>
    <n v="21.9"/>
    <x v="345"/>
    <x v="535"/>
    <x v="440"/>
    <n v="23214962"/>
    <n v="-3.8626609442060024E-3"/>
    <x v="3"/>
  </r>
  <r>
    <x v="715"/>
    <n v="23.19"/>
    <x v="455"/>
    <x v="397"/>
    <x v="384"/>
    <n v="13656486"/>
    <n v="-1.7664799655320987E-2"/>
    <x v="3"/>
  </r>
  <r>
    <x v="716"/>
    <n v="23.03"/>
    <x v="455"/>
    <x v="536"/>
    <x v="520"/>
    <n v="8564331"/>
    <n v="0.10964912280701754"/>
    <x v="3"/>
  </r>
  <r>
    <x v="717"/>
    <n v="22.92"/>
    <x v="538"/>
    <x v="537"/>
    <x v="533"/>
    <n v="30875768"/>
    <n v="-2.4110671936758869E-2"/>
    <x v="3"/>
  </r>
  <r>
    <x v="718"/>
    <n v="24.61"/>
    <x v="539"/>
    <x v="538"/>
    <x v="534"/>
    <n v="24571163"/>
    <n v="-4.8197650870797942E-2"/>
    <x v="3"/>
  </r>
  <r>
    <x v="719"/>
    <n v="24.37"/>
    <x v="540"/>
    <x v="366"/>
    <x v="515"/>
    <n v="17183811"/>
    <n v="8.5106382978723093E-3"/>
    <x v="3"/>
  </r>
  <r>
    <x v="720"/>
    <n v="23.6"/>
    <x v="457"/>
    <x v="519"/>
    <x v="389"/>
    <n v="11552044"/>
    <n v="2.5316455696203491E-3"/>
    <x v="3"/>
  </r>
  <r>
    <x v="721"/>
    <n v="24.08"/>
    <x v="541"/>
    <x v="539"/>
    <x v="535"/>
    <n v="10463881"/>
    <n v="-2.4410774410774487E-2"/>
    <x v="3"/>
  </r>
  <r>
    <x v="722"/>
    <n v="23.9"/>
    <x v="542"/>
    <x v="401"/>
    <x v="536"/>
    <n v="6986427"/>
    <n v="-2.5884383088869777E-2"/>
    <x v="3"/>
  </r>
  <r>
    <x v="723"/>
    <n v="22.79"/>
    <x v="543"/>
    <x v="540"/>
    <x v="537"/>
    <n v="9101258"/>
    <n v="-9.7431355181576123E-3"/>
    <x v="3"/>
  </r>
  <r>
    <x v="724"/>
    <n v="22.66"/>
    <x v="357"/>
    <x v="541"/>
    <x v="538"/>
    <n v="6064033"/>
    <n v="-8.8998211091234278E-2"/>
    <x v="3"/>
  </r>
  <r>
    <x v="725"/>
    <n v="21.57"/>
    <x v="409"/>
    <x v="532"/>
    <x v="285"/>
    <n v="18958612"/>
    <n v="9.3274423171329258E-3"/>
    <x v="3"/>
  </r>
  <r>
    <x v="726"/>
    <n v="19.45"/>
    <x v="292"/>
    <x v="479"/>
    <x v="294"/>
    <n v="17402335"/>
    <n v="4.3774319066147968E-2"/>
    <x v="3"/>
  </r>
  <r>
    <x v="727"/>
    <n v="20.71"/>
    <x v="531"/>
    <x v="292"/>
    <x v="539"/>
    <n v="13172230"/>
    <n v="-9.3196644920780865E-4"/>
    <x v="3"/>
  </r>
  <r>
    <x v="728"/>
    <n v="21.39"/>
    <x v="397"/>
    <x v="542"/>
    <x v="540"/>
    <n v="5945955"/>
    <n v="-4.6641791044776783E-3"/>
    <x v="3"/>
  </r>
  <r>
    <x v="729"/>
    <n v="21.28"/>
    <x v="288"/>
    <x v="301"/>
    <x v="398"/>
    <n v="5147286"/>
    <n v="8.4348641049671845E-3"/>
    <x v="3"/>
  </r>
  <r>
    <x v="730"/>
    <n v="21.38"/>
    <x v="397"/>
    <x v="543"/>
    <x v="290"/>
    <n v="3602564"/>
    <n v="-1.1152416356877252E-2"/>
    <x v="3"/>
  </r>
  <r>
    <x v="731"/>
    <n v="21.2"/>
    <x v="468"/>
    <x v="544"/>
    <x v="541"/>
    <n v="13079288"/>
    <n v="-2.3026315789473777E-2"/>
    <x v="3"/>
  </r>
  <r>
    <x v="732"/>
    <n v="21.23"/>
    <x v="544"/>
    <x v="356"/>
    <x v="542"/>
    <n v="7649091"/>
    <n v="-2.2126022126022167E-2"/>
    <x v="3"/>
  </r>
  <r>
    <x v="733"/>
    <n v="20.68"/>
    <x v="545"/>
    <x v="545"/>
    <x v="494"/>
    <n v="7447392"/>
    <n v="-5.9026069847514734E-3"/>
    <x v="3"/>
  </r>
  <r>
    <x v="734"/>
    <n v="20.149999999999999"/>
    <x v="546"/>
    <x v="494"/>
    <x v="528"/>
    <n v="7216706"/>
    <n v="-4.9480455220188724E-3"/>
    <x v="3"/>
  </r>
  <r>
    <x v="735"/>
    <n v="20.13"/>
    <x v="547"/>
    <x v="285"/>
    <x v="543"/>
    <n v="5375104"/>
    <n v="-4.2267528592739828E-2"/>
    <x v="3"/>
  </r>
  <r>
    <x v="736"/>
    <n v="19.8"/>
    <x v="548"/>
    <x v="546"/>
    <x v="544"/>
    <n v="8350469"/>
    <n v="-2.8037383177570232E-2"/>
    <x v="3"/>
  </r>
  <r>
    <x v="737"/>
    <n v="19"/>
    <x v="549"/>
    <x v="275"/>
    <x v="545"/>
    <n v="7720821"/>
    <n v="5.3418803418811773E-4"/>
    <x v="3"/>
  </r>
  <r>
    <x v="738"/>
    <n v="18.989999999999998"/>
    <x v="550"/>
    <x v="547"/>
    <x v="249"/>
    <n v="7480760"/>
    <n v="-6.300053390282967E-2"/>
    <x v="3"/>
  </r>
  <r>
    <x v="739"/>
    <n v="17.34"/>
    <x v="551"/>
    <x v="548"/>
    <x v="546"/>
    <n v="22491931"/>
    <n v="8.4330484330484345E-2"/>
    <x v="3"/>
  </r>
  <r>
    <x v="740"/>
    <n v="18.22"/>
    <x v="552"/>
    <x v="549"/>
    <x v="486"/>
    <n v="14283528"/>
    <n v="-2.1019442984761015E-2"/>
    <x v="3"/>
  </r>
  <r>
    <x v="741"/>
    <n v="18.63"/>
    <x v="267"/>
    <x v="550"/>
    <x v="547"/>
    <n v="9169989"/>
    <n v="3.9720880300590553E-2"/>
    <x v="3"/>
  </r>
  <r>
    <x v="742"/>
    <n v="18.760000000000002"/>
    <x v="553"/>
    <x v="551"/>
    <x v="548"/>
    <n v="10015427"/>
    <n v="-3.6138358286009436E-3"/>
    <x v="3"/>
  </r>
  <r>
    <x v="743"/>
    <n v="19.2"/>
    <x v="505"/>
    <x v="552"/>
    <x v="549"/>
    <n v="6340336"/>
    <n v="1.9689119170984405E-2"/>
    <x v="3"/>
  </r>
  <r>
    <x v="744"/>
    <n v="19.25"/>
    <x v="554"/>
    <x v="553"/>
    <x v="550"/>
    <n v="6765612"/>
    <n v="-1.0162601626016044E-3"/>
    <x v="3"/>
  </r>
  <r>
    <x v="745"/>
    <n v="19.34"/>
    <x v="279"/>
    <x v="479"/>
    <x v="551"/>
    <n v="6887577"/>
    <n v="-3.3570701932858604E-2"/>
    <x v="3"/>
  </r>
  <r>
    <x v="746"/>
    <n v="19.78"/>
    <x v="273"/>
    <x v="274"/>
    <x v="552"/>
    <n v="16547522"/>
    <n v="4.8947368421052614E-2"/>
    <x v="3"/>
  </r>
  <r>
    <x v="747"/>
    <n v="18.7"/>
    <x v="486"/>
    <x v="499"/>
    <x v="553"/>
    <n v="8294917"/>
    <n v="-2.0070245860511365E-3"/>
    <x v="3"/>
  </r>
  <r>
    <x v="748"/>
    <n v="20.239999999999998"/>
    <x v="496"/>
    <x v="554"/>
    <x v="554"/>
    <n v="7349422"/>
    <n v="2.5138260432378437E-3"/>
    <x v="3"/>
  </r>
  <r>
    <x v="749"/>
    <n v="19.850000000000001"/>
    <x v="555"/>
    <x v="284"/>
    <x v="555"/>
    <n v="5050478"/>
    <n v="2.0060180541624445E-3"/>
    <x v="3"/>
  </r>
  <r>
    <x v="750"/>
    <n v="19.899999999999999"/>
    <x v="537"/>
    <x v="506"/>
    <x v="556"/>
    <n v="4842961"/>
    <n v="4.5045045045044975E-3"/>
    <x v="3"/>
  </r>
  <r>
    <x v="751"/>
    <n v="20"/>
    <x v="546"/>
    <x v="555"/>
    <x v="495"/>
    <n v="4481729"/>
    <n v="2.8400597907324378E-2"/>
    <x v="3"/>
  </r>
  <r>
    <x v="752"/>
    <n v="20.13"/>
    <x v="284"/>
    <x v="430"/>
    <x v="557"/>
    <n v="7843216"/>
    <n v="-6.7829457364341362E-3"/>
    <x v="3"/>
  </r>
  <r>
    <x v="753"/>
    <n v="20.86"/>
    <x v="556"/>
    <x v="418"/>
    <x v="413"/>
    <n v="8509084"/>
    <n v="-0.13902439024390251"/>
    <x v="3"/>
  </r>
  <r>
    <x v="754"/>
    <n v="18.02"/>
    <x v="557"/>
    <x v="556"/>
    <x v="558"/>
    <n v="33649694"/>
    <n v="0.17337110481586415"/>
    <x v="3"/>
  </r>
  <r>
    <x v="755"/>
    <n v="20.38"/>
    <x v="558"/>
    <x v="430"/>
    <x v="559"/>
    <n v="21777597"/>
    <n v="-3.0902945436986989E-2"/>
    <x v="3"/>
  </r>
  <r>
    <x v="756"/>
    <n v="20.93"/>
    <x v="405"/>
    <x v="417"/>
    <x v="495"/>
    <n v="11743511"/>
    <n v="-2.0926756352765405E-2"/>
    <x v="3"/>
  </r>
  <r>
    <x v="757"/>
    <n v="20.22"/>
    <x v="546"/>
    <x v="498"/>
    <x v="560"/>
    <n v="7994988"/>
    <n v="-4.3765903307888016E-2"/>
    <x v="3"/>
  </r>
  <r>
    <x v="758"/>
    <n v="19.600000000000001"/>
    <x v="559"/>
    <x v="557"/>
    <x v="561"/>
    <n v="9814212"/>
    <n v="-7.0782331027142015E-2"/>
    <x v="3"/>
  </r>
  <r>
    <x v="759"/>
    <n v="18.309999999999999"/>
    <x v="560"/>
    <x v="558"/>
    <x v="266"/>
    <n v="17944537"/>
    <n v="-4.3528064146620936E-2"/>
    <x v="3"/>
  </r>
  <r>
    <x v="760"/>
    <n v="17.63"/>
    <x v="113"/>
    <x v="245"/>
    <x v="258"/>
    <n v="13472653"/>
    <n v="4.9101796407185649E-2"/>
    <x v="3"/>
  </r>
  <r>
    <x v="761"/>
    <n v="17.02"/>
    <x v="561"/>
    <x v="270"/>
    <x v="562"/>
    <n v="12060574"/>
    <n v="-2.2260273972602773E-2"/>
    <x v="3"/>
  </r>
  <r>
    <x v="762"/>
    <n v="17.64"/>
    <x v="562"/>
    <x v="559"/>
    <x v="256"/>
    <n v="12815278"/>
    <n v="-1.8096906012842893E-2"/>
    <x v="3"/>
  </r>
  <r>
    <x v="763"/>
    <n v="17.170000000000002"/>
    <x v="563"/>
    <x v="245"/>
    <x v="563"/>
    <n v="8167738"/>
    <n v="2.5564803804994037E-2"/>
    <x v="3"/>
  </r>
  <r>
    <x v="764"/>
    <n v="17.399999999999999"/>
    <x v="564"/>
    <x v="478"/>
    <x v="564"/>
    <n v="7201404"/>
    <n v="3.4782608695651434E-3"/>
    <x v="3"/>
  </r>
  <r>
    <x v="765"/>
    <n v="17.27"/>
    <x v="565"/>
    <x v="114"/>
    <x v="565"/>
    <n v="6199965"/>
    <n v="6.5280184864240476E-2"/>
    <x v="3"/>
  </r>
  <r>
    <x v="766"/>
    <n v="17.71"/>
    <x v="566"/>
    <x v="560"/>
    <x v="566"/>
    <n v="9526401"/>
    <n v="-1.7353579175705004E-2"/>
    <x v="3"/>
  </r>
  <r>
    <x v="767"/>
    <n v="18.829999999999998"/>
    <x v="567"/>
    <x v="561"/>
    <x v="567"/>
    <n v="8655542"/>
    <n v="-2.9249448123620372E-2"/>
    <x v="3"/>
  </r>
  <r>
    <x v="768"/>
    <n v="17.95"/>
    <x v="568"/>
    <x v="562"/>
    <x v="568"/>
    <n v="5421184"/>
    <n v="-1.4781125639568026E-2"/>
    <x v="3"/>
  </r>
  <r>
    <x v="769"/>
    <n v="17.829999999999998"/>
    <x v="569"/>
    <x v="113"/>
    <x v="569"/>
    <n v="9375549"/>
    <n v="4.0392383150606058E-3"/>
    <x v="3"/>
  </r>
  <r>
    <x v="770"/>
    <n v="17.38"/>
    <x v="570"/>
    <x v="563"/>
    <x v="570"/>
    <n v="5600260"/>
    <n v="0.12701149425287361"/>
    <x v="3"/>
  </r>
  <r>
    <x v="771"/>
    <n v="17.59"/>
    <x v="571"/>
    <x v="564"/>
    <x v="478"/>
    <n v="19027753"/>
    <n v="-1.9377868434472159E-2"/>
    <x v="3"/>
  </r>
  <r>
    <x v="772"/>
    <n v="20.07"/>
    <x v="404"/>
    <x v="565"/>
    <x v="571"/>
    <n v="20058258"/>
    <n v="9.1523660946437754E-2"/>
    <x v="3"/>
  </r>
  <r>
    <x v="773"/>
    <n v="21.15"/>
    <x v="448"/>
    <x v="430"/>
    <x v="572"/>
    <n v="20840724"/>
    <n v="5.0976655550262047E-2"/>
    <x v="3"/>
  </r>
  <r>
    <x v="774"/>
    <n v="20.55"/>
    <x v="572"/>
    <x v="566"/>
    <x v="457"/>
    <n v="27425520"/>
    <n v="1.1786038077969246E-2"/>
    <x v="3"/>
  </r>
  <r>
    <x v="775"/>
    <n v="22.5"/>
    <x v="573"/>
    <x v="471"/>
    <x v="433"/>
    <n v="14486027"/>
    <n v="-1.4784946236559222E-2"/>
    <x v="3"/>
  </r>
  <r>
    <x v="776"/>
    <n v="21.89"/>
    <x v="574"/>
    <x v="567"/>
    <x v="342"/>
    <n v="9126704"/>
    <n v="2.273760800363802E-2"/>
    <x v="3"/>
  </r>
  <r>
    <x v="777"/>
    <n v="22.17"/>
    <x v="575"/>
    <x v="568"/>
    <x v="394"/>
    <n v="7624348"/>
    <n v="2.0453534904401997E-2"/>
    <x v="3"/>
  </r>
  <r>
    <x v="778"/>
    <n v="22.55"/>
    <x v="576"/>
    <x v="450"/>
    <x v="573"/>
    <n v="8000132"/>
    <n v="6.1002178649237722E-3"/>
    <x v="3"/>
  </r>
  <r>
    <x v="779"/>
    <n v="22.92"/>
    <x v="440"/>
    <x v="388"/>
    <x v="574"/>
    <n v="7807971"/>
    <n v="-1.4291901255954885E-2"/>
    <x v="3"/>
  </r>
  <r>
    <x v="780"/>
    <n v="22.7"/>
    <x v="423"/>
    <x v="569"/>
    <x v="361"/>
    <n v="7831048"/>
    <n v="-8.7873462214424979E-4"/>
    <x v="3"/>
  </r>
  <r>
    <x v="781"/>
    <n v="22.6"/>
    <x v="577"/>
    <x v="406"/>
    <x v="382"/>
    <n v="6762889"/>
    <n v="2.0668425681618401E-2"/>
    <x v="3"/>
  </r>
  <r>
    <x v="782"/>
    <n v="22.89"/>
    <x v="578"/>
    <x v="570"/>
    <x v="384"/>
    <n v="7374522"/>
    <n v="9.4786729857819409E-3"/>
    <x v="3"/>
  </r>
  <r>
    <x v="783"/>
    <n v="23.23"/>
    <x v="365"/>
    <x v="571"/>
    <x v="575"/>
    <n v="7090674"/>
    <n v="-2.5608194622278582E-3"/>
    <x v="3"/>
  </r>
  <r>
    <x v="784"/>
    <n v="23.27"/>
    <x v="355"/>
    <x v="572"/>
    <x v="369"/>
    <n v="5098846"/>
    <n v="-5.4771074026529788E-2"/>
    <x v="3"/>
  </r>
  <r>
    <x v="785"/>
    <n v="23.22"/>
    <x v="369"/>
    <x v="437"/>
    <x v="576"/>
    <n v="6941523"/>
    <n v="2.2181982797645924E-2"/>
    <x v="3"/>
  </r>
  <r>
    <x v="786"/>
    <n v="22.21"/>
    <x v="382"/>
    <x v="573"/>
    <x v="537"/>
    <n v="5448597"/>
    <n v="1.5500442869796344E-2"/>
    <x v="3"/>
  </r>
  <r>
    <x v="787"/>
    <n v="22.85"/>
    <x v="573"/>
    <x v="574"/>
    <x v="577"/>
    <n v="5040287"/>
    <n v="1.3083296990841724E-2"/>
    <x v="3"/>
  </r>
  <r>
    <x v="788"/>
    <n v="22.82"/>
    <x v="384"/>
    <x v="575"/>
    <x v="578"/>
    <n v="4625719"/>
    <n v="1.6788635385277681E-2"/>
    <x v="3"/>
  </r>
  <r>
    <x v="789"/>
    <n v="23.01"/>
    <x v="360"/>
    <x v="455"/>
    <x v="442"/>
    <n v="7206191"/>
    <n v="-2.5402201524133052E-3"/>
    <x v="3"/>
  </r>
  <r>
    <x v="790"/>
    <n v="23.76"/>
    <x v="326"/>
    <x v="576"/>
    <x v="579"/>
    <n v="9708871"/>
    <n v="-1.6553480475381879E-2"/>
    <x v="3"/>
  </r>
  <r>
    <x v="791"/>
    <n v="22.78"/>
    <x v="369"/>
    <x v="449"/>
    <x v="517"/>
    <n v="8004709"/>
    <n v="-2.6758739749676345E-2"/>
    <x v="3"/>
  </r>
  <r>
    <x v="792"/>
    <n v="23.47"/>
    <x v="579"/>
    <x v="315"/>
    <x v="580"/>
    <n v="4686808"/>
    <n v="-3.680709534368079E-2"/>
    <x v="3"/>
  </r>
  <r>
    <x v="793"/>
    <n v="22.29"/>
    <x v="394"/>
    <x v="577"/>
    <x v="395"/>
    <n v="4202642"/>
    <n v="6.2154696132596755E-2"/>
    <x v="3"/>
  </r>
  <r>
    <x v="794"/>
    <n v="21.67"/>
    <x v="580"/>
    <x v="438"/>
    <x v="581"/>
    <n v="7992141"/>
    <n v="-6.0684872128305405E-3"/>
    <x v="3"/>
  </r>
  <r>
    <x v="795"/>
    <n v="22.67"/>
    <x v="581"/>
    <x v="392"/>
    <x v="577"/>
    <n v="6358300"/>
    <n v="1.1338857392062867E-2"/>
    <x v="3"/>
  </r>
  <r>
    <x v="796"/>
    <n v="23.07"/>
    <x v="442"/>
    <x v="454"/>
    <x v="582"/>
    <n v="4127578"/>
    <n v="-1.9404915912031171E-2"/>
    <x v="3"/>
  </r>
  <r>
    <x v="797"/>
    <n v="23.13"/>
    <x v="341"/>
    <x v="578"/>
    <x v="382"/>
    <n v="3080724"/>
    <n v="2.7704485488126762E-2"/>
    <x v="3"/>
  </r>
  <r>
    <x v="798"/>
    <n v="22.79"/>
    <x v="582"/>
    <x v="368"/>
    <x v="369"/>
    <n v="5628895"/>
    <n v="2.2678647839109865E-2"/>
    <x v="3"/>
  </r>
  <r>
    <x v="799"/>
    <n v="24"/>
    <x v="583"/>
    <x v="516"/>
    <x v="583"/>
    <n v="8306511"/>
    <n v="3.3472803347281109E-3"/>
    <x v="3"/>
  </r>
  <r>
    <x v="800"/>
    <n v="23.74"/>
    <x v="371"/>
    <x v="516"/>
    <x v="314"/>
    <n v="8461945"/>
    <n v="9.1743119266054565E-3"/>
    <x v="3"/>
  </r>
  <r>
    <x v="801"/>
    <n v="23.73"/>
    <x v="584"/>
    <x v="579"/>
    <x v="584"/>
    <n v="7842508"/>
    <n v="-1.4049586776859498E-2"/>
    <x v="3"/>
  </r>
  <r>
    <x v="802"/>
    <n v="24.6"/>
    <x v="585"/>
    <x v="580"/>
    <x v="355"/>
    <n v="11511177"/>
    <n v="2.011735121542332E-2"/>
    <x v="3"/>
  </r>
  <r>
    <x v="803"/>
    <n v="24"/>
    <x v="583"/>
    <x v="581"/>
    <x v="585"/>
    <n v="6613455"/>
    <n v="4.5193097781429511E-3"/>
    <x v="3"/>
  </r>
  <r>
    <x v="804"/>
    <n v="24.66"/>
    <x v="586"/>
    <x v="582"/>
    <x v="586"/>
    <n v="6308769"/>
    <n v="-4.0899795501014359E-4"/>
    <x v="3"/>
  </r>
  <r>
    <x v="805"/>
    <n v="24.63"/>
    <x v="311"/>
    <x v="583"/>
    <x v="587"/>
    <n v="5027048"/>
    <n v="2.7823240589198023E-2"/>
    <x v="3"/>
  </r>
  <r>
    <x v="806"/>
    <n v="24.68"/>
    <x v="587"/>
    <x v="584"/>
    <x v="588"/>
    <n v="7365854"/>
    <n v="-2.9458598726114726E-2"/>
    <x v="3"/>
  </r>
  <r>
    <x v="807"/>
    <n v="25"/>
    <x v="588"/>
    <x v="585"/>
    <x v="589"/>
    <n v="6337555"/>
    <n v="-4.7169811320754658E-2"/>
    <x v="3"/>
  </r>
  <r>
    <x v="808"/>
    <n v="24.13"/>
    <x v="589"/>
    <x v="586"/>
    <x v="578"/>
    <n v="7674008"/>
    <n v="-3.2716315109771917E-2"/>
    <x v="3"/>
  </r>
  <r>
    <x v="809"/>
    <n v="23.37"/>
    <x v="582"/>
    <x v="541"/>
    <x v="393"/>
    <n v="7099999"/>
    <n v="-1.2016021361815735E-2"/>
    <x v="3"/>
  </r>
  <r>
    <x v="810"/>
    <n v="22.51"/>
    <x v="581"/>
    <x v="587"/>
    <x v="519"/>
    <n v="8274181"/>
    <n v="-5.2702702702702622E-2"/>
    <x v="3"/>
  </r>
  <r>
    <x v="811"/>
    <n v="21.8"/>
    <x v="395"/>
    <x v="422"/>
    <x v="406"/>
    <n v="9071858"/>
    <n v="1.3789824060865388E-2"/>
    <x v="3"/>
  </r>
  <r>
    <x v="812"/>
    <n v="21.16"/>
    <x v="590"/>
    <x v="460"/>
    <x v="590"/>
    <n v="8016801"/>
    <n v="-7.6454033771106891E-2"/>
    <x v="3"/>
  </r>
  <r>
    <x v="813"/>
    <n v="20.9"/>
    <x v="285"/>
    <x v="412"/>
    <x v="591"/>
    <n v="5559913"/>
    <n v="0.10411376333164027"/>
    <x v="3"/>
  </r>
  <r>
    <x v="814"/>
    <n v="20"/>
    <x v="296"/>
    <x v="279"/>
    <x v="396"/>
    <n v="8163138"/>
    <n v="-3.0358785648574065E-2"/>
    <x v="3"/>
  </r>
  <r>
    <x v="815"/>
    <n v="21.32"/>
    <x v="509"/>
    <x v="419"/>
    <x v="592"/>
    <n v="8575133"/>
    <n v="5.5977229601518186E-2"/>
    <x v="3"/>
  </r>
  <r>
    <x v="816"/>
    <n v="21.54"/>
    <x v="305"/>
    <x v="461"/>
    <x v="445"/>
    <n v="9938992"/>
    <n v="-3.1446540880503272E-3"/>
    <x v="3"/>
  </r>
  <r>
    <x v="817"/>
    <n v="22.52"/>
    <x v="591"/>
    <x v="588"/>
    <x v="593"/>
    <n v="6302338"/>
    <n v="-6.8499324019828722E-2"/>
    <x v="3"/>
  </r>
  <r>
    <x v="818"/>
    <n v="20.41"/>
    <x v="530"/>
    <x v="589"/>
    <x v="523"/>
    <n v="11658648"/>
    <n v="-3.1446540880503242E-2"/>
    <x v="4"/>
  </r>
  <r>
    <x v="819"/>
    <n v="20.47"/>
    <x v="478"/>
    <x v="508"/>
    <x v="284"/>
    <n v="6965184"/>
    <n v="5.7942057942057951E-2"/>
    <x v="4"/>
  </r>
  <r>
    <x v="820"/>
    <n v="20.399999999999999"/>
    <x v="330"/>
    <x v="590"/>
    <x v="508"/>
    <n v="7394116"/>
    <n v="5.4296506137865845E-2"/>
    <x v="4"/>
  </r>
  <r>
    <x v="821"/>
    <n v="21.45"/>
    <x v="592"/>
    <x v="591"/>
    <x v="594"/>
    <n v="7551225"/>
    <n v="1.3434841021048429E-3"/>
    <x v="4"/>
  </r>
  <r>
    <x v="822"/>
    <n v="22.8"/>
    <x v="423"/>
    <x v="469"/>
    <x v="538"/>
    <n v="7008516"/>
    <n v="9.3917710196780354E-3"/>
    <x v="4"/>
  </r>
  <r>
    <x v="823"/>
    <n v="22.37"/>
    <x v="520"/>
    <x v="464"/>
    <x v="595"/>
    <n v="5432945"/>
    <n v="1.9051838723969858E-2"/>
    <x v="4"/>
  </r>
  <r>
    <x v="824"/>
    <n v="22.29"/>
    <x v="340"/>
    <x v="367"/>
    <x v="380"/>
    <n v="6056354"/>
    <n v="6.5217391304347207E-3"/>
    <x v="4"/>
  </r>
  <r>
    <x v="825"/>
    <n v="22.81"/>
    <x v="308"/>
    <x v="372"/>
    <x v="312"/>
    <n v="5039052"/>
    <n v="-3.7149028077753755E-2"/>
    <x v="4"/>
  </r>
  <r>
    <x v="826"/>
    <n v="22.83"/>
    <x v="593"/>
    <x v="592"/>
    <x v="596"/>
    <n v="5247284"/>
    <n v="3.0058322117541576E-2"/>
    <x v="4"/>
  </r>
  <r>
    <x v="827"/>
    <n v="22.33"/>
    <x v="577"/>
    <x v="593"/>
    <x v="597"/>
    <n v="6056590"/>
    <n v="4.790940766550498E-3"/>
    <x v="4"/>
  </r>
  <r>
    <x v="828"/>
    <n v="22.99"/>
    <x v="594"/>
    <x v="377"/>
    <x v="581"/>
    <n v="4691739"/>
    <n v="3.467706978760221E-3"/>
    <x v="4"/>
  </r>
  <r>
    <x v="829"/>
    <n v="23.08"/>
    <x v="380"/>
    <x v="594"/>
    <x v="312"/>
    <n v="3676733"/>
    <n v="-0.12958963282937366"/>
    <x v="4"/>
  </r>
  <r>
    <x v="830"/>
    <n v="21.53"/>
    <x v="334"/>
    <x v="483"/>
    <x v="598"/>
    <n v="24150763"/>
    <n v="-1.091811414392054E-2"/>
    <x v="4"/>
  </r>
  <r>
    <x v="831"/>
    <n v="20.32"/>
    <x v="417"/>
    <x v="480"/>
    <x v="553"/>
    <n v="12066741"/>
    <n v="-3.8133467134972301E-2"/>
    <x v="4"/>
  </r>
  <r>
    <x v="832"/>
    <n v="19.5"/>
    <x v="491"/>
    <x v="595"/>
    <x v="599"/>
    <n v="12529993"/>
    <n v="1.3562858633281064E-2"/>
    <x v="4"/>
  </r>
  <r>
    <x v="833"/>
    <n v="18.87"/>
    <x v="595"/>
    <x v="596"/>
    <x v="600"/>
    <n v="8012155"/>
    <n v="1.9042717447246577E-2"/>
    <x v="4"/>
  </r>
  <r>
    <x v="834"/>
    <n v="19.63"/>
    <x v="596"/>
    <x v="597"/>
    <x v="601"/>
    <n v="7258078"/>
    <n v="-2.0202020202019773E-3"/>
    <x v="4"/>
  </r>
  <r>
    <x v="835"/>
    <n v="19.53"/>
    <x v="597"/>
    <x v="598"/>
    <x v="602"/>
    <n v="6423279"/>
    <n v="3.5425101214573242E-3"/>
    <x v="4"/>
  </r>
  <r>
    <x v="836"/>
    <n v="19.68"/>
    <x v="596"/>
    <x v="599"/>
    <x v="529"/>
    <n v="4621692"/>
    <n v="3.7821482602118005E-2"/>
    <x v="4"/>
  </r>
  <r>
    <x v="837"/>
    <n v="20.03"/>
    <x v="480"/>
    <x v="600"/>
    <x v="280"/>
    <n v="11250318"/>
    <n v="-5.3449951409134814E-3"/>
    <x v="4"/>
  </r>
  <r>
    <x v="838"/>
    <n v="20.07"/>
    <x v="470"/>
    <x v="601"/>
    <x v="603"/>
    <n v="12569245"/>
    <n v="1.6609672691744008E-2"/>
    <x v="4"/>
  </r>
  <r>
    <x v="839"/>
    <n v="20.36"/>
    <x v="598"/>
    <x v="309"/>
    <x v="604"/>
    <n v="7283441"/>
    <n v="2.4026910139356423E-3"/>
    <x v="4"/>
  </r>
  <r>
    <x v="840"/>
    <n v="20.87"/>
    <x v="599"/>
    <x v="523"/>
    <x v="605"/>
    <n v="7352082"/>
    <n v="2.6845637583892728E-2"/>
    <x v="4"/>
  </r>
  <r>
    <x v="841"/>
    <n v="20.83"/>
    <x v="468"/>
    <x v="602"/>
    <x v="296"/>
    <n v="6742765"/>
    <n v="-1.2605042016806867E-2"/>
    <x v="4"/>
  </r>
  <r>
    <x v="842"/>
    <n v="21.31"/>
    <x v="600"/>
    <x v="347"/>
    <x v="424"/>
    <n v="5038546"/>
    <n v="-3.0732860520094496E-2"/>
    <x v="4"/>
  </r>
  <r>
    <x v="843"/>
    <n v="20.89"/>
    <x v="299"/>
    <x v="603"/>
    <x v="413"/>
    <n v="6520611"/>
    <n v="-5.365853658536558E-3"/>
    <x v="4"/>
  </r>
  <r>
    <x v="844"/>
    <n v="20.46"/>
    <x v="402"/>
    <x v="600"/>
    <x v="606"/>
    <n v="5844212"/>
    <n v="2.3050514958312843E-2"/>
    <x v="4"/>
  </r>
  <r>
    <x v="845"/>
    <n v="20.77"/>
    <x v="419"/>
    <x v="297"/>
    <x v="605"/>
    <n v="7129713"/>
    <n v="-3.355704697986591E-3"/>
    <x v="4"/>
  </r>
  <r>
    <x v="846"/>
    <n v="21.08"/>
    <x v="408"/>
    <x v="442"/>
    <x v="542"/>
    <n v="5517570"/>
    <n v="-1.2025012025012025E-2"/>
    <x v="4"/>
  </r>
  <r>
    <x v="847"/>
    <n v="20.82"/>
    <x v="601"/>
    <x v="282"/>
    <x v="286"/>
    <n v="5141617"/>
    <n v="-1.4118792599805217E-2"/>
    <x v="4"/>
  </r>
  <r>
    <x v="848"/>
    <n v="20.23"/>
    <x v="602"/>
    <x v="430"/>
    <x v="275"/>
    <n v="5200832"/>
    <n v="1.3827160493827217E-2"/>
    <x v="4"/>
  </r>
  <r>
    <x v="849"/>
    <n v="20.3"/>
    <x v="417"/>
    <x v="604"/>
    <x v="607"/>
    <n v="3904947"/>
    <n v="-7.3063809059913361E-3"/>
    <x v="4"/>
  </r>
  <r>
    <x v="850"/>
    <n v="20.440000000000001"/>
    <x v="470"/>
    <x v="310"/>
    <x v="474"/>
    <n v="4168443"/>
    <n v="-1.03042198233561E-2"/>
    <x v="4"/>
  </r>
  <r>
    <x v="851"/>
    <n v="20.29"/>
    <x v="401"/>
    <x v="413"/>
    <x v="278"/>
    <n v="7142117"/>
    <n v="-3.7183936539414972E-2"/>
    <x v="4"/>
  </r>
  <r>
    <x v="852"/>
    <n v="20.12"/>
    <x v="603"/>
    <x v="605"/>
    <x v="608"/>
    <n v="8909182"/>
    <n v="1.1843460350154317E-2"/>
    <x v="4"/>
  </r>
  <r>
    <x v="853"/>
    <n v="19.63"/>
    <x v="604"/>
    <x v="606"/>
    <x v="560"/>
    <n v="5740558"/>
    <n v="1.3740458015267335E-2"/>
    <x v="4"/>
  </r>
  <r>
    <x v="854"/>
    <n v="19.86"/>
    <x v="605"/>
    <x v="607"/>
    <x v="609"/>
    <n v="6626522"/>
    <n v="-3.0120481927711981E-3"/>
    <x v="4"/>
  </r>
  <r>
    <x v="855"/>
    <n v="19.48"/>
    <x v="272"/>
    <x v="608"/>
    <x v="610"/>
    <n v="8582535"/>
    <n v="5.6394763343403875E-2"/>
    <x v="4"/>
  </r>
  <r>
    <x v="856"/>
    <n v="20.12"/>
    <x v="406"/>
    <x v="429"/>
    <x v="611"/>
    <n v="11183908"/>
    <n v="1.6682554814108574E-2"/>
    <x v="4"/>
  </r>
  <r>
    <x v="857"/>
    <n v="21.26"/>
    <x v="413"/>
    <x v="441"/>
    <x v="612"/>
    <n v="10520653"/>
    <n v="-7.8762306610407867E-2"/>
    <x v="4"/>
  </r>
  <r>
    <x v="858"/>
    <n v="20.46"/>
    <x v="606"/>
    <x v="609"/>
    <x v="560"/>
    <n v="22911375"/>
    <n v="-3.206106870229003E-2"/>
    <x v="4"/>
  </r>
  <r>
    <x v="859"/>
    <n v="19.87"/>
    <x v="269"/>
    <x v="610"/>
    <x v="613"/>
    <n v="17096818"/>
    <n v="-3.0494216614090342E-2"/>
    <x v="4"/>
  </r>
  <r>
    <x v="860"/>
    <n v="18.8"/>
    <x v="607"/>
    <x v="611"/>
    <x v="566"/>
    <n v="18764740"/>
    <n v="-1.0845986984815387E-3"/>
    <x v="4"/>
  </r>
  <r>
    <x v="861"/>
    <n v="18.43"/>
    <x v="608"/>
    <x v="612"/>
    <x v="614"/>
    <n v="10335485"/>
    <n v="1.0857763300759812E-3"/>
    <x v="4"/>
  </r>
  <r>
    <x v="862"/>
    <n v="18.59"/>
    <x v="609"/>
    <x v="613"/>
    <x v="566"/>
    <n v="9442483"/>
    <n v="2.7114967462039043E-2"/>
    <x v="4"/>
  </r>
  <r>
    <x v="863"/>
    <n v="18.46"/>
    <x v="610"/>
    <x v="614"/>
    <x v="615"/>
    <n v="8819625"/>
    <n v="2.3759239704329423E-2"/>
    <x v="4"/>
  </r>
  <r>
    <x v="864"/>
    <n v="18.899999999999999"/>
    <x v="611"/>
    <x v="499"/>
    <x v="616"/>
    <n v="7392278"/>
    <n v="-2.5786487880350695E-2"/>
    <x v="4"/>
  </r>
  <r>
    <x v="865"/>
    <n v="19.100000000000001"/>
    <x v="494"/>
    <x v="615"/>
    <x v="484"/>
    <n v="7504137"/>
    <n v="1.9587083112758124E-2"/>
    <x v="4"/>
  </r>
  <r>
    <x v="866"/>
    <n v="18.93"/>
    <x v="612"/>
    <x v="610"/>
    <x v="544"/>
    <n v="6844719"/>
    <n v="3.6344755970922496E-3"/>
    <x v="4"/>
  </r>
  <r>
    <x v="867"/>
    <n v="19.5"/>
    <x v="613"/>
    <x v="616"/>
    <x v="617"/>
    <n v="7103447"/>
    <n v="-5.0181065700982873E-2"/>
    <x v="4"/>
  </r>
  <r>
    <x v="868"/>
    <n v="18.899999999999999"/>
    <x v="614"/>
    <x v="612"/>
    <x v="618"/>
    <n v="14785531"/>
    <n v="-2.1241830065359509E-2"/>
    <x v="4"/>
  </r>
  <r>
    <x v="869"/>
    <n v="18.399999999999999"/>
    <x v="615"/>
    <x v="617"/>
    <x v="619"/>
    <n v="10280980"/>
    <n v="-7.7907623817473886E-3"/>
    <x v="4"/>
  </r>
  <r>
    <x v="870"/>
    <n v="17.829999999999998"/>
    <x v="475"/>
    <x v="618"/>
    <x v="620"/>
    <n v="11800630"/>
    <n v="2.2994952327537867E-2"/>
    <x v="4"/>
  </r>
  <r>
    <x v="871"/>
    <n v="17.98"/>
    <x v="560"/>
    <x v="619"/>
    <x v="621"/>
    <n v="6908224"/>
    <n v="1.6447368421053257E-3"/>
    <x v="4"/>
  </r>
  <r>
    <x v="872"/>
    <n v="18.170000000000002"/>
    <x v="616"/>
    <x v="254"/>
    <x v="622"/>
    <n v="5947098"/>
    <n v="-3.4482758620689599E-2"/>
    <x v="4"/>
  </r>
  <r>
    <x v="873"/>
    <n v="18.170000000000002"/>
    <x v="248"/>
    <x v="620"/>
    <x v="623"/>
    <n v="8745609"/>
    <n v="-1.5873015873015938E-2"/>
    <x v="4"/>
  </r>
  <r>
    <x v="874"/>
    <n v="17.309999999999999"/>
    <x v="565"/>
    <x v="621"/>
    <x v="624"/>
    <n v="10215029"/>
    <n v="2.822580645161302E-2"/>
    <x v="4"/>
  </r>
  <r>
    <x v="875"/>
    <n v="17.63"/>
    <x v="617"/>
    <x v="622"/>
    <x v="625"/>
    <n v="7350948"/>
    <n v="2.6330532212885088E-2"/>
    <x v="4"/>
  </r>
  <r>
    <x v="876"/>
    <n v="17.920000000000002"/>
    <x v="618"/>
    <x v="623"/>
    <x v="626"/>
    <n v="8779166"/>
    <n v="1.3646288209606987E-2"/>
    <x v="4"/>
  </r>
  <r>
    <x v="877"/>
    <n v="18.48"/>
    <x v="619"/>
    <x v="624"/>
    <x v="627"/>
    <n v="6774093"/>
    <n v="4.8465266558965995E-3"/>
    <x v="4"/>
  </r>
  <r>
    <x v="878"/>
    <n v="18.579999999999998"/>
    <x v="620"/>
    <x v="625"/>
    <x v="628"/>
    <n v="5991338"/>
    <n v="3.3226152197213345E-2"/>
    <x v="4"/>
  </r>
  <r>
    <x v="879"/>
    <n v="18.84"/>
    <x v="500"/>
    <x v="502"/>
    <x v="629"/>
    <n v="8110439"/>
    <n v="-1.1410788381742863E-2"/>
    <x v="4"/>
  </r>
  <r>
    <x v="880"/>
    <n v="19.22"/>
    <x v="621"/>
    <x v="501"/>
    <x v="630"/>
    <n v="5478940"/>
    <n v="2.0461699895068238E-2"/>
    <x v="4"/>
  </r>
  <r>
    <x v="881"/>
    <n v="19.149999999999999"/>
    <x v="535"/>
    <x v="626"/>
    <x v="505"/>
    <n v="7929864"/>
    <n v="-8.2262210796915064E-2"/>
    <x v="4"/>
  </r>
  <r>
    <x v="882"/>
    <n v="17.46"/>
    <x v="242"/>
    <x v="556"/>
    <x v="625"/>
    <n v="23720729"/>
    <n v="2.689075630252083E-2"/>
    <x v="4"/>
  </r>
  <r>
    <x v="883"/>
    <n v="17.989999999999998"/>
    <x v="622"/>
    <x v="250"/>
    <x v="500"/>
    <n v="13038257"/>
    <n v="-6.5466448445170456E-3"/>
    <x v="4"/>
  </r>
  <r>
    <x v="884"/>
    <n v="18.510000000000002"/>
    <x v="503"/>
    <x v="251"/>
    <x v="631"/>
    <n v="10410436"/>
    <n v="-3.2948929159803552E-3"/>
    <x v="4"/>
  </r>
  <r>
    <x v="885"/>
    <n v="18.11"/>
    <x v="560"/>
    <x v="627"/>
    <x v="252"/>
    <n v="5904031"/>
    <n v="1.3774104683195593E-2"/>
    <x v="4"/>
  </r>
  <r>
    <x v="886"/>
    <n v="18.45"/>
    <x v="623"/>
    <x v="628"/>
    <x v="632"/>
    <n v="7061314"/>
    <n v="-2.7717391304347722E-2"/>
    <x v="4"/>
  </r>
  <r>
    <x v="887"/>
    <n v="17.89"/>
    <x v="624"/>
    <x v="629"/>
    <x v="633"/>
    <n v="9835927"/>
    <n v="-2.2358859698154918E-3"/>
    <x v="4"/>
  </r>
  <r>
    <x v="888"/>
    <n v="18.010000000000002"/>
    <x v="625"/>
    <x v="630"/>
    <x v="625"/>
    <n v="6745974"/>
    <n v="-5.0420168067226807E-3"/>
    <x v="4"/>
  </r>
  <r>
    <x v="889"/>
    <n v="17.91"/>
    <x v="626"/>
    <x v="631"/>
    <x v="634"/>
    <n v="10038579"/>
    <n v="2.5900900900900747E-2"/>
    <x v="4"/>
  </r>
  <r>
    <x v="890"/>
    <n v="17.72"/>
    <x v="560"/>
    <x v="632"/>
    <x v="635"/>
    <n v="7272930"/>
    <n v="-7.6838638858397678E-3"/>
    <x v="4"/>
  </r>
  <r>
    <x v="891"/>
    <n v="18.32"/>
    <x v="627"/>
    <x v="254"/>
    <x v="636"/>
    <n v="5126468"/>
    <n v="7.7433628318584391E-3"/>
    <x v="4"/>
  </r>
  <r>
    <x v="892"/>
    <n v="18.079999999999998"/>
    <x v="627"/>
    <x v="633"/>
    <x v="635"/>
    <n v="5876325"/>
    <n v="-3.8419319429198649E-2"/>
    <x v="4"/>
  </r>
  <r>
    <x v="893"/>
    <n v="17.93"/>
    <x v="569"/>
    <x v="634"/>
    <x v="562"/>
    <n v="12147141"/>
    <n v="3.9954337899543542E-3"/>
    <x v="4"/>
  </r>
  <r>
    <x v="894"/>
    <n v="17.34"/>
    <x v="628"/>
    <x v="635"/>
    <x v="568"/>
    <n v="10943859"/>
    <n v="-1.9897669130187687E-2"/>
    <x v="4"/>
  </r>
  <r>
    <x v="895"/>
    <n v="17.59"/>
    <x v="260"/>
    <x v="636"/>
    <x v="637"/>
    <n v="10727454"/>
    <n v="-4.2343387470997501E-2"/>
    <x v="4"/>
  </r>
  <r>
    <x v="896"/>
    <n v="17"/>
    <x v="116"/>
    <x v="264"/>
    <x v="129"/>
    <n v="21849393"/>
    <n v="-5.0272562083585812E-2"/>
    <x v="4"/>
  </r>
  <r>
    <x v="897"/>
    <n v="16.43"/>
    <x v="629"/>
    <x v="51"/>
    <x v="638"/>
    <n v="22360709"/>
    <n v="2.6785714285714395E-2"/>
    <x v="4"/>
  </r>
  <r>
    <x v="898"/>
    <n v="15.72"/>
    <x v="630"/>
    <x v="637"/>
    <x v="3"/>
    <n v="16714476"/>
    <n v="-1.1801242236024924E-2"/>
    <x v="4"/>
  </r>
  <r>
    <x v="899"/>
    <n v="16.14"/>
    <x v="631"/>
    <x v="638"/>
    <x v="639"/>
    <n v="9464628"/>
    <n v="-1.948460087994975E-2"/>
    <x v="4"/>
  </r>
  <r>
    <x v="900"/>
    <n v="15.92"/>
    <x v="228"/>
    <x v="639"/>
    <x v="640"/>
    <n v="10704354"/>
    <n v="4.2948717948717942E-2"/>
    <x v="4"/>
  </r>
  <r>
    <x v="901"/>
    <n v="16.37"/>
    <x v="632"/>
    <x v="128"/>
    <x v="641"/>
    <n v="18159339"/>
    <n v="4.4867854947756636E-2"/>
    <x v="4"/>
  </r>
  <r>
    <x v="902"/>
    <n v="16.260000000000002"/>
    <x v="633"/>
    <x v="640"/>
    <x v="267"/>
    <n v="23706771"/>
    <n v="1.1764705882352691E-3"/>
    <x v="4"/>
  </r>
  <r>
    <x v="903"/>
    <n v="16.670000000000002"/>
    <x v="121"/>
    <x v="242"/>
    <x v="642"/>
    <n v="10833943"/>
    <n v="-3.2314923619271491E-2"/>
    <x v="4"/>
  </r>
  <r>
    <x v="904"/>
    <n v="17.12"/>
    <x v="634"/>
    <x v="641"/>
    <x v="115"/>
    <n v="10131408"/>
    <n v="-9.1074681238614806E-3"/>
    <x v="4"/>
  </r>
  <r>
    <x v="905"/>
    <n v="16.46"/>
    <x v="635"/>
    <x v="2"/>
    <x v="235"/>
    <n v="6176440"/>
    <n v="-1.1642156862745176E-2"/>
    <x v="4"/>
  </r>
  <r>
    <x v="906"/>
    <n v="16.13"/>
    <x v="636"/>
    <x v="638"/>
    <x v="643"/>
    <n v="6711382"/>
    <n v="-9.9194048357097563E-3"/>
    <x v="4"/>
  </r>
  <r>
    <x v="907"/>
    <n v="15.98"/>
    <x v="637"/>
    <x v="642"/>
    <x v="644"/>
    <n v="7008336"/>
    <n v="-5.2598622417031921E-2"/>
    <x v="4"/>
  </r>
  <r>
    <x v="908"/>
    <n v="15.47"/>
    <x v="638"/>
    <x v="173"/>
    <x v="11"/>
    <n v="10834796"/>
    <n v="2.3793787177792427E-2"/>
    <x v="4"/>
  </r>
  <r>
    <x v="909"/>
    <n v="15.29"/>
    <x v="103"/>
    <x v="104"/>
    <x v="24"/>
    <n v="7252412"/>
    <n v="-1.9367333763718115E-3"/>
    <x v="4"/>
  </r>
  <r>
    <x v="910"/>
    <n v="15.29"/>
    <x v="638"/>
    <x v="108"/>
    <x v="4"/>
    <n v="7295976"/>
    <n v="-1.5523932729624851E-2"/>
    <x v="4"/>
  </r>
  <r>
    <x v="911"/>
    <n v="15.3"/>
    <x v="639"/>
    <x v="109"/>
    <x v="164"/>
    <n v="7483273"/>
    <n v="-7.5558475689881749E-2"/>
    <x v="4"/>
  </r>
  <r>
    <x v="912"/>
    <n v="14.8"/>
    <x v="224"/>
    <x v="159"/>
    <x v="59"/>
    <n v="17786666"/>
    <n v="-2.7007818052594227E-2"/>
    <x v="4"/>
  </r>
  <r>
    <x v="913"/>
    <n v="13.52"/>
    <x v="151"/>
    <x v="643"/>
    <x v="98"/>
    <n v="20526195"/>
    <n v="-1.4609203798392676E-3"/>
    <x v="4"/>
  </r>
  <r>
    <x v="914"/>
    <n v="13.18"/>
    <x v="98"/>
    <x v="644"/>
    <x v="64"/>
    <n v="18003899"/>
    <n v="-5.9985369422092191E-2"/>
    <x v="4"/>
  </r>
  <r>
    <x v="915"/>
    <n v="13.27"/>
    <x v="96"/>
    <x v="645"/>
    <x v="645"/>
    <n v="18685187"/>
    <n v="1.4007782101167293E-2"/>
    <x v="4"/>
  </r>
  <r>
    <x v="916"/>
    <n v="12.96"/>
    <x v="75"/>
    <x v="646"/>
    <x v="646"/>
    <n v="26547142"/>
    <n v="-2.4558710667689831E-2"/>
    <x v="4"/>
  </r>
  <r>
    <x v="917"/>
    <n v="13.32"/>
    <x v="180"/>
    <x v="647"/>
    <x v="647"/>
    <n v="14136572"/>
    <n v="-1.0228166797797072E-2"/>
    <x v="4"/>
  </r>
  <r>
    <x v="918"/>
    <n v="12.75"/>
    <x v="640"/>
    <x v="157"/>
    <x v="212"/>
    <n v="10312901"/>
    <n v="6.3593004769475414E-3"/>
    <x v="4"/>
  </r>
  <r>
    <x v="919"/>
    <n v="12.47"/>
    <x v="217"/>
    <x v="648"/>
    <x v="648"/>
    <n v="11968638"/>
    <n v="-8.688783570300113E-3"/>
    <x v="4"/>
  </r>
  <r>
    <x v="920"/>
    <n v="12.58"/>
    <x v="641"/>
    <x v="207"/>
    <x v="649"/>
    <n v="7926475"/>
    <n v="-1.6733067729083732E-2"/>
    <x v="4"/>
  </r>
  <r>
    <x v="921"/>
    <n v="12.34"/>
    <x v="642"/>
    <x v="649"/>
    <x v="650"/>
    <n v="10406732"/>
    <n v="-3.3225283630470025E-2"/>
    <x v="4"/>
  </r>
  <r>
    <x v="922"/>
    <n v="12.37"/>
    <x v="643"/>
    <x v="650"/>
    <x v="90"/>
    <n v="13064410"/>
    <n v="8.2145850796311856E-2"/>
    <x v="4"/>
  </r>
  <r>
    <x v="923"/>
    <n v="12.07"/>
    <x v="644"/>
    <x v="651"/>
    <x v="651"/>
    <n v="13807522"/>
    <n v="1.5491866769945723E-2"/>
    <x v="4"/>
  </r>
  <r>
    <x v="924"/>
    <n v="13.25"/>
    <x v="67"/>
    <x v="645"/>
    <x v="152"/>
    <n v="13510756"/>
    <n v="4.7292143401983296E-2"/>
    <x v="4"/>
  </r>
  <r>
    <x v="925"/>
    <n v="13.63"/>
    <x v="178"/>
    <x v="652"/>
    <x v="652"/>
    <n v="20242151"/>
    <n v="-7.2833211944646498E-3"/>
    <x v="4"/>
  </r>
  <r>
    <x v="926"/>
    <n v="13.67"/>
    <x v="645"/>
    <x v="653"/>
    <x v="653"/>
    <n v="16003527"/>
    <n v="4.1085840058693958E-2"/>
    <x v="4"/>
  </r>
  <r>
    <x v="927"/>
    <n v="14.02"/>
    <x v="646"/>
    <x v="159"/>
    <x v="654"/>
    <n v="10585039"/>
    <n v="1.9732205778717489E-2"/>
    <x v="4"/>
  </r>
  <r>
    <x v="928"/>
    <n v="14.61"/>
    <x v="9"/>
    <x v="150"/>
    <x v="45"/>
    <n v="11653537"/>
    <n v="-3.5936420179682189E-2"/>
    <x v="4"/>
  </r>
  <r>
    <x v="929"/>
    <n v="14.86"/>
    <x v="647"/>
    <x v="159"/>
    <x v="655"/>
    <n v="15197544"/>
    <n v="2.2222222222222258E-2"/>
    <x v="4"/>
  </r>
  <r>
    <x v="930"/>
    <n v="14.03"/>
    <x v="31"/>
    <x v="18"/>
    <x v="656"/>
    <n v="8168260"/>
    <n v="4.9088359046283508E-3"/>
    <x v="4"/>
  </r>
  <r>
    <x v="931"/>
    <n v="14.08"/>
    <x v="648"/>
    <x v="180"/>
    <x v="133"/>
    <n v="7433402"/>
    <n v="4.6755059316120021E-2"/>
    <x v="4"/>
  </r>
  <r>
    <x v="932"/>
    <n v="14.37"/>
    <x v="59"/>
    <x v="654"/>
    <x v="175"/>
    <n v="12316803"/>
    <n v="-1.3333333333333049E-3"/>
    <x v="4"/>
  </r>
  <r>
    <x v="933"/>
    <n v="15.25"/>
    <x v="106"/>
    <x v="178"/>
    <x v="161"/>
    <n v="12715788"/>
    <n v="8.0106809078771164E-3"/>
    <x v="4"/>
  </r>
  <r>
    <x v="934"/>
    <n v="15.01"/>
    <x v="649"/>
    <x v="164"/>
    <x v="657"/>
    <n v="6575135"/>
    <n v="-3.0463576158940336E-2"/>
    <x v="4"/>
  </r>
  <r>
    <x v="935"/>
    <n v="14.87"/>
    <x v="59"/>
    <x v="141"/>
    <x v="142"/>
    <n v="11863462"/>
    <n v="1.0245901639344164E-2"/>
    <x v="4"/>
  </r>
  <r>
    <x v="936"/>
    <n v="14.41"/>
    <x v="49"/>
    <x v="655"/>
    <x v="32"/>
    <n v="8202078"/>
    <n v="8.1135902636917511E-3"/>
    <x v="4"/>
  </r>
  <r>
    <x v="937"/>
    <n v="14.88"/>
    <x v="141"/>
    <x v="656"/>
    <x v="174"/>
    <n v="5750771"/>
    <n v="-1.7437961099932918E-2"/>
    <x v="4"/>
  </r>
  <r>
    <x v="938"/>
    <n v="14.96"/>
    <x v="140"/>
    <x v="162"/>
    <x v="151"/>
    <n v="6182071"/>
    <n v="-2.047781569965948E-3"/>
    <x v="4"/>
  </r>
  <r>
    <x v="939"/>
    <n v="14.69"/>
    <x v="172"/>
    <x v="657"/>
    <x v="8"/>
    <n v="8507208"/>
    <n v="1.6415868673050633E-2"/>
    <x v="4"/>
  </r>
  <r>
    <x v="940"/>
    <n v="14.63"/>
    <x v="175"/>
    <x v="658"/>
    <x v="176"/>
    <n v="6339710"/>
    <n v="2.6917900403769131E-3"/>
    <x v="4"/>
  </r>
  <r>
    <x v="941"/>
    <n v="14.73"/>
    <x v="174"/>
    <x v="48"/>
    <x v="56"/>
    <n v="6851384"/>
    <n v="1.6107382550335586E-2"/>
    <x v="4"/>
  </r>
  <r>
    <x v="942"/>
    <n v="15.35"/>
    <x v="650"/>
    <x v="659"/>
    <x v="44"/>
    <n v="8237964"/>
    <n v="-1.1228533685601052E-2"/>
    <x v="4"/>
  </r>
  <r>
    <x v="943"/>
    <n v="15.26"/>
    <x v="651"/>
    <x v="179"/>
    <x v="43"/>
    <n v="9259027"/>
    <n v="4.6092184368737438E-2"/>
    <x v="4"/>
  </r>
  <r>
    <x v="944"/>
    <n v="15.96"/>
    <x v="652"/>
    <x v="660"/>
    <x v="658"/>
    <n v="14201148"/>
    <n v="-7.6628352490422094E-3"/>
    <x v="4"/>
  </r>
  <r>
    <x v="945"/>
    <n v="15.64"/>
    <x v="109"/>
    <x v="661"/>
    <x v="659"/>
    <n v="7065738"/>
    <n v="-1.1583011583011565E-2"/>
    <x v="4"/>
  </r>
  <r>
    <x v="946"/>
    <n v="15.42"/>
    <x v="38"/>
    <x v="662"/>
    <x v="41"/>
    <n v="5880542"/>
    <n v="-1.3020833333333057E-3"/>
    <x v="4"/>
  </r>
  <r>
    <x v="947"/>
    <n v="15.26"/>
    <x v="639"/>
    <x v="663"/>
    <x v="112"/>
    <n v="6190835"/>
    <n v="3.846153846153845E-2"/>
    <x v="4"/>
  </r>
  <r>
    <x v="948"/>
    <n v="15.61"/>
    <x v="105"/>
    <x v="664"/>
    <x v="660"/>
    <n v="9145736"/>
    <n v="-1.2554927809164829E-3"/>
    <x v="4"/>
  </r>
  <r>
    <x v="949"/>
    <n v="15.88"/>
    <x v="652"/>
    <x v="665"/>
    <x v="639"/>
    <n v="7514430"/>
    <n v="2.7027027027027008E-2"/>
    <x v="4"/>
  </r>
  <r>
    <x v="950"/>
    <n v="15.98"/>
    <x v="653"/>
    <x v="666"/>
    <x v="661"/>
    <n v="9200521"/>
    <n v="3.4271725826193311E-2"/>
    <x v="4"/>
  </r>
  <r>
    <x v="951"/>
    <n v="16.53"/>
    <x v="122"/>
    <x v="667"/>
    <x v="662"/>
    <n v="11000092"/>
    <n v="-4.1420118343195441E-3"/>
    <x v="4"/>
  </r>
  <r>
    <x v="952"/>
    <n v="16.62"/>
    <x v="129"/>
    <x v="115"/>
    <x v="238"/>
    <n v="8148989"/>
    <n v="9.5068330362448102E-3"/>
    <x v="4"/>
  </r>
  <r>
    <x v="953"/>
    <n v="17.04"/>
    <x v="121"/>
    <x v="270"/>
    <x v="268"/>
    <n v="9764727"/>
    <n v="-5.2972336668628524E-3"/>
    <x v="4"/>
  </r>
  <r>
    <x v="954"/>
    <n v="17"/>
    <x v="127"/>
    <x v="241"/>
    <x v="662"/>
    <n v="4764483"/>
    <n v="1.8343195266272327E-2"/>
    <x v="4"/>
  </r>
  <r>
    <x v="955"/>
    <n v="17.05"/>
    <x v="240"/>
    <x v="114"/>
    <x v="663"/>
    <n v="7048410"/>
    <n v="-9.2969203951191251E-3"/>
    <x v="4"/>
  </r>
  <r>
    <x v="956"/>
    <n v="17.25"/>
    <x v="563"/>
    <x v="265"/>
    <x v="264"/>
    <n v="6846273"/>
    <n v="1.7008797653958893E-2"/>
    <x v="4"/>
  </r>
  <r>
    <x v="957"/>
    <n v="17.11"/>
    <x v="654"/>
    <x v="114"/>
    <x v="664"/>
    <n v="5023121"/>
    <n v="1.8454440599769337E-2"/>
    <x v="4"/>
  </r>
  <r>
    <x v="958"/>
    <n v="17.28"/>
    <x v="655"/>
    <x v="668"/>
    <x v="665"/>
    <n v="11072835"/>
    <n v="-0.13646659116647791"/>
    <x v="4"/>
  </r>
  <r>
    <x v="959"/>
    <n v="15.57"/>
    <x v="103"/>
    <x v="55"/>
    <x v="666"/>
    <n v="22418252"/>
    <n v="-3.2786885245902103E-3"/>
    <x v="4"/>
  </r>
  <r>
    <x v="960"/>
    <n v="15.13"/>
    <x v="226"/>
    <x v="177"/>
    <x v="667"/>
    <n v="10027697"/>
    <n v="3.4210526315789566E-2"/>
    <x v="4"/>
  </r>
  <r>
    <x v="961"/>
    <n v="15.14"/>
    <x v="51"/>
    <x v="172"/>
    <x v="668"/>
    <n v="9273331"/>
    <n v="2.7353689567429892E-2"/>
    <x v="4"/>
  </r>
  <r>
    <x v="962"/>
    <n v="15.53"/>
    <x v="656"/>
    <x v="637"/>
    <x v="669"/>
    <n v="8109014"/>
    <n v="-2.4767801857584612E-3"/>
    <x v="4"/>
  </r>
  <r>
    <x v="963"/>
    <n v="16.2"/>
    <x v="629"/>
    <x v="669"/>
    <x v="670"/>
    <n v="9178208"/>
    <n v="-3.2278088144009905E-2"/>
    <x v="4"/>
  </r>
  <r>
    <x v="964"/>
    <n v="16.18"/>
    <x v="657"/>
    <x v="670"/>
    <x v="671"/>
    <n v="8259516"/>
    <n v="1.9243104554201001E-3"/>
    <x v="4"/>
  </r>
  <r>
    <x v="965"/>
    <n v="15.42"/>
    <x v="658"/>
    <x v="24"/>
    <x v="109"/>
    <n v="6136481"/>
    <n v="-2.5608194622279038E-2"/>
    <x v="4"/>
  </r>
  <r>
    <x v="966"/>
    <n v="15.31"/>
    <x v="659"/>
    <x v="671"/>
    <x v="164"/>
    <n v="7028279"/>
    <n v="1.0512483574244424E-2"/>
    <x v="4"/>
  </r>
  <r>
    <x v="967"/>
    <n v="15.46"/>
    <x v="638"/>
    <x v="671"/>
    <x v="672"/>
    <n v="5564200"/>
    <n v="1.1703511053315976E-2"/>
    <x v="4"/>
  </r>
  <r>
    <x v="968"/>
    <n v="15.1"/>
    <x v="660"/>
    <x v="671"/>
    <x v="48"/>
    <n v="4776500"/>
    <n v="2.1208226221079696E-2"/>
    <x v="4"/>
  </r>
  <r>
    <x v="969"/>
    <n v="15.63"/>
    <x v="104"/>
    <x v="146"/>
    <x v="108"/>
    <n v="5274349"/>
    <n v="-1.3845185651353092E-2"/>
    <x v="4"/>
  </r>
  <r>
    <x v="970"/>
    <n v="15.74"/>
    <x v="105"/>
    <x v="672"/>
    <x v="673"/>
    <n v="3898244"/>
    <n v="-2.5526483726866646E-2"/>
    <x v="4"/>
  </r>
  <r>
    <x v="971"/>
    <n v="15.53"/>
    <x v="52"/>
    <x v="673"/>
    <x v="172"/>
    <n v="4663937"/>
    <n v="2.6195153896529166E-2"/>
    <x v="4"/>
  </r>
  <r>
    <x v="972"/>
    <n v="15.25"/>
    <x v="51"/>
    <x v="674"/>
    <x v="673"/>
    <n v="4868998"/>
    <n v="-6.5730695596681515E-2"/>
    <x v="4"/>
  </r>
  <r>
    <x v="973"/>
    <n v="15.41"/>
    <x v="58"/>
    <x v="675"/>
    <x v="142"/>
    <n v="9562591"/>
    <n v="-1.775956284153004E-2"/>
    <x v="4"/>
  </r>
  <r>
    <x v="974"/>
    <n v="14.72"/>
    <x v="661"/>
    <x v="102"/>
    <x v="58"/>
    <n v="8231952"/>
    <n v="1.9471488178024989E-2"/>
    <x v="4"/>
  </r>
  <r>
    <x v="975"/>
    <n v="14.44"/>
    <x v="224"/>
    <x v="59"/>
    <x v="674"/>
    <n v="5207376"/>
    <n v="3.1377899045020398E-2"/>
    <x v="4"/>
  </r>
  <r>
    <x v="976"/>
    <n v="14.95"/>
    <x v="164"/>
    <x v="676"/>
    <x v="230"/>
    <n v="5311748"/>
    <n v="-3.9682539682538839E-3"/>
    <x v="4"/>
  </r>
  <r>
    <x v="977"/>
    <n v="15.17"/>
    <x v="162"/>
    <x v="173"/>
    <x v="675"/>
    <n v="4170527"/>
    <n v="-2.2576361221779539E-2"/>
    <x v="4"/>
  </r>
  <r>
    <x v="978"/>
    <n v="14.8"/>
    <x v="662"/>
    <x v="148"/>
    <x v="676"/>
    <n v="7799744"/>
    <n v="6.1141304347825986E-3"/>
    <x v="4"/>
  </r>
  <r>
    <x v="979"/>
    <n v="14.85"/>
    <x v="663"/>
    <x v="152"/>
    <x v="677"/>
    <n v="6564964"/>
    <n v="-4.8615800135043928E-2"/>
    <x v="4"/>
  </r>
  <r>
    <x v="980"/>
    <n v="14.66"/>
    <x v="664"/>
    <x v="677"/>
    <x v="178"/>
    <n v="8559704"/>
    <n v="1.7033356990773612E-2"/>
    <x v="4"/>
  </r>
  <r>
    <x v="981"/>
    <n v="14.24"/>
    <x v="31"/>
    <x v="102"/>
    <x v="133"/>
    <n v="5054414"/>
    <n v="-4.187020237264515E-3"/>
    <x v="4"/>
  </r>
  <r>
    <x v="982"/>
    <n v="14.38"/>
    <x v="665"/>
    <x v="678"/>
    <x v="30"/>
    <n v="5420727"/>
    <n v="7.0077084793272355E-3"/>
    <x v="4"/>
  </r>
  <r>
    <x v="983"/>
    <n v="14.25"/>
    <x v="666"/>
    <x v="679"/>
    <x v="7"/>
    <n v="3238625"/>
    <n v="2.8531663187195556E-2"/>
    <x v="4"/>
  </r>
  <r>
    <x v="984"/>
    <n v="14.6"/>
    <x v="647"/>
    <x v="47"/>
    <x v="678"/>
    <n v="5183104"/>
    <n v="1.7591339648173193E-2"/>
    <x v="4"/>
  </r>
  <r>
    <x v="985"/>
    <n v="15.28"/>
    <x v="638"/>
    <x v="26"/>
    <x v="173"/>
    <n v="9327775"/>
    <n v="-2.6595744680850499E-3"/>
    <x v="4"/>
  </r>
  <r>
    <x v="986"/>
    <n v="14.94"/>
    <x v="107"/>
    <x v="163"/>
    <x v="175"/>
    <n v="5360546"/>
    <n v="-1.9333333333333275E-2"/>
    <x v="4"/>
  </r>
  <r>
    <x v="987"/>
    <n v="15.13"/>
    <x v="47"/>
    <x v="167"/>
    <x v="6"/>
    <n v="5768696"/>
    <n v="4.0788579197824582E-2"/>
    <x v="4"/>
  </r>
  <r>
    <x v="988"/>
    <n v="14.83"/>
    <x v="163"/>
    <x v="48"/>
    <x v="36"/>
    <n v="7403322"/>
    <n v="-9.7975179621162863E-3"/>
    <x v="4"/>
  </r>
  <r>
    <x v="989"/>
    <n v="15.15"/>
    <x v="168"/>
    <x v="23"/>
    <x v="679"/>
    <n v="4189372"/>
    <n v="1.9129287598944535E-2"/>
    <x v="4"/>
  </r>
  <r>
    <x v="990"/>
    <n v="15.33"/>
    <x v="667"/>
    <x v="24"/>
    <x v="23"/>
    <n v="4802669"/>
    <n v="1.6181229773462785E-2"/>
    <x v="4"/>
  </r>
  <r>
    <x v="991"/>
    <n v="15.39"/>
    <x v="109"/>
    <x v="680"/>
    <x v="146"/>
    <n v="4883714"/>
    <n v="4.9044585987261122E-2"/>
    <x v="4"/>
  </r>
  <r>
    <x v="992"/>
    <n v="15.83"/>
    <x v="668"/>
    <x v="642"/>
    <x v="115"/>
    <n v="10042777"/>
    <n v="-4.8573163327260659E-3"/>
    <x v="4"/>
  </r>
  <r>
    <x v="993"/>
    <n v="16.510000000000002"/>
    <x v="129"/>
    <x v="681"/>
    <x v="680"/>
    <n v="8581210"/>
    <n v="-2.4405125076265495E-3"/>
    <x v="4"/>
  </r>
  <r>
    <x v="994"/>
    <n v="16.46"/>
    <x v="130"/>
    <x v="667"/>
    <x v="681"/>
    <n v="5313145"/>
    <n v="-9.7859327217125463E-3"/>
    <x v="4"/>
  </r>
  <r>
    <x v="995"/>
    <n v="16.399999999999999"/>
    <x v="669"/>
    <x v="121"/>
    <x v="682"/>
    <n v="4728096"/>
    <n v="8.029647930821433E-3"/>
    <x v="4"/>
  </r>
  <r>
    <x v="996"/>
    <n v="16.16"/>
    <x v="670"/>
    <x v="682"/>
    <x v="235"/>
    <n v="3946909"/>
    <n v="-5.514705882352932E-3"/>
    <x v="4"/>
  </r>
  <r>
    <x v="997"/>
    <n v="16.329999999999998"/>
    <x v="668"/>
    <x v="683"/>
    <x v="683"/>
    <n v="4228103"/>
    <n v="1.2939001848428888E-2"/>
    <x v="4"/>
  </r>
  <r>
    <x v="998"/>
    <n v="16.399999999999999"/>
    <x v="110"/>
    <x v="667"/>
    <x v="684"/>
    <n v="4883135"/>
    <n v="-2.4330900243309129E-2"/>
    <x v="4"/>
  </r>
  <r>
    <x v="999"/>
    <n v="16.43"/>
    <x v="256"/>
    <x v="684"/>
    <x v="685"/>
    <n v="6506264"/>
    <n v="2.4937655860348597E-3"/>
    <x v="4"/>
  </r>
  <r>
    <x v="1000"/>
    <n v="16"/>
    <x v="671"/>
    <x v="685"/>
    <x v="686"/>
    <n v="4391630"/>
    <n v="-7.4626865671641646E-2"/>
    <x v="4"/>
  </r>
  <r>
    <x v="1001"/>
    <n v="16.100000000000001"/>
    <x v="637"/>
    <x v="178"/>
    <x v="145"/>
    <n v="12941112"/>
    <n v="2.4865591397849409E-2"/>
    <x v="4"/>
  </r>
  <r>
    <x v="1002"/>
    <n v="14.97"/>
    <x v="162"/>
    <x v="6"/>
    <x v="666"/>
    <n v="9444286"/>
    <n v="6.0327868852459131E-2"/>
    <x v="4"/>
  </r>
  <r>
    <x v="1003"/>
    <n v="15.38"/>
    <x v="656"/>
    <x v="171"/>
    <x v="687"/>
    <n v="12078785"/>
    <n v="-1.8552875695733539E-3"/>
    <x v="4"/>
  </r>
  <r>
    <x v="1004"/>
    <n v="16.149999999999999"/>
    <x v="230"/>
    <x v="686"/>
    <x v="688"/>
    <n v="11123179"/>
    <n v="-4.9566294919455916E-3"/>
    <x v="4"/>
  </r>
  <r>
    <x v="1005"/>
    <n v="16.2"/>
    <x v="630"/>
    <x v="687"/>
    <x v="689"/>
    <n v="5946161"/>
    <n v="1.5566625155666253E-2"/>
    <x v="4"/>
  </r>
  <r>
    <x v="1006"/>
    <n v="16.100000000000001"/>
    <x v="231"/>
    <x v="688"/>
    <x v="690"/>
    <n v="6196290"/>
    <n v="-6.1312078479459154E-3"/>
    <x v="4"/>
  </r>
  <r>
    <x v="1007"/>
    <n v="16.22"/>
    <x v="672"/>
    <x v="689"/>
    <x v="691"/>
    <n v="6256548"/>
    <n v="-4.1332510795805161E-2"/>
    <x v="4"/>
  </r>
  <r>
    <x v="1008"/>
    <n v="15.46"/>
    <x v="103"/>
    <x v="26"/>
    <x v="659"/>
    <n v="15137763"/>
    <n v="-7.0785070785070424E-3"/>
    <x v="4"/>
  </r>
  <r>
    <x v="1009"/>
    <n v="15.44"/>
    <x v="106"/>
    <x v="104"/>
    <x v="692"/>
    <n v="8021180"/>
    <n v="2.7219701879455601E-2"/>
    <x v="4"/>
  </r>
  <r>
    <x v="1010"/>
    <n v="15.32"/>
    <x v="673"/>
    <x v="662"/>
    <x v="232"/>
    <n v="8086957"/>
    <n v="9.4637223974763634E-3"/>
    <x v="4"/>
  </r>
  <r>
    <x v="1011"/>
    <n v="15.72"/>
    <x v="674"/>
    <x v="660"/>
    <x v="54"/>
    <n v="8702338"/>
    <n v="1.8750000000000044E-2"/>
    <x v="4"/>
  </r>
  <r>
    <x v="1012"/>
    <n v="16.09"/>
    <x v="675"/>
    <x v="690"/>
    <x v="693"/>
    <n v="6935033"/>
    <n v="1.2269938650306487E-3"/>
    <x v="4"/>
  </r>
  <r>
    <x v="1013"/>
    <n v="16.350000000000001"/>
    <x v="676"/>
    <x v="691"/>
    <x v="235"/>
    <n v="6313417"/>
    <n v="1.2867647058823581E-2"/>
    <x v="4"/>
  </r>
  <r>
    <x v="1014"/>
    <n v="16.48"/>
    <x v="677"/>
    <x v="692"/>
    <x v="694"/>
    <n v="8488159"/>
    <n v="3.6297640653357402E-2"/>
    <x v="4"/>
  </r>
  <r>
    <x v="1015"/>
    <n v="16.53"/>
    <x v="678"/>
    <x v="693"/>
    <x v="256"/>
    <n v="10226863"/>
    <n v="3.5026269702278035E-3"/>
    <x v="4"/>
  </r>
  <r>
    <x v="1016"/>
    <n v="17.18"/>
    <x v="240"/>
    <x v="694"/>
    <x v="470"/>
    <n v="6479456"/>
    <n v="7.5625363583478183E-3"/>
    <x v="4"/>
  </r>
  <r>
    <x v="1017"/>
    <n v="17.16"/>
    <x v="564"/>
    <x v="695"/>
    <x v="695"/>
    <n v="6704303"/>
    <n v="8.0831408775981859E-3"/>
    <x v="4"/>
  </r>
  <r>
    <x v="1018"/>
    <n v="17.5"/>
    <x v="261"/>
    <x v="696"/>
    <x v="266"/>
    <n v="4779043"/>
    <n v="-1.890034364261179E-2"/>
    <x v="4"/>
  </r>
  <r>
    <x v="1019"/>
    <n v="17.38"/>
    <x v="679"/>
    <x v="697"/>
    <x v="256"/>
    <n v="5753666"/>
    <n v="-1.3426736719206097E-2"/>
    <x v="4"/>
  </r>
  <r>
    <x v="1020"/>
    <n v="17.22"/>
    <x v="680"/>
    <x v="259"/>
    <x v="662"/>
    <n v="5108101"/>
    <n v="8.2840236686390883E-3"/>
    <x v="4"/>
  </r>
  <r>
    <x v="1021"/>
    <n v="16.95"/>
    <x v="121"/>
    <x v="125"/>
    <x v="696"/>
    <n v="4625095"/>
    <n v="-3.5211267605633053E-3"/>
    <x v="4"/>
  </r>
  <r>
    <x v="1022"/>
    <n v="16.97"/>
    <x v="681"/>
    <x v="698"/>
    <x v="697"/>
    <n v="11216182"/>
    <n v="0.17667844522968199"/>
    <x v="4"/>
  </r>
  <r>
    <x v="1023"/>
    <n v="19.89"/>
    <x v="271"/>
    <x v="481"/>
    <x v="556"/>
    <n v="29819231"/>
    <n v="9.509509509509502E-2"/>
    <x v="4"/>
  </r>
  <r>
    <x v="1024"/>
    <n v="19.850000000000001"/>
    <x v="510"/>
    <x v="699"/>
    <x v="341"/>
    <n v="30006091"/>
    <n v="-1.3711151736744782E-3"/>
    <x v="4"/>
  </r>
  <r>
    <x v="1025"/>
    <n v="21.84"/>
    <x v="453"/>
    <x v="700"/>
    <x v="339"/>
    <n v="18870286"/>
    <n v="-3.5240274599542473E-2"/>
    <x v="4"/>
  </r>
  <r>
    <x v="1026"/>
    <n v="21.33"/>
    <x v="600"/>
    <x v="542"/>
    <x v="592"/>
    <n v="12684267"/>
    <n v="-3.7950664136621585E-3"/>
    <x v="4"/>
  </r>
  <r>
    <x v="1027"/>
    <n v="20.87"/>
    <x v="469"/>
    <x v="701"/>
    <x v="408"/>
    <n v="9641810"/>
    <n v="-4.7619047619055062E-4"/>
    <x v="4"/>
  </r>
  <r>
    <x v="1028"/>
    <n v="20.87"/>
    <x v="682"/>
    <x v="702"/>
    <x v="572"/>
    <n v="5066956"/>
    <n v="-4.7641734159122378E-3"/>
    <x v="4"/>
  </r>
  <r>
    <x v="1029"/>
    <n v="21.09"/>
    <x v="300"/>
    <x v="522"/>
    <x v="698"/>
    <n v="6383929"/>
    <n v="1.292484442316896E-2"/>
    <x v="4"/>
  </r>
  <r>
    <x v="1030"/>
    <n v="20.99"/>
    <x v="527"/>
    <x v="527"/>
    <x v="699"/>
    <n v="8787040"/>
    <n v="-4.7258979206056534E-4"/>
    <x v="4"/>
  </r>
  <r>
    <x v="1031"/>
    <n v="21.31"/>
    <x v="532"/>
    <x v="703"/>
    <x v="424"/>
    <n v="6943417"/>
    <n v="2.9314420803782555E-2"/>
    <x v="4"/>
  </r>
  <r>
    <x v="1032"/>
    <n v="21.2"/>
    <x v="409"/>
    <x v="458"/>
    <x v="700"/>
    <n v="7940932"/>
    <n v="2.7560863573725374E-2"/>
    <x v="4"/>
  </r>
  <r>
    <x v="1033"/>
    <n v="21.94"/>
    <x v="343"/>
    <x v="704"/>
    <x v="450"/>
    <n v="14467348"/>
    <n v="4.9172999552972475E-3"/>
    <x v="4"/>
  </r>
  <r>
    <x v="1034"/>
    <n v="22.3"/>
    <x v="394"/>
    <x v="353"/>
    <x v="701"/>
    <n v="6074221"/>
    <n v="2.3576512455516063E-2"/>
    <x v="4"/>
  </r>
  <r>
    <x v="1035"/>
    <n v="22.93"/>
    <x v="440"/>
    <x v="705"/>
    <x v="392"/>
    <n v="9993689"/>
    <n v="1.3906996957844272E-2"/>
    <x v="4"/>
  </r>
  <r>
    <x v="1036"/>
    <n v="23.13"/>
    <x v="683"/>
    <x v="594"/>
    <x v="436"/>
    <n v="7359383"/>
    <n v="-1.1144449207029491E-2"/>
    <x v="4"/>
  </r>
  <r>
    <x v="1037"/>
    <n v="23.67"/>
    <x v="684"/>
    <x v="455"/>
    <x v="581"/>
    <n v="8467863"/>
    <n v="9.5361941915907619E-3"/>
    <x v="4"/>
  </r>
  <r>
    <x v="1038"/>
    <n v="23.07"/>
    <x v="522"/>
    <x v="387"/>
    <x v="702"/>
    <n v="6471703"/>
    <n v="8.1580077286389566E-3"/>
    <x v="4"/>
  </r>
  <r>
    <x v="1039"/>
    <n v="23.38"/>
    <x v="685"/>
    <x v="706"/>
    <x v="703"/>
    <n v="4812563"/>
    <n v="-6.3884156729132084E-3"/>
    <x v="4"/>
  </r>
  <r>
    <x v="1040"/>
    <n v="23.53"/>
    <x v="579"/>
    <x v="519"/>
    <x v="436"/>
    <n v="4408505"/>
    <n v="2.7432490355765136E-2"/>
    <x v="4"/>
  </r>
  <r>
    <x v="1041"/>
    <n v="23.45"/>
    <x v="457"/>
    <x v="707"/>
    <x v="704"/>
    <n v="7736078"/>
    <n v="-2.0442219440967812E-2"/>
    <x v="4"/>
  </r>
  <r>
    <x v="1042"/>
    <n v="24"/>
    <x v="350"/>
    <x v="708"/>
    <x v="703"/>
    <n v="6733965"/>
    <n v="7.6660988074957288E-3"/>
    <x v="4"/>
  </r>
  <r>
    <x v="1043"/>
    <n v="23.63"/>
    <x v="686"/>
    <x v="709"/>
    <x v="705"/>
    <n v="6110013"/>
    <n v="-6.1707523245984823E-2"/>
    <x v="4"/>
  </r>
  <r>
    <x v="1044"/>
    <n v="22.68"/>
    <x v="687"/>
    <x v="350"/>
    <x v="519"/>
    <n v="16870642"/>
    <n v="9.9099099099100186E-3"/>
    <x v="4"/>
  </r>
  <r>
    <x v="1045"/>
    <n v="22.95"/>
    <x v="543"/>
    <x v="593"/>
    <x v="706"/>
    <n v="12345765"/>
    <n v="-2.1855486173059855E-2"/>
    <x v="4"/>
  </r>
  <r>
    <x v="1046"/>
    <n v="22.35"/>
    <x v="688"/>
    <x v="439"/>
    <x v="417"/>
    <n v="7956239"/>
    <n v="7.2959416324669471E-3"/>
    <x v="4"/>
  </r>
  <r>
    <x v="1047"/>
    <n v="22.07"/>
    <x v="689"/>
    <x v="710"/>
    <x v="576"/>
    <n v="5563459"/>
    <n v="-4.074241738343135E-3"/>
    <x v="4"/>
  </r>
  <r>
    <x v="1048"/>
    <n v="22.07"/>
    <x v="337"/>
    <x v="447"/>
    <x v="707"/>
    <n v="2465629"/>
    <n v="1.4545454545454558E-2"/>
    <x v="4"/>
  </r>
  <r>
    <x v="1049"/>
    <n v="21.96"/>
    <x v="690"/>
    <x v="711"/>
    <x v="433"/>
    <n v="6081986"/>
    <n v="4.0322580645161228E-3"/>
    <x v="4"/>
  </r>
  <r>
    <x v="1050"/>
    <n v="22.17"/>
    <x v="574"/>
    <x v="573"/>
    <x v="434"/>
    <n v="6613476"/>
    <n v="-9.3708165997323008E-3"/>
    <x v="4"/>
  </r>
  <r>
    <x v="1051"/>
    <n v="22.52"/>
    <x v="460"/>
    <x v="712"/>
    <x v="519"/>
    <n v="5536255"/>
    <n v="-8.1081081081080964E-3"/>
    <x v="4"/>
  </r>
  <r>
    <x v="1052"/>
    <n v="22.19"/>
    <x v="691"/>
    <x v="713"/>
    <x v="708"/>
    <n v="3736976"/>
    <n v="1.6802906448683062E-2"/>
    <x v="4"/>
  </r>
  <r>
    <x v="1053"/>
    <n v="22.33"/>
    <x v="433"/>
    <x v="450"/>
    <x v="709"/>
    <n v="7618937"/>
    <n v="1.1165698972755694E-2"/>
    <x v="4"/>
  </r>
  <r>
    <x v="1054"/>
    <n v="22.44"/>
    <x v="445"/>
    <x v="314"/>
    <x v="345"/>
    <n v="9040217"/>
    <n v="2.7385159010600749E-2"/>
    <x v="4"/>
  </r>
  <r>
    <x v="1055"/>
    <n v="22.66"/>
    <x v="692"/>
    <x v="714"/>
    <x v="710"/>
    <n v="8839951"/>
    <n v="1.0748065348237317E-2"/>
    <x v="4"/>
  </r>
  <r>
    <x v="1056"/>
    <n v="23.46"/>
    <x v="392"/>
    <x v="399"/>
    <x v="332"/>
    <n v="6919162"/>
    <n v="1.9991492981709862E-2"/>
    <x v="4"/>
  </r>
  <r>
    <x v="1057"/>
    <n v="23.66"/>
    <x v="693"/>
    <x v="715"/>
    <x v="314"/>
    <n v="7776211"/>
    <n v="-3.7531276063386097E-3"/>
    <x v="4"/>
  </r>
  <r>
    <x v="1058"/>
    <n v="24.07"/>
    <x v="694"/>
    <x v="362"/>
    <x v="711"/>
    <n v="6574281"/>
    <n v="6.446211804102131E-2"/>
    <x v="4"/>
  </r>
  <r>
    <x v="1059"/>
    <n v="24.17"/>
    <x v="695"/>
    <x v="334"/>
    <x v="712"/>
    <n v="18220940"/>
    <n v="-6.2917813605977251E-3"/>
    <x v="4"/>
  </r>
  <r>
    <x v="1060"/>
    <n v="25.27"/>
    <x v="696"/>
    <x v="716"/>
    <x v="713"/>
    <n v="8503775"/>
    <n v="3.7198258804907056E-2"/>
    <x v="4"/>
  </r>
  <r>
    <x v="1061"/>
    <n v="25.38"/>
    <x v="697"/>
    <x v="717"/>
    <x v="714"/>
    <n v="14136392"/>
    <n v="2.7851964898893567E-2"/>
    <x v="4"/>
  </r>
  <r>
    <x v="1062"/>
    <n v="26.49"/>
    <x v="698"/>
    <x v="718"/>
    <x v="715"/>
    <n v="18120307"/>
    <n v="3.7119524870080872E-3"/>
    <x v="4"/>
  </r>
  <r>
    <x v="1063"/>
    <n v="27.35"/>
    <x v="699"/>
    <x v="719"/>
    <x v="716"/>
    <n v="14785206"/>
    <n v="3.3653846153846159E-2"/>
    <x v="4"/>
  </r>
  <r>
    <x v="1064"/>
    <n v="27.45"/>
    <x v="700"/>
    <x v="720"/>
    <x v="717"/>
    <n v="13332821"/>
    <n v="1.431127012522369E-2"/>
    <x v="4"/>
  </r>
  <r>
    <x v="1065"/>
    <n v="27.89"/>
    <x v="701"/>
    <x v="721"/>
    <x v="718"/>
    <n v="8054720"/>
    <n v="1.3403880070546702E-2"/>
    <x v="4"/>
  </r>
  <r>
    <x v="1066"/>
    <n v="28.53"/>
    <x v="702"/>
    <x v="722"/>
    <x v="719"/>
    <n v="10648289"/>
    <n v="-1.3922728854855256E-3"/>
    <x v="4"/>
  </r>
  <r>
    <x v="1067"/>
    <n v="29"/>
    <x v="703"/>
    <x v="723"/>
    <x v="720"/>
    <n v="9956827"/>
    <n v="-3.6249564308121388E-2"/>
    <x v="4"/>
  </r>
  <r>
    <x v="1068"/>
    <n v="28.59"/>
    <x v="704"/>
    <x v="724"/>
    <x v="721"/>
    <n v="12601265"/>
    <n v="8.679927667269511E-3"/>
    <x v="4"/>
  </r>
  <r>
    <x v="1069"/>
    <n v="27"/>
    <x v="705"/>
    <x v="725"/>
    <x v="722"/>
    <n v="10292456"/>
    <n v="2.8325564718537078E-2"/>
    <x v="4"/>
  </r>
  <r>
    <x v="1070"/>
    <n v="28.3"/>
    <x v="706"/>
    <x v="726"/>
    <x v="723"/>
    <n v="9558386"/>
    <n v="2.9637377963737846E-2"/>
    <x v="5"/>
  </r>
  <r>
    <x v="1071"/>
    <n v="29.37"/>
    <x v="707"/>
    <x v="727"/>
    <x v="724"/>
    <n v="17794697"/>
    <n v="1.9302404334575016E-2"/>
    <x v="5"/>
  </r>
  <r>
    <x v="1072"/>
    <n v="29.36"/>
    <x v="708"/>
    <x v="728"/>
    <x v="725"/>
    <n v="10157499"/>
    <n v="3.8870431893687642E-2"/>
    <x v="5"/>
  </r>
  <r>
    <x v="1073"/>
    <n v="30.76"/>
    <x v="709"/>
    <x v="729"/>
    <x v="726"/>
    <n v="18209138"/>
    <n v="4.9248480972177891E-2"/>
    <x v="5"/>
  </r>
  <r>
    <x v="1074"/>
    <n v="31.58"/>
    <x v="710"/>
    <x v="730"/>
    <x v="727"/>
    <n v="31199393"/>
    <n v="-2.1944529106979544E-2"/>
    <x v="5"/>
  </r>
  <r>
    <x v="1075"/>
    <n v="33.14"/>
    <x v="711"/>
    <x v="731"/>
    <x v="728"/>
    <n v="28463186"/>
    <n v="-6.5440947335619936E-3"/>
    <x v="5"/>
  </r>
  <r>
    <x v="1076"/>
    <n v="32.119999999999997"/>
    <x v="712"/>
    <x v="732"/>
    <x v="729"/>
    <n v="12976832"/>
    <n v="9.7553324968632463E-2"/>
    <x v="5"/>
  </r>
  <r>
    <x v="1077"/>
    <n v="32.9"/>
    <x v="713"/>
    <x v="733"/>
    <x v="730"/>
    <n v="26634547"/>
    <n v="2.4864246927693553E-2"/>
    <x v="5"/>
  </r>
  <r>
    <x v="1078"/>
    <n v="36.28"/>
    <x v="714"/>
    <x v="734"/>
    <x v="731"/>
    <n v="29061377"/>
    <n v="-3.5973229224762947E-2"/>
    <x v="5"/>
  </r>
  <r>
    <x v="1079"/>
    <n v="35.32"/>
    <x v="715"/>
    <x v="735"/>
    <x v="732"/>
    <n v="17368831"/>
    <n v="-9.8351171536014866E-3"/>
    <x v="5"/>
  </r>
  <r>
    <x v="1080"/>
    <n v="32.92"/>
    <x v="716"/>
    <x v="736"/>
    <x v="733"/>
    <n v="21736653"/>
    <n v="-5.8428279287173757E-3"/>
    <x v="5"/>
  </r>
  <r>
    <x v="1081"/>
    <n v="33.840000000000003"/>
    <x v="717"/>
    <x v="737"/>
    <x v="734"/>
    <n v="13629073"/>
    <n v="7.1995298266235547E-2"/>
    <x v="5"/>
  </r>
  <r>
    <x v="1082"/>
    <n v="35.35"/>
    <x v="718"/>
    <x v="738"/>
    <x v="735"/>
    <n v="17803471"/>
    <n v="4.0844298245614093E-2"/>
    <x v="5"/>
  </r>
  <r>
    <x v="1083"/>
    <n v="38.130000000000003"/>
    <x v="719"/>
    <x v="739"/>
    <x v="736"/>
    <n v="31369028"/>
    <n v="4.7405846721095529E-3"/>
    <x v="5"/>
  </r>
  <r>
    <x v="1084"/>
    <n v="37.619999999999997"/>
    <x v="720"/>
    <x v="740"/>
    <x v="737"/>
    <n v="19651042"/>
    <n v="-1.3106159895150722E-2"/>
    <x v="5"/>
  </r>
  <r>
    <x v="1085"/>
    <n v="38.04"/>
    <x v="721"/>
    <x v="741"/>
    <x v="738"/>
    <n v="14353600"/>
    <n v="-1.1952191235059648E-2"/>
    <x v="5"/>
  </r>
  <r>
    <x v="1086"/>
    <n v="36.130000000000003"/>
    <x v="722"/>
    <x v="742"/>
    <x v="739"/>
    <n v="13608068"/>
    <n v="1.5860215053763341E-2"/>
    <x v="5"/>
  </r>
  <r>
    <x v="1087"/>
    <n v="37.9"/>
    <x v="723"/>
    <x v="743"/>
    <x v="740"/>
    <n v="11788493"/>
    <n v="2.487430537179142E-2"/>
    <x v="5"/>
  </r>
  <r>
    <x v="1088"/>
    <n v="38.380000000000003"/>
    <x v="724"/>
    <x v="744"/>
    <x v="741"/>
    <n v="18216672"/>
    <n v="0.10302091402013949"/>
    <x v="5"/>
  </r>
  <r>
    <x v="1089"/>
    <n v="42.16"/>
    <x v="725"/>
    <x v="745"/>
    <x v="742"/>
    <n v="29005676"/>
    <n v="1.5215355805243413E-2"/>
    <x v="5"/>
  </r>
  <r>
    <x v="1090"/>
    <n v="42.67"/>
    <x v="726"/>
    <x v="746"/>
    <x v="743"/>
    <n v="15719266"/>
    <n v="0.19898547382983636"/>
    <x v="5"/>
  </r>
  <r>
    <x v="1091"/>
    <n v="44.91"/>
    <x v="727"/>
    <x v="747"/>
    <x v="744"/>
    <n v="47233495"/>
    <n v="0.13730769230769233"/>
    <x v="5"/>
  </r>
  <r>
    <x v="1092"/>
    <n v="58.86"/>
    <x v="728"/>
    <x v="748"/>
    <x v="745"/>
    <n v="60938758"/>
    <n v="-0.1717957389245858"/>
    <x v="5"/>
  </r>
  <r>
    <x v="1093"/>
    <n v="54.88"/>
    <x v="729"/>
    <x v="749"/>
    <x v="746"/>
    <n v="48423837"/>
    <n v="1.9395671702735869E-2"/>
    <x v="5"/>
  </r>
  <r>
    <x v="1094"/>
    <n v="46.66"/>
    <x v="730"/>
    <x v="750"/>
    <x v="747"/>
    <n v="39880752"/>
    <n v="-1.2016823552974619E-3"/>
    <x v="5"/>
  </r>
  <r>
    <x v="1095"/>
    <n v="48.7"/>
    <x v="731"/>
    <x v="751"/>
    <x v="748"/>
    <n v="17063521"/>
    <n v="3.1080810106276405E-2"/>
    <x v="5"/>
  </r>
  <r>
    <x v="1096"/>
    <n v="53.33"/>
    <x v="732"/>
    <x v="752"/>
    <x v="749"/>
    <n v="24689163"/>
    <n v="4.0840140023337386E-3"/>
    <x v="5"/>
  </r>
  <r>
    <x v="1097"/>
    <n v="51.25"/>
    <x v="733"/>
    <x v="753"/>
    <x v="750"/>
    <n v="11697473"/>
    <n v="-9.2969203951191928E-3"/>
    <x v="5"/>
  </r>
  <r>
    <x v="1098"/>
    <n v="51.86"/>
    <x v="734"/>
    <x v="754"/>
    <x v="751"/>
    <n v="12022470"/>
    <n v="4.7898338220918921E-2"/>
    <x v="5"/>
  </r>
  <r>
    <x v="1099"/>
    <n v="49.46"/>
    <x v="735"/>
    <x v="755"/>
    <x v="752"/>
    <n v="26289348"/>
    <n v="-4.8507462686566789E-3"/>
    <x v="5"/>
  </r>
  <r>
    <x v="1100"/>
    <n v="52.48"/>
    <x v="736"/>
    <x v="756"/>
    <x v="753"/>
    <n v="15693711"/>
    <n v="7.2928383952005876E-2"/>
    <x v="5"/>
  </r>
  <r>
    <x v="1101"/>
    <n v="56.11"/>
    <x v="737"/>
    <x v="757"/>
    <x v="754"/>
    <n v="16698369"/>
    <n v="6.8670277826314866E-2"/>
    <x v="5"/>
  </r>
  <r>
    <x v="1102"/>
    <n v="61.57"/>
    <x v="738"/>
    <x v="758"/>
    <x v="755"/>
    <n v="25422958"/>
    <n v="-1.9620667102681424E-2"/>
    <x v="5"/>
  </r>
  <r>
    <x v="1103"/>
    <n v="60.8"/>
    <x v="739"/>
    <x v="759"/>
    <x v="756"/>
    <n v="17634893"/>
    <n v="1.834556370913933E-3"/>
    <x v="5"/>
  </r>
  <r>
    <x v="1104"/>
    <n v="60.47"/>
    <x v="740"/>
    <x v="760"/>
    <x v="757"/>
    <n v="14339446"/>
    <n v="-7.45796570667554E-2"/>
    <x v="5"/>
  </r>
  <r>
    <x v="1105"/>
    <n v="55.93"/>
    <x v="741"/>
    <x v="761"/>
    <x v="758"/>
    <n v="15192163"/>
    <n v="-4.065479402770291E-2"/>
    <x v="5"/>
  </r>
  <r>
    <x v="1106"/>
    <n v="56.6"/>
    <x v="742"/>
    <x v="762"/>
    <x v="759"/>
    <n v="17290481"/>
    <n v="-2.6439152447027877E-2"/>
    <x v="5"/>
  </r>
  <r>
    <x v="1107"/>
    <n v="52.17"/>
    <x v="743"/>
    <x v="763"/>
    <x v="760"/>
    <n v="14153843"/>
    <n v="-0.12808166409861321"/>
    <x v="5"/>
  </r>
  <r>
    <x v="1108"/>
    <n v="48.67"/>
    <x v="744"/>
    <x v="764"/>
    <x v="761"/>
    <n v="24277160"/>
    <n v="-1.6346366246962712E-2"/>
    <x v="5"/>
  </r>
  <r>
    <x v="1109"/>
    <n v="41.98"/>
    <x v="745"/>
    <x v="765"/>
    <x v="762"/>
    <n v="24564171"/>
    <n v="0.11318212441050975"/>
    <x v="5"/>
  </r>
  <r>
    <x v="1110"/>
    <n v="47.42"/>
    <x v="746"/>
    <x v="766"/>
    <x v="763"/>
    <n v="20194991"/>
    <n v="2.6225539640912358E-3"/>
    <x v="5"/>
  </r>
  <r>
    <x v="1111"/>
    <n v="53.67"/>
    <x v="747"/>
    <x v="767"/>
    <x v="764"/>
    <n v="25784003"/>
    <n v="5.4325955734405634E-3"/>
    <x v="5"/>
  </r>
  <r>
    <x v="1112"/>
    <n v="50.93"/>
    <x v="748"/>
    <x v="768"/>
    <x v="765"/>
    <n v="15048977"/>
    <n v="-3.3420052031218769E-2"/>
    <x v="5"/>
  </r>
  <r>
    <x v="1113"/>
    <n v="48.25"/>
    <x v="749"/>
    <x v="769"/>
    <x v="766"/>
    <n v="10852657"/>
    <n v="-2.8985507246376784E-2"/>
    <x v="5"/>
  </r>
  <r>
    <x v="1114"/>
    <n v="46"/>
    <x v="750"/>
    <x v="770"/>
    <x v="767"/>
    <n v="12662918"/>
    <n v="-0.13582089552238802"/>
    <x v="5"/>
  </r>
  <r>
    <x v="1115"/>
    <n v="40.36"/>
    <x v="751"/>
    <x v="771"/>
    <x v="768"/>
    <n v="17073740"/>
    <n v="6.1435973353071847E-2"/>
    <x v="5"/>
  </r>
  <r>
    <x v="1116"/>
    <n v="43.96"/>
    <x v="752"/>
    <x v="772"/>
    <x v="769"/>
    <n v="15594443"/>
    <n v="-1.7201301720130218E-2"/>
    <x v="5"/>
  </r>
  <r>
    <x v="1117"/>
    <n v="42.68"/>
    <x v="753"/>
    <x v="773"/>
    <x v="770"/>
    <n v="13413587"/>
    <n v="-0.1161305581835384"/>
    <x v="5"/>
  </r>
  <r>
    <x v="1118"/>
    <n v="38.729999999999997"/>
    <x v="719"/>
    <x v="774"/>
    <x v="771"/>
    <n v="18909052"/>
    <n v="-2.4886272411024882E-2"/>
    <x v="5"/>
  </r>
  <r>
    <x v="1119"/>
    <n v="39.67"/>
    <x v="754"/>
    <x v="775"/>
    <x v="772"/>
    <n v="22640254"/>
    <n v="-0.18578485181119639"/>
    <x v="5"/>
  </r>
  <r>
    <x v="1120"/>
    <n v="31.3"/>
    <x v="755"/>
    <x v="776"/>
    <x v="773"/>
    <n v="20489464"/>
    <n v="-3.3367037411526856E-2"/>
    <x v="5"/>
  </r>
  <r>
    <x v="1121"/>
    <n v="29.33"/>
    <x v="756"/>
    <x v="777"/>
    <x v="723"/>
    <n v="23994580"/>
    <n v="-0.16039051603905166"/>
    <x v="5"/>
  </r>
  <r>
    <x v="1122"/>
    <n v="25.93"/>
    <x v="757"/>
    <x v="322"/>
    <x v="774"/>
    <n v="23786162"/>
    <n v="0.18397009966777422"/>
    <x v="5"/>
  </r>
  <r>
    <x v="1123"/>
    <n v="24.98"/>
    <x v="758"/>
    <x v="778"/>
    <x v="775"/>
    <n v="30195460"/>
    <n v="-3.5075412136098078E-4"/>
    <x v="5"/>
  </r>
  <r>
    <x v="1124"/>
    <n v="29.21"/>
    <x v="759"/>
    <x v="779"/>
    <x v="776"/>
    <n v="28285502"/>
    <n v="1.5789473684210503E-2"/>
    <x v="5"/>
  </r>
  <r>
    <x v="1125"/>
    <n v="28.91"/>
    <x v="760"/>
    <x v="780"/>
    <x v="777"/>
    <n v="16454549"/>
    <n v="0.16303972366148542"/>
    <x v="5"/>
  </r>
  <r>
    <x v="1126"/>
    <n v="31.82"/>
    <x v="761"/>
    <x v="781"/>
    <x v="778"/>
    <n v="22895170"/>
    <n v="6.7716067716067752E-2"/>
    <x v="5"/>
  </r>
  <r>
    <x v="1127"/>
    <n v="36.35"/>
    <x v="762"/>
    <x v="782"/>
    <x v="779"/>
    <n v="21222745"/>
    <n v="-2.0584144645340804E-2"/>
    <x v="5"/>
  </r>
  <r>
    <x v="1128"/>
    <n v="36.49"/>
    <x v="763"/>
    <x v="783"/>
    <x v="780"/>
    <n v="17422082"/>
    <n v="-2.6128940641863156E-2"/>
    <x v="5"/>
  </r>
  <r>
    <x v="1129"/>
    <n v="33.67"/>
    <x v="764"/>
    <x v="784"/>
    <x v="781"/>
    <n v="14377408"/>
    <n v="-2.3622047244094554E-2"/>
    <x v="5"/>
  </r>
  <r>
    <x v="1130"/>
    <n v="34.020000000000003"/>
    <x v="765"/>
    <x v="785"/>
    <x v="782"/>
    <n v="11998067"/>
    <n v="4.3309438470728885E-2"/>
    <x v="5"/>
  </r>
  <r>
    <x v="1131"/>
    <n v="33.42"/>
    <x v="766"/>
    <x v="786"/>
    <x v="783"/>
    <n v="17771485"/>
    <n v="-8.1019181219581973E-2"/>
    <x v="5"/>
  </r>
  <r>
    <x v="1132"/>
    <n v="33.6"/>
    <x v="767"/>
    <x v="787"/>
    <x v="784"/>
    <n v="13353180"/>
    <n v="-5.6074766355140207E-2"/>
    <x v="5"/>
  </r>
  <r>
    <x v="1133"/>
    <n v="32.07"/>
    <x v="768"/>
    <x v="788"/>
    <x v="785"/>
    <n v="19858427"/>
    <n v="5.6105610561056084E-2"/>
    <x v="5"/>
  </r>
  <r>
    <x v="1134"/>
    <n v="33.97"/>
    <x v="769"/>
    <x v="789"/>
    <x v="786"/>
    <n v="22562076"/>
    <n v="7.5625000000000053E-2"/>
    <x v="5"/>
  </r>
  <r>
    <x v="1135"/>
    <n v="34.08"/>
    <x v="770"/>
    <x v="790"/>
    <x v="787"/>
    <n v="14901836"/>
    <n v="5.6362579895409576E-2"/>
    <x v="5"/>
  </r>
  <r>
    <x v="1136"/>
    <n v="36.33"/>
    <x v="771"/>
    <x v="791"/>
    <x v="788"/>
    <n v="17919784"/>
    <n v="6.3256325632564349E-3"/>
    <x v="5"/>
  </r>
  <r>
    <x v="1137"/>
    <n v="36.950000000000003"/>
    <x v="772"/>
    <x v="792"/>
    <x v="789"/>
    <n v="12656024"/>
    <n v="4.4001093194861965E-2"/>
    <x v="5"/>
  </r>
  <r>
    <x v="1138"/>
    <n v="37.47"/>
    <x v="773"/>
    <x v="793"/>
    <x v="790"/>
    <n v="13650000"/>
    <n v="0.13612565445026165"/>
    <x v="5"/>
  </r>
  <r>
    <x v="1139"/>
    <n v="39.340000000000003"/>
    <x v="774"/>
    <x v="794"/>
    <x v="791"/>
    <n v="22475421"/>
    <n v="9.0552995391705068E-2"/>
    <x v="5"/>
  </r>
  <r>
    <x v="1140"/>
    <n v="46.6"/>
    <x v="775"/>
    <x v="795"/>
    <x v="792"/>
    <n v="30576511"/>
    <n v="2.8100570462708606E-2"/>
    <x v="5"/>
  </r>
  <r>
    <x v="1141"/>
    <n v="49.47"/>
    <x v="776"/>
    <x v="796"/>
    <x v="793"/>
    <n v="23577001"/>
    <n v="2.0961775585696736E-2"/>
    <x v="5"/>
  </r>
  <r>
    <x v="1142"/>
    <n v="47.8"/>
    <x v="777"/>
    <x v="797"/>
    <x v="794"/>
    <n v="20657862"/>
    <n v="1.1674718196457292E-2"/>
    <x v="5"/>
  </r>
  <r>
    <x v="1143"/>
    <n v="51.49"/>
    <x v="778"/>
    <x v="798"/>
    <x v="795"/>
    <n v="13128237"/>
    <n v="-9.9482690011937925E-3"/>
    <x v="5"/>
  </r>
  <r>
    <x v="1144"/>
    <n v="48.85"/>
    <x v="779"/>
    <x v="799"/>
    <x v="796"/>
    <n v="14746577"/>
    <n v="-7.998392282958193E-2"/>
    <x v="5"/>
  </r>
  <r>
    <x v="1145"/>
    <n v="48.67"/>
    <x v="780"/>
    <x v="800"/>
    <x v="797"/>
    <n v="20209093"/>
    <n v="6.6186107470511166E-2"/>
    <x v="5"/>
  </r>
  <r>
    <x v="1146"/>
    <n v="46.93"/>
    <x v="781"/>
    <x v="801"/>
    <x v="798"/>
    <n v="14224831"/>
    <n v="-3.6263060848186909E-2"/>
    <x v="5"/>
  </r>
  <r>
    <x v="1147"/>
    <n v="48.51"/>
    <x v="781"/>
    <x v="802"/>
    <x v="799"/>
    <n v="13236697"/>
    <n v="2.7636054421768797E-2"/>
    <x v="5"/>
  </r>
  <r>
    <x v="1148"/>
    <n v="47.39"/>
    <x v="782"/>
    <x v="803"/>
    <x v="800"/>
    <n v="13237612"/>
    <n v="0.10157219693835326"/>
    <x v="5"/>
  </r>
  <r>
    <x v="1149"/>
    <n v="49.17"/>
    <x v="783"/>
    <x v="755"/>
    <x v="801"/>
    <n v="20681442"/>
    <n v="-3.7183098591549238E-2"/>
    <x v="5"/>
  </r>
  <r>
    <x v="1150"/>
    <n v="53.04"/>
    <x v="784"/>
    <x v="804"/>
    <x v="802"/>
    <n v="15221964"/>
    <n v="4.0959625511995203E-2"/>
    <x v="5"/>
  </r>
  <r>
    <x v="1151"/>
    <n v="52.68"/>
    <x v="785"/>
    <x v="805"/>
    <x v="803"/>
    <n v="16215982"/>
    <n v="-2.3234026606707793E-2"/>
    <x v="5"/>
  </r>
  <r>
    <x v="1152"/>
    <n v="57.01"/>
    <x v="786"/>
    <x v="806"/>
    <x v="804"/>
    <n v="28471854"/>
    <n v="-0.10320352963744489"/>
    <x v="5"/>
  </r>
  <r>
    <x v="1153"/>
    <n v="50.33"/>
    <x v="787"/>
    <x v="807"/>
    <x v="805"/>
    <n v="32531807"/>
    <n v="8.5561497326203204E-2"/>
    <x v="5"/>
  </r>
  <r>
    <x v="1154"/>
    <n v="46.73"/>
    <x v="788"/>
    <x v="808"/>
    <x v="806"/>
    <n v="19237090"/>
    <n v="9.0640394088670126E-3"/>
    <x v="5"/>
  </r>
  <r>
    <x v="1155"/>
    <n v="52.65"/>
    <x v="789"/>
    <x v="809"/>
    <x v="807"/>
    <n v="16991656"/>
    <n v="1.8746338605741084E-2"/>
    <x v="5"/>
  </r>
  <r>
    <x v="1156"/>
    <n v="51.77"/>
    <x v="734"/>
    <x v="810"/>
    <x v="808"/>
    <n v="11123231"/>
    <n v="-3.2585777266628656E-3"/>
    <x v="5"/>
  </r>
  <r>
    <x v="1157"/>
    <n v="51.81"/>
    <x v="790"/>
    <x v="811"/>
    <x v="744"/>
    <n v="11527686"/>
    <n v="5.0576923076923123E-2"/>
    <x v="5"/>
  </r>
  <r>
    <x v="1158"/>
    <n v="52.92"/>
    <x v="791"/>
    <x v="762"/>
    <x v="809"/>
    <n v="16130087"/>
    <n v="-9.8846787479406756E-3"/>
    <x v="5"/>
  </r>
  <r>
    <x v="1159"/>
    <n v="52.7"/>
    <x v="791"/>
    <x v="812"/>
    <x v="810"/>
    <n v="16519601"/>
    <n v="-2.4034017378443805E-3"/>
    <x v="5"/>
  </r>
  <r>
    <x v="1160"/>
    <n v="55.13"/>
    <x v="792"/>
    <x v="813"/>
    <x v="811"/>
    <n v="15906905"/>
    <n v="-2.2794662713120903E-2"/>
    <x v="5"/>
  </r>
  <r>
    <x v="1161"/>
    <n v="54.72"/>
    <x v="793"/>
    <x v="754"/>
    <x v="812"/>
    <n v="19065491"/>
    <n v="1.5740565143182353E-2"/>
    <x v="5"/>
  </r>
  <r>
    <x v="1162"/>
    <n v="52"/>
    <x v="794"/>
    <x v="814"/>
    <x v="813"/>
    <n v="13682188"/>
    <n v="-5.227781926811074E-3"/>
    <x v="5"/>
  </r>
  <r>
    <x v="1163"/>
    <n v="52.69"/>
    <x v="784"/>
    <x v="815"/>
    <x v="814"/>
    <n v="10518428"/>
    <n v="1.8018018018018035E-2"/>
    <x v="5"/>
  </r>
  <r>
    <x v="1164"/>
    <n v="55.19"/>
    <x v="795"/>
    <x v="816"/>
    <x v="815"/>
    <n v="11698102"/>
    <n v="-6.821533923303918E-3"/>
    <x v="5"/>
  </r>
  <r>
    <x v="1165"/>
    <n v="54.34"/>
    <x v="796"/>
    <x v="817"/>
    <x v="816"/>
    <n v="9636522"/>
    <n v="9.2816038611472067E-3"/>
    <x v="5"/>
  </r>
  <r>
    <x v="1166"/>
    <n v="54.7"/>
    <x v="793"/>
    <x v="818"/>
    <x v="817"/>
    <n v="7309271"/>
    <n v="1.4713996689350825E-2"/>
    <x v="5"/>
  </r>
  <r>
    <x v="1167"/>
    <n v="54.4"/>
    <x v="797"/>
    <x v="819"/>
    <x v="818"/>
    <n v="12254584"/>
    <n v="-1.2869313032445184E-2"/>
    <x v="5"/>
  </r>
  <r>
    <x v="1168"/>
    <n v="54.81"/>
    <x v="798"/>
    <x v="820"/>
    <x v="819"/>
    <n v="9987475"/>
    <n v="2.3870730811605318E-3"/>
    <x v="5"/>
  </r>
  <r>
    <x v="1169"/>
    <n v="55.63"/>
    <x v="799"/>
    <x v="821"/>
    <x v="820"/>
    <n v="8089736"/>
    <n v="1.6486535995602913E-3"/>
    <x v="5"/>
  </r>
  <r>
    <x v="1170"/>
    <n v="54.72"/>
    <x v="800"/>
    <x v="812"/>
    <x v="821"/>
    <n v="11549530"/>
    <n v="-1.7556693489392847E-2"/>
    <x v="5"/>
  </r>
  <r>
    <x v="1171"/>
    <n v="54.23"/>
    <x v="801"/>
    <x v="822"/>
    <x v="822"/>
    <n v="7275774"/>
    <n v="3.6299329858525742E-2"/>
    <x v="5"/>
  </r>
  <r>
    <x v="1172"/>
    <n v="53.92"/>
    <x v="802"/>
    <x v="823"/>
    <x v="823"/>
    <n v="11812489"/>
    <n v="7.5444584156637254E-2"/>
    <x v="5"/>
  </r>
  <r>
    <x v="1173"/>
    <n v="57.2"/>
    <x v="803"/>
    <x v="824"/>
    <x v="824"/>
    <n v="15085297"/>
    <n v="-1.8373141807248944E-2"/>
    <x v="5"/>
  </r>
  <r>
    <x v="1174"/>
    <n v="59.65"/>
    <x v="804"/>
    <x v="825"/>
    <x v="825"/>
    <n v="13565596"/>
    <n v="1.5313935681469507E-3"/>
    <x v="5"/>
  </r>
  <r>
    <x v="1175"/>
    <n v="59.21"/>
    <x v="805"/>
    <x v="826"/>
    <x v="826"/>
    <n v="7949469"/>
    <n v="-2.0897043832823595E-2"/>
    <x v="5"/>
  </r>
  <r>
    <x v="1176"/>
    <n v="59.33"/>
    <x v="806"/>
    <x v="827"/>
    <x v="827"/>
    <n v="8887713"/>
    <n v="2.4466423737636588E-2"/>
    <x v="5"/>
  </r>
  <r>
    <x v="1177"/>
    <n v="58.52"/>
    <x v="807"/>
    <x v="828"/>
    <x v="828"/>
    <n v="7811917"/>
    <n v="7.2662601626016246E-2"/>
    <x v="5"/>
  </r>
  <r>
    <x v="1178"/>
    <n v="61.27"/>
    <x v="808"/>
    <x v="829"/>
    <x v="829"/>
    <n v="14174727"/>
    <n v="-9.7899889467866329E-3"/>
    <x v="5"/>
  </r>
  <r>
    <x v="1179"/>
    <n v="62.67"/>
    <x v="809"/>
    <x v="830"/>
    <x v="830"/>
    <n v="11388154"/>
    <n v="8.9778344761601056E-2"/>
    <x v="5"/>
  </r>
  <r>
    <x v="1180"/>
    <n v="66.13"/>
    <x v="810"/>
    <x v="831"/>
    <x v="831"/>
    <n v="18563413"/>
    <n v="-5.0921861281826221E-2"/>
    <x v="5"/>
  </r>
  <r>
    <x v="1181"/>
    <n v="66.010000000000005"/>
    <x v="811"/>
    <x v="832"/>
    <x v="832"/>
    <n v="15916482"/>
    <n v="-3.8698735738513693E-2"/>
    <x v="5"/>
  </r>
  <r>
    <x v="1182"/>
    <n v="65.33"/>
    <x v="812"/>
    <x v="833"/>
    <x v="833"/>
    <n v="16763374"/>
    <n v="5.9502806736166813E-2"/>
    <x v="5"/>
  </r>
  <r>
    <x v="1183"/>
    <n v="61.19"/>
    <x v="813"/>
    <x v="834"/>
    <x v="834"/>
    <n v="15697178"/>
    <n v="-8.779897063275784E-3"/>
    <x v="5"/>
  </r>
  <r>
    <x v="1184"/>
    <n v="67.459999999999994"/>
    <x v="814"/>
    <x v="835"/>
    <x v="835"/>
    <n v="14051078"/>
    <n v="9.7739767868051386E-3"/>
    <x v="5"/>
  </r>
  <r>
    <x v="1185"/>
    <n v="65.849999999999994"/>
    <x v="815"/>
    <x v="831"/>
    <x v="836"/>
    <n v="9890800"/>
    <n v="1.22504537205082E-2"/>
    <x v="5"/>
  </r>
  <r>
    <x v="1186"/>
    <n v="66.87"/>
    <x v="816"/>
    <x v="836"/>
    <x v="837"/>
    <n v="9751936"/>
    <n v="-2.9881966233378577E-3"/>
    <x v="5"/>
  </r>
  <r>
    <x v="1187"/>
    <n v="67.52"/>
    <x v="817"/>
    <x v="837"/>
    <x v="838"/>
    <n v="8679749"/>
    <n v="-6.5937359508466608E-3"/>
    <x v="5"/>
  </r>
  <r>
    <x v="1188"/>
    <n v="66.66"/>
    <x v="818"/>
    <x v="838"/>
    <x v="839"/>
    <n v="6362350"/>
    <n v="7.5426157791522097E-3"/>
    <x v="5"/>
  </r>
  <r>
    <x v="1189"/>
    <n v="66.59"/>
    <x v="819"/>
    <x v="839"/>
    <x v="840"/>
    <n v="6365271"/>
    <n v="-4.0874382392573794E-2"/>
    <x v="5"/>
  </r>
  <r>
    <x v="1190"/>
    <n v="66.27"/>
    <x v="820"/>
    <x v="840"/>
    <x v="841"/>
    <n v="10959593"/>
    <n v="2.6069310021854537E-2"/>
    <x v="5"/>
  </r>
  <r>
    <x v="1191"/>
    <n v="63.62"/>
    <x v="821"/>
    <x v="841"/>
    <x v="842"/>
    <n v="9254549"/>
    <n v="-2.6624068157614589E-2"/>
    <x v="5"/>
  </r>
  <r>
    <x v="1192"/>
    <n v="66.319999999999993"/>
    <x v="822"/>
    <x v="842"/>
    <x v="843"/>
    <n v="8854908"/>
    <n v="5.1734917161613152E-2"/>
    <x v="5"/>
  </r>
  <r>
    <x v="1193"/>
    <n v="64.599999999999994"/>
    <x v="823"/>
    <x v="843"/>
    <x v="844"/>
    <n v="9026404"/>
    <n v="6.9846931193342079E-2"/>
    <x v="5"/>
  </r>
  <r>
    <x v="1194"/>
    <n v="67.099999999999994"/>
    <x v="824"/>
    <x v="844"/>
    <x v="845"/>
    <n v="16918501"/>
    <n v="3.6810668148354021E-2"/>
    <x v="5"/>
  </r>
  <r>
    <x v="1195"/>
    <n v="72.2"/>
    <x v="825"/>
    <x v="845"/>
    <x v="846"/>
    <n v="13326896"/>
    <n v="7.9581993569131801E-2"/>
    <x v="5"/>
  </r>
  <r>
    <x v="1196"/>
    <n v="81.430000000000007"/>
    <x v="826"/>
    <x v="846"/>
    <x v="847"/>
    <n v="17250115"/>
    <n v="0.1347728965003723"/>
    <x v="5"/>
  </r>
  <r>
    <x v="1197"/>
    <n v="85.11"/>
    <x v="827"/>
    <x v="847"/>
    <x v="848"/>
    <n v="20569864"/>
    <n v="1.3342082239720023E-2"/>
    <x v="5"/>
  </r>
  <r>
    <x v="1198"/>
    <n v="93.67"/>
    <x v="828"/>
    <x v="848"/>
    <x v="849"/>
    <n v="21489661"/>
    <n v="-1.7267429311461194E-2"/>
    <x v="5"/>
  </r>
  <r>
    <x v="1199"/>
    <n v="93.67"/>
    <x v="829"/>
    <x v="849"/>
    <x v="850"/>
    <n v="16311312"/>
    <n v="2.0755545793981995E-2"/>
    <x v="5"/>
  </r>
  <r>
    <x v="1200"/>
    <n v="93.13"/>
    <x v="830"/>
    <x v="850"/>
    <x v="851"/>
    <n v="11717598"/>
    <n v="0.10790747713824637"/>
    <x v="5"/>
  </r>
  <r>
    <x v="1201"/>
    <n v="93.07"/>
    <x v="831"/>
    <x v="851"/>
    <x v="852"/>
    <n v="23337553"/>
    <n v="-3.0879782482035413E-2"/>
    <x v="5"/>
  </r>
  <r>
    <x v="1202"/>
    <n v="110.6"/>
    <x v="832"/>
    <x v="852"/>
    <x v="853"/>
    <n v="38985362"/>
    <n v="1.3226452905811698E-2"/>
    <x v="5"/>
  </r>
  <r>
    <x v="1203"/>
    <n v="103.73"/>
    <x v="833"/>
    <x v="853"/>
    <x v="854"/>
    <n v="23418140"/>
    <n v="1.928401898734166E-2"/>
    <x v="5"/>
  </r>
  <r>
    <x v="1204"/>
    <n v="102.87"/>
    <x v="834"/>
    <x v="854"/>
    <x v="855"/>
    <n v="16367829"/>
    <n v="-2.9397496846803019E-2"/>
    <x v="5"/>
  </r>
  <r>
    <x v="1205"/>
    <n v="98.48"/>
    <x v="835"/>
    <x v="855"/>
    <x v="856"/>
    <n v="14300785"/>
    <n v="1.9992003198716533E-4"/>
    <x v="5"/>
  </r>
  <r>
    <x v="1206"/>
    <n v="100.9"/>
    <x v="836"/>
    <x v="856"/>
    <x v="857"/>
    <n v="9329972"/>
    <n v="9.4643214071557055E-2"/>
    <x v="5"/>
  </r>
  <r>
    <x v="1207"/>
    <n v="101.27"/>
    <x v="837"/>
    <x v="857"/>
    <x v="858"/>
    <n v="17121367"/>
    <n v="-4.5375696156304199E-2"/>
    <x v="5"/>
  </r>
  <r>
    <x v="1208"/>
    <n v="109.33"/>
    <x v="838"/>
    <x v="858"/>
    <x v="859"/>
    <n v="16157280"/>
    <n v="1.5302218821729096E-2"/>
    <x v="5"/>
  </r>
  <r>
    <x v="1209"/>
    <n v="106.6"/>
    <x v="839"/>
    <x v="859"/>
    <x v="860"/>
    <n v="14161080"/>
    <n v="-4.9830444611906485E-2"/>
    <x v="5"/>
  </r>
  <r>
    <x v="1210"/>
    <n v="111.93"/>
    <x v="840"/>
    <x v="860"/>
    <x v="861"/>
    <n v="24328504"/>
    <n v="-6.3448002379300136E-2"/>
    <x v="5"/>
  </r>
  <r>
    <x v="1211"/>
    <n v="94.4"/>
    <x v="841"/>
    <x v="861"/>
    <x v="862"/>
    <n v="19396616"/>
    <n v="8.6482481210966466E-2"/>
    <x v="5"/>
  </r>
  <r>
    <x v="1212"/>
    <n v="95.67"/>
    <x v="842"/>
    <x v="862"/>
    <x v="863"/>
    <n v="16048669"/>
    <n v="-4.1017147310989807E-2"/>
    <x v="5"/>
  </r>
  <r>
    <x v="1213"/>
    <n v="100.27"/>
    <x v="843"/>
    <x v="863"/>
    <x v="864"/>
    <n v="15808700"/>
    <n v="1.5340851366453223E-2"/>
    <x v="5"/>
  </r>
  <r>
    <x v="1214"/>
    <n v="100.07"/>
    <x v="844"/>
    <x v="864"/>
    <x v="865"/>
    <n v="9426893"/>
    <n v="-7.7046227736641592E-3"/>
    <x v="5"/>
  </r>
  <r>
    <x v="1215"/>
    <n v="99.2"/>
    <x v="845"/>
    <x v="852"/>
    <x v="866"/>
    <n v="7621039"/>
    <n v="-3.8217202783099792E-2"/>
    <x v="5"/>
  </r>
  <r>
    <x v="1216"/>
    <n v="101"/>
    <x v="846"/>
    <x v="865"/>
    <x v="867"/>
    <n v="12246960"/>
    <n v="3.7953449360452973E-2"/>
    <x v="5"/>
  </r>
  <r>
    <x v="1217"/>
    <n v="96.61"/>
    <x v="847"/>
    <x v="866"/>
    <x v="868"/>
    <n v="8809346"/>
    <n v="1.3131313131312672E-3"/>
    <x v="5"/>
  </r>
  <r>
    <x v="1218"/>
    <n v="99.67"/>
    <x v="848"/>
    <x v="867"/>
    <x v="869"/>
    <n v="8414990"/>
    <n v="-1.3114092605668866E-3"/>
    <x v="5"/>
  </r>
  <r>
    <x v="1219"/>
    <n v="99.53"/>
    <x v="849"/>
    <x v="868"/>
    <x v="868"/>
    <n v="4978015"/>
    <n v="3.1313131313131541E-3"/>
    <x v="5"/>
  </r>
  <r>
    <x v="1220"/>
    <n v="99.39"/>
    <x v="850"/>
    <x v="869"/>
    <x v="870"/>
    <n v="5992313"/>
    <n v="-2.4770919343470022E-2"/>
    <x v="5"/>
  </r>
  <r>
    <x v="1221"/>
    <n v="99.97"/>
    <x v="851"/>
    <x v="870"/>
    <x v="871"/>
    <n v="8896420"/>
    <n v="-2.3541559112028924E-2"/>
    <x v="5"/>
  </r>
  <r>
    <x v="1222"/>
    <n v="96.53"/>
    <x v="852"/>
    <x v="871"/>
    <x v="872"/>
    <n v="7522264"/>
    <n v="-3.1088082901554383E-2"/>
    <x v="5"/>
  </r>
  <r>
    <x v="1223"/>
    <n v="93.07"/>
    <x v="853"/>
    <x v="872"/>
    <x v="873"/>
    <n v="8625834"/>
    <n v="0.13117974462512288"/>
    <x v="5"/>
  </r>
  <r>
    <x v="1224"/>
    <n v="98"/>
    <x v="854"/>
    <x v="873"/>
    <x v="874"/>
    <n v="21898834"/>
    <n v="4.2643511818620236E-2"/>
    <x v="5"/>
  </r>
  <r>
    <x v="1225"/>
    <n v="107.4"/>
    <x v="855"/>
    <x v="874"/>
    <x v="875"/>
    <n v="20425308"/>
    <n v="1.8321458314055742E-2"/>
    <x v="5"/>
  </r>
  <r>
    <x v="1226"/>
    <n v="111"/>
    <x v="856"/>
    <x v="875"/>
    <x v="876"/>
    <n v="12577614"/>
    <n v="0.11203998182644251"/>
    <x v="5"/>
  </r>
  <r>
    <x v="1227"/>
    <n v="111.8"/>
    <x v="857"/>
    <x v="876"/>
    <x v="877"/>
    <n v="20242323"/>
    <n v="2.8027455466579563E-2"/>
    <x v="5"/>
  </r>
  <r>
    <x v="1228"/>
    <n v="126.6"/>
    <x v="858"/>
    <x v="877"/>
    <x v="878"/>
    <n v="16474491"/>
    <n v="-4.5306414434465253E-3"/>
    <x v="5"/>
  </r>
  <r>
    <x v="1229"/>
    <n v="124.33"/>
    <x v="859"/>
    <x v="878"/>
    <x v="879"/>
    <n v="12205331"/>
    <n v="6.5633982753114134E-2"/>
    <x v="5"/>
  </r>
  <r>
    <x v="1230"/>
    <n v="124.05"/>
    <x v="860"/>
    <x v="879"/>
    <x v="880"/>
    <n v="20611796"/>
    <n v="2.4052150457065633E-2"/>
    <x v="5"/>
  </r>
  <r>
    <x v="1231"/>
    <n v="136.32"/>
    <x v="861"/>
    <x v="880"/>
    <x v="881"/>
    <n v="21489559"/>
    <n v="-1.7487378356625349E-2"/>
    <x v="5"/>
  </r>
  <r>
    <x v="1232"/>
    <n v="141.75"/>
    <x v="862"/>
    <x v="881"/>
    <x v="882"/>
    <n v="20063621"/>
    <n v="4.5427464998509474E-3"/>
    <x v="5"/>
  </r>
  <r>
    <x v="1233"/>
    <n v="131.66"/>
    <x v="863"/>
    <x v="882"/>
    <x v="883"/>
    <n v="10658893"/>
    <n v="6.41263251538291E-2"/>
    <x v="5"/>
  </r>
  <r>
    <x v="1234"/>
    <n v="137.33000000000001"/>
    <x v="864"/>
    <x v="883"/>
    <x v="884"/>
    <n v="14239382"/>
    <n v="3.9779852305977484E-2"/>
    <x v="5"/>
  </r>
  <r>
    <x v="1235"/>
    <n v="145.36000000000001"/>
    <x v="865"/>
    <x v="884"/>
    <x v="885"/>
    <n v="23693043"/>
    <n v="-1.1323283082077036E-2"/>
    <x v="5"/>
  </r>
  <r>
    <x v="1236"/>
    <n v="153.01"/>
    <x v="866"/>
    <x v="885"/>
    <x v="886"/>
    <n v="20081176"/>
    <n v="0.12571157495256174"/>
    <x v="5"/>
  </r>
  <r>
    <x v="1237"/>
    <n v="148.19999999999999"/>
    <x v="867"/>
    <x v="886"/>
    <x v="887"/>
    <n v="118374406"/>
    <n v="-4.6716031545361622E-2"/>
    <x v="5"/>
  </r>
  <r>
    <x v="1238"/>
    <n v="167.38"/>
    <x v="868"/>
    <x v="887"/>
    <x v="888"/>
    <n v="90119419"/>
    <n v="-5.8288601199873634E-2"/>
    <x v="5"/>
  </r>
  <r>
    <x v="1239"/>
    <n v="159.66"/>
    <x v="869"/>
    <x v="888"/>
    <x v="889"/>
    <n v="96176128"/>
    <n v="-9.0195815450643882E-2"/>
    <x v="5"/>
  </r>
  <r>
    <x v="1240"/>
    <n v="135.74"/>
    <x v="870"/>
    <x v="889"/>
    <x v="890"/>
    <n v="87596086"/>
    <n v="2.7788015036485668E-2"/>
    <x v="5"/>
  </r>
  <r>
    <x v="1241"/>
    <n v="134.27000000000001"/>
    <x v="871"/>
    <x v="890"/>
    <x v="891"/>
    <n v="110321885"/>
    <n v="-0.21062822719449228"/>
    <x v="5"/>
  </r>
  <r>
    <x v="1242"/>
    <n v="118.67"/>
    <x v="872"/>
    <x v="891"/>
    <x v="892"/>
    <n v="115465691"/>
    <n v="0.10920323430544208"/>
    <x v="5"/>
  </r>
  <r>
    <x v="1243"/>
    <n v="118.87"/>
    <x v="873"/>
    <x v="892"/>
    <x v="893"/>
    <n v="79465769"/>
    <n v="1.3842247522319582E-2"/>
    <x v="5"/>
  </r>
  <r>
    <x v="1244"/>
    <n v="128.74"/>
    <x v="874"/>
    <x v="893"/>
    <x v="894"/>
    <n v="84930608"/>
    <n v="3.7162708030375967E-3"/>
    <x v="5"/>
  </r>
  <r>
    <x v="1245"/>
    <n v="127.31"/>
    <x v="875"/>
    <x v="894"/>
    <x v="895"/>
    <n v="60717459"/>
    <n v="0.12580489375402454"/>
    <x v="5"/>
  </r>
  <r>
    <x v="1246"/>
    <n v="126.98"/>
    <x v="876"/>
    <x v="895"/>
    <x v="896"/>
    <n v="83020608"/>
    <n v="7.1852434403374438E-2"/>
    <x v="5"/>
  </r>
  <r>
    <x v="1247"/>
    <n v="145.52000000000001"/>
    <x v="877"/>
    <x v="896"/>
    <x v="897"/>
    <n v="97298228"/>
    <n v="-1.7809498399146129E-2"/>
    <x v="5"/>
  </r>
  <r>
    <x v="1248"/>
    <n v="146.62"/>
    <x v="878"/>
    <x v="897"/>
    <x v="898"/>
    <n v="72546760"/>
    <n v="-4.149405772495765E-2"/>
    <x v="5"/>
  </r>
  <r>
    <x v="1249"/>
    <n v="138.53"/>
    <x v="879"/>
    <x v="898"/>
    <x v="899"/>
    <n v="76779163"/>
    <n v="4.4211421283831723E-2"/>
    <x v="5"/>
  </r>
  <r>
    <x v="1250"/>
    <n v="149.31"/>
    <x v="880"/>
    <x v="899"/>
    <x v="900"/>
    <n v="86406819"/>
    <n v="1.6420138417695861E-2"/>
    <x v="5"/>
  </r>
  <r>
    <x v="1251"/>
    <n v="151.04"/>
    <x v="881"/>
    <x v="900"/>
    <x v="901"/>
    <n v="109476800"/>
    <n v="-5.6008010680907973E-2"/>
    <x v="5"/>
  </r>
  <r>
    <x v="1252"/>
    <n v="143.19999999999999"/>
    <x v="882"/>
    <x v="901"/>
    <x v="902"/>
    <n v="79580795"/>
    <n v="-0.10338731348560916"/>
    <x v="5"/>
  </r>
  <r>
    <x v="1253"/>
    <n v="135.05000000000001"/>
    <x v="883"/>
    <x v="902"/>
    <x v="903"/>
    <n v="95074176"/>
    <n v="1.9481031627099805E-2"/>
    <x v="5"/>
  </r>
  <r>
    <x v="1254"/>
    <n v="121.27"/>
    <x v="884"/>
    <x v="903"/>
    <x v="904"/>
    <n v="96561061"/>
    <n v="5.0440971684976098E-2"/>
    <x v="5"/>
  </r>
  <r>
    <x v="1255"/>
    <n v="131.16"/>
    <x v="885"/>
    <x v="904"/>
    <x v="905"/>
    <n v="67208459"/>
    <n v="3.4025629695095039E-2"/>
    <x v="5"/>
  </r>
  <r>
    <x v="1256"/>
    <n v="141.54"/>
    <x v="886"/>
    <x v="905"/>
    <x v="906"/>
    <n v="49719561"/>
    <n v="-5.0569800569801133E-3"/>
    <x v="5"/>
  </r>
  <r>
    <x v="1257"/>
    <n v="138.66999999999999"/>
    <x v="887"/>
    <x v="906"/>
    <x v="907"/>
    <n v="50341404"/>
    <n v="2.3695325363304477E-2"/>
    <x v="5"/>
  </r>
  <r>
    <x v="1258"/>
    <n v="140.44"/>
    <x v="888"/>
    <x v="907"/>
    <x v="908"/>
    <n v="48145566"/>
    <n v="4.4685314685314587E-2"/>
    <x v="5"/>
  </r>
  <r>
    <x v="1259"/>
    <n v="146.91999999999999"/>
    <x v="889"/>
    <x v="908"/>
    <x v="909"/>
    <n v="50741454"/>
    <n v="-7.3833589932391544E-2"/>
    <x v="5"/>
  </r>
  <r>
    <x v="1260"/>
    <n v="140.46"/>
    <x v="890"/>
    <x v="909"/>
    <x v="910"/>
    <n v="71430025"/>
    <n v="2.5513154090777482E-2"/>
    <x v="5"/>
  </r>
  <r>
    <x v="1261"/>
    <n v="141.12"/>
    <x v="891"/>
    <x v="910"/>
    <x v="911"/>
    <n v="44722786"/>
    <n v="-2.7486080766791019E-2"/>
    <x v="5"/>
  </r>
  <r>
    <x v="1262"/>
    <n v="141.26"/>
    <x v="892"/>
    <x v="911"/>
    <x v="912"/>
    <n v="49146259"/>
    <n v="2.7393289368794847E-2"/>
    <x v="5"/>
  </r>
  <r>
    <x v="1263"/>
    <n v="139.96"/>
    <x v="893"/>
    <x v="912"/>
    <x v="913"/>
    <n v="43127709"/>
    <n v="1.4107356986667744E-3"/>
    <x v="5"/>
  </r>
  <r>
    <x v="1264"/>
    <n v="146.15"/>
    <x v="894"/>
    <x v="913"/>
    <x v="914"/>
    <n v="40421116"/>
    <n v="1.90181024160033E-2"/>
    <x v="5"/>
  </r>
  <r>
    <x v="1265"/>
    <n v="143.38"/>
    <x v="895"/>
    <x v="914"/>
    <x v="915"/>
    <n v="28925656"/>
    <n v="1.9077901430842741E-2"/>
    <x v="5"/>
  </r>
  <r>
    <x v="1266"/>
    <n v="147.33000000000001"/>
    <x v="896"/>
    <x v="915"/>
    <x v="916"/>
    <n v="38791133"/>
    <n v="9.8351760157362033E-3"/>
    <x v="5"/>
  </r>
  <r>
    <x v="1267"/>
    <n v="147.78"/>
    <x v="889"/>
    <x v="916"/>
    <x v="917"/>
    <n v="34463665"/>
    <n v="3.2845244492208589E-2"/>
    <x v="5"/>
  </r>
  <r>
    <x v="1268"/>
    <n v="149.93"/>
    <x v="897"/>
    <x v="917"/>
    <x v="918"/>
    <n v="48045394"/>
    <n v="-2.6923327046888303E-2"/>
    <x v="5"/>
  </r>
  <r>
    <x v="1269"/>
    <n v="150.1"/>
    <x v="898"/>
    <x v="918"/>
    <x v="919"/>
    <n v="35672354"/>
    <n v="-2.0517275947336718E-2"/>
    <x v="5"/>
  </r>
  <r>
    <x v="1270"/>
    <n v="151.47999999999999"/>
    <x v="899"/>
    <x v="919"/>
    <x v="920"/>
    <n v="32775879"/>
    <n v="-2.0128275109170229E-2"/>
    <x v="5"/>
  </r>
  <r>
    <x v="1271"/>
    <n v="148.75"/>
    <x v="900"/>
    <x v="920"/>
    <x v="921"/>
    <n v="36287843"/>
    <n v="-2.0611378037741157E-2"/>
    <x v="5"/>
  </r>
  <r>
    <x v="1272"/>
    <n v="143.91999999999999"/>
    <x v="901"/>
    <x v="921"/>
    <x v="922"/>
    <n v="31656289"/>
    <n v="1.6352648418058284E-3"/>
    <x v="5"/>
  </r>
  <r>
    <x v="1273"/>
    <n v="140.9"/>
    <x v="902"/>
    <x v="922"/>
    <x v="923"/>
    <n v="32370461"/>
    <n v="7.4531516183987184E-3"/>
    <x v="5"/>
  </r>
  <r>
    <x v="1274"/>
    <n v="147.31"/>
    <x v="903"/>
    <x v="923"/>
    <x v="924"/>
    <n v="39993191"/>
    <n v="-1.2118650038751488E-2"/>
    <x v="5"/>
  </r>
  <r>
    <x v="1275"/>
    <n v="140.61000000000001"/>
    <x v="904"/>
    <x v="924"/>
    <x v="925"/>
    <n v="33716980"/>
    <n v="-8.5585906854007947E-4"/>
    <x v="5"/>
  </r>
  <r>
    <x v="1276"/>
    <n v="137.21"/>
    <x v="905"/>
    <x v="925"/>
    <x v="926"/>
    <n v="28239161"/>
    <n v="1.0493254336497957E-2"/>
    <x v="5"/>
  </r>
  <r>
    <x v="1277"/>
    <n v="141.25"/>
    <x v="906"/>
    <x v="926"/>
    <x v="927"/>
    <n v="22686506"/>
    <n v="-4.3938965809550715E-2"/>
    <x v="5"/>
  </r>
  <r>
    <x v="1278"/>
    <n v="138.83000000000001"/>
    <x v="907"/>
    <x v="927"/>
    <x v="928"/>
    <n v="25451409"/>
    <n v="1.1822077730161034E-2"/>
    <x v="5"/>
  </r>
  <r>
    <x v="1279"/>
    <n v="136.65"/>
    <x v="908"/>
    <x v="928"/>
    <x v="929"/>
    <n v="22655308"/>
    <n v="-5.5425733898057571E-2"/>
    <x v="5"/>
  </r>
  <r>
    <x v="1280"/>
    <n v="135.63"/>
    <x v="909"/>
    <x v="929"/>
    <x v="930"/>
    <n v="42587639"/>
    <n v="3.2083494395052231E-2"/>
    <x v="5"/>
  </r>
  <r>
    <x v="1281"/>
    <n v="131.33000000000001"/>
    <x v="910"/>
    <x v="930"/>
    <x v="931"/>
    <n v="29021118"/>
    <n v="5.8426966292134917E-2"/>
    <x v="5"/>
  </r>
  <r>
    <x v="1282"/>
    <n v="136.58000000000001"/>
    <x v="911"/>
    <x v="931"/>
    <x v="932"/>
    <n v="34351715"/>
    <n v="-6.8648266100495318E-3"/>
    <x v="5"/>
  </r>
  <r>
    <x v="1283"/>
    <n v="143.54"/>
    <x v="912"/>
    <x v="932"/>
    <x v="933"/>
    <n v="32143057"/>
    <n v="4.061854200812362E-2"/>
    <x v="5"/>
  </r>
  <r>
    <x v="1284"/>
    <n v="142.77000000000001"/>
    <x v="913"/>
    <x v="933"/>
    <x v="934"/>
    <n v="28414523"/>
    <n v="-1.8557830582757021E-2"/>
    <x v="5"/>
  </r>
  <r>
    <x v="1285"/>
    <n v="145.37"/>
    <x v="914"/>
    <x v="934"/>
    <x v="935"/>
    <n v="21706014"/>
    <n v="-2.023444041306172E-2"/>
    <x v="5"/>
  </r>
  <r>
    <x v="1286"/>
    <n v="146.5"/>
    <x v="915"/>
    <x v="935"/>
    <x v="936"/>
    <n v="34833025"/>
    <n v="-2.5851018373451044E-2"/>
    <x v="5"/>
  </r>
  <r>
    <x v="1287"/>
    <n v="140.03"/>
    <x v="916"/>
    <x v="936"/>
    <x v="937"/>
    <n v="30284224"/>
    <n v="1.644857080195921E-2"/>
    <x v="5"/>
  </r>
  <r>
    <x v="1288"/>
    <n v="138.82"/>
    <x v="917"/>
    <x v="937"/>
    <x v="938"/>
    <n v="17357722"/>
    <n v="-1.2873993095512026E-2"/>
    <x v="5"/>
  </r>
  <r>
    <x v="1289"/>
    <n v="138.35"/>
    <x v="918"/>
    <x v="938"/>
    <x v="939"/>
    <n v="19940500"/>
    <n v="-7.8688524590164854E-3"/>
    <x v="5"/>
  </r>
  <r>
    <x v="1290"/>
    <n v="136.94999999999999"/>
    <x v="919"/>
    <x v="939"/>
    <x v="940"/>
    <n v="19830351"/>
    <n v="-1.0281266064477224E-3"/>
    <x v="5"/>
  </r>
  <r>
    <x v="1291"/>
    <n v="136.31"/>
    <x v="920"/>
    <x v="940"/>
    <x v="941"/>
    <n v="26838635"/>
    <n v="8.2114239505991227E-2"/>
    <x v="5"/>
  </r>
  <r>
    <x v="1292"/>
    <n v="153.38999999999999"/>
    <x v="921"/>
    <x v="941"/>
    <x v="942"/>
    <n v="61188281"/>
    <n v="0.10197010869565232"/>
    <x v="5"/>
  </r>
  <r>
    <x v="1293"/>
    <n v="149.44999999999999"/>
    <x v="922"/>
    <x v="942"/>
    <x v="943"/>
    <n v="78044024"/>
    <n v="2.5954010233647615E-2"/>
    <x v="5"/>
  </r>
  <r>
    <x v="1294"/>
    <n v="164"/>
    <x v="923"/>
    <x v="943"/>
    <x v="944"/>
    <n v="62475346"/>
    <n v="-1.9348635981252249E-2"/>
    <x v="5"/>
  </r>
  <r>
    <x v="1295"/>
    <n v="166"/>
    <x v="868"/>
    <x v="944"/>
    <x v="945"/>
    <n v="32911922"/>
    <n v="6.5870098039215688E-2"/>
    <x v="5"/>
  </r>
  <r>
    <x v="1296"/>
    <n v="167.83"/>
    <x v="924"/>
    <x v="945"/>
    <x v="946"/>
    <n v="50260304"/>
    <n v="6.4271342339752846E-2"/>
    <x v="5"/>
  </r>
  <r>
    <x v="1297"/>
    <n v="180.13"/>
    <x v="925"/>
    <x v="946"/>
    <x v="947"/>
    <n v="53648494"/>
    <n v="3.3489980014044275E-2"/>
    <x v="5"/>
  </r>
  <r>
    <x v="1298"/>
    <n v="183.35"/>
    <x v="926"/>
    <x v="947"/>
    <x v="948"/>
    <n v="48930162"/>
    <n v="2.0488161814665694E-2"/>
    <x v="5"/>
  </r>
  <r>
    <x v="1299"/>
    <n v="193.72"/>
    <x v="927"/>
    <x v="948"/>
    <x v="949"/>
    <n v="37561078"/>
    <n v="-3.0985915492957806E-2"/>
    <x v="5"/>
  </r>
  <r>
    <x v="1300"/>
    <n v="200.74"/>
    <x v="928"/>
    <x v="949"/>
    <x v="950"/>
    <n v="63003052"/>
    <n v="3.023255813953488E-2"/>
    <x v="5"/>
  </r>
  <r>
    <x v="1301"/>
    <n v="199.2"/>
    <x v="929"/>
    <x v="950"/>
    <x v="951"/>
    <n v="40382832"/>
    <n v="-2.7241945413502843E-2"/>
    <x v="5"/>
  </r>
  <r>
    <x v="1302"/>
    <n v="185.48"/>
    <x v="930"/>
    <x v="951"/>
    <x v="952"/>
    <n v="47775653"/>
    <n v="4.3141184536680435E-2"/>
    <x v="5"/>
  </r>
  <r>
    <x v="1303"/>
    <n v="196.67"/>
    <x v="931"/>
    <x v="952"/>
    <x v="953"/>
    <n v="42552003"/>
    <n v="9.5555892613378574E-3"/>
    <x v="5"/>
  </r>
  <r>
    <x v="1304"/>
    <n v="197"/>
    <x v="932"/>
    <x v="953"/>
    <x v="954"/>
    <n v="29401314"/>
    <n v="7.1314102564102463E-2"/>
    <x v="5"/>
  </r>
  <r>
    <x v="1305"/>
    <n v="201.64"/>
    <x v="933"/>
    <x v="954"/>
    <x v="955"/>
    <n v="56309709"/>
    <n v="1.2668287210172064E-2"/>
    <x v="5"/>
  </r>
  <r>
    <x v="1306"/>
    <n v="208.5"/>
    <x v="934"/>
    <x v="955"/>
    <x v="956"/>
    <n v="64265029"/>
    <n v="-6.9888750403914443E-2"/>
    <x v="5"/>
  </r>
  <r>
    <x v="1307"/>
    <n v="217.9"/>
    <x v="935"/>
    <x v="956"/>
    <x v="957"/>
    <n v="71291190"/>
    <n v="3.7371581716214207E-2"/>
    <x v="5"/>
  </r>
  <r>
    <x v="1308"/>
    <n v="191.46"/>
    <x v="936"/>
    <x v="957"/>
    <x v="958"/>
    <n v="67083153"/>
    <n v="-2.7222275380346366E-2"/>
    <x v="5"/>
  </r>
  <r>
    <x v="1309"/>
    <n v="205"/>
    <x v="937"/>
    <x v="958"/>
    <x v="959"/>
    <n v="46474974"/>
    <n v="4.8935228446367912E-2"/>
    <x v="5"/>
  </r>
  <r>
    <x v="1310"/>
    <n v="206.33"/>
    <x v="938"/>
    <x v="959"/>
    <x v="960"/>
    <n v="52040649"/>
    <n v="-1.0315078769692369E-2"/>
    <x v="5"/>
  </r>
  <r>
    <x v="1311"/>
    <n v="214.43"/>
    <x v="939"/>
    <x v="960"/>
    <x v="961"/>
    <n v="45223559"/>
    <n v="-1.6534015539132123E-2"/>
    <x v="5"/>
  </r>
  <r>
    <x v="1312"/>
    <n v="209.41"/>
    <x v="940"/>
    <x v="961"/>
    <x v="962"/>
    <n v="42095813"/>
    <n v="5.3181752492894606E-2"/>
    <x v="5"/>
  </r>
  <r>
    <x v="1313"/>
    <n v="209.4"/>
    <x v="941"/>
    <x v="962"/>
    <x v="963"/>
    <n v="56270144"/>
    <n v="5.9644147646709014E-2"/>
    <x v="5"/>
  </r>
  <r>
    <x v="1314"/>
    <n v="222.97"/>
    <x v="942"/>
    <x v="963"/>
    <x v="964"/>
    <n v="222126194"/>
    <n v="-6.4963094056200557E-2"/>
    <x v="5"/>
  </r>
  <r>
    <x v="1315"/>
    <n v="222.08"/>
    <x v="943"/>
    <x v="964"/>
    <x v="965"/>
    <n v="58045264"/>
    <n v="-1.463392115224825E-2"/>
    <x v="5"/>
  </r>
  <r>
    <x v="1316"/>
    <n v="216"/>
    <x v="944"/>
    <x v="965"/>
    <x v="966"/>
    <n v="51861644"/>
    <n v="8.8076832981964105E-3"/>
    <x v="5"/>
  </r>
  <r>
    <x v="1317"/>
    <n v="210.73"/>
    <x v="945"/>
    <x v="966"/>
    <x v="967"/>
    <n v="33172972"/>
    <n v="2.442762271861789E-2"/>
    <x v="5"/>
  </r>
  <r>
    <x v="1318"/>
    <n v="214.33"/>
    <x v="946"/>
    <x v="967"/>
    <x v="968"/>
    <n v="22865568"/>
    <n v="2.9013101228522885E-3"/>
    <x v="5"/>
  </r>
  <r>
    <x v="1319"/>
    <n v="224.84"/>
    <x v="947"/>
    <x v="968"/>
    <x v="969"/>
    <n v="32278561"/>
    <n v="3.4805406138408456E-3"/>
    <x v="5"/>
  </r>
  <r>
    <x v="1320"/>
    <n v="220.33"/>
    <x v="948"/>
    <x v="969"/>
    <x v="970"/>
    <n v="22910811"/>
    <n v="4.3198198198198215E-2"/>
    <x v="5"/>
  </r>
  <r>
    <x v="1321"/>
    <n v="224"/>
    <x v="949"/>
    <x v="970"/>
    <x v="971"/>
    <n v="42846021"/>
    <n v="1.5674251910704241E-2"/>
    <x v="5"/>
  </r>
  <r>
    <x v="1322"/>
    <n v="233.33"/>
    <x v="950"/>
    <x v="971"/>
    <x v="972"/>
    <n v="49649928"/>
    <n v="3.4180766941586567E-2"/>
    <x v="5"/>
  </r>
  <r>
    <x v="1323"/>
    <n v="239.82"/>
    <x v="951"/>
    <x v="972"/>
    <x v="973"/>
    <n v="48638189"/>
    <n v="7.3172736989229681E-3"/>
    <x v="6"/>
  </r>
  <r>
    <x v="1324"/>
    <n v="241.22"/>
    <x v="952"/>
    <x v="973"/>
    <x v="974"/>
    <n v="32245165"/>
    <n v="2.8362716291217831E-2"/>
    <x v="6"/>
  </r>
  <r>
    <x v="1325"/>
    <n v="252.83"/>
    <x v="953"/>
    <x v="974"/>
    <x v="975"/>
    <n v="44699965"/>
    <n v="7.9447597126870037E-2"/>
    <x v="6"/>
  </r>
  <r>
    <x v="1326"/>
    <n v="259.20999999999998"/>
    <x v="954"/>
    <x v="975"/>
    <x v="976"/>
    <n v="51498948"/>
    <n v="7.8416234697253728E-2"/>
    <x v="6"/>
  </r>
  <r>
    <x v="1327"/>
    <n v="285.33"/>
    <x v="955"/>
    <x v="976"/>
    <x v="977"/>
    <n v="75055528"/>
    <n v="-7.8202768118906391E-2"/>
    <x v="6"/>
  </r>
  <r>
    <x v="1328"/>
    <n v="283.13"/>
    <x v="956"/>
    <x v="977"/>
    <x v="978"/>
    <n v="59554146"/>
    <n v="4.715236686390533E-2"/>
    <x v="6"/>
  </r>
  <r>
    <x v="1329"/>
    <n v="277"/>
    <x v="957"/>
    <x v="978"/>
    <x v="979"/>
    <n v="46270720"/>
    <n v="5.827300017658606E-3"/>
    <x v="6"/>
  </r>
  <r>
    <x v="1330"/>
    <n v="284.25"/>
    <x v="958"/>
    <x v="979"/>
    <x v="980"/>
    <n v="33312496"/>
    <n v="-1.0990168539325827E-2"/>
    <x v="6"/>
  </r>
  <r>
    <x v="1331"/>
    <n v="281.13"/>
    <x v="959"/>
    <x v="980"/>
    <x v="981"/>
    <n v="31266327"/>
    <n v="-2.2295594134980754E-2"/>
    <x v="6"/>
  </r>
  <r>
    <x v="1332"/>
    <n v="284"/>
    <x v="960"/>
    <x v="981"/>
    <x v="982"/>
    <n v="38777596"/>
    <n v="2.2259341297795839E-2"/>
    <x v="6"/>
  </r>
  <r>
    <x v="1333"/>
    <n v="279.27"/>
    <x v="961"/>
    <x v="982"/>
    <x v="983"/>
    <n v="25366980"/>
    <n v="6.9622051719239715E-3"/>
    <x v="6"/>
  </r>
  <r>
    <x v="1334"/>
    <n v="286.25"/>
    <x v="962"/>
    <x v="983"/>
    <x v="984"/>
    <n v="25665883"/>
    <n v="-6.4202060110060428E-3"/>
    <x v="6"/>
  </r>
  <r>
    <x v="1335"/>
    <n v="285"/>
    <x v="963"/>
    <x v="984"/>
    <x v="985"/>
    <n v="20598133"/>
    <n v="1.952708939856403E-3"/>
    <x v="6"/>
  </r>
  <r>
    <x v="1336"/>
    <n v="278.10000000000002"/>
    <x v="964"/>
    <x v="985"/>
    <x v="986"/>
    <n v="20066497"/>
    <n v="4.0360015591226546E-2"/>
    <x v="6"/>
  </r>
  <r>
    <x v="1337"/>
    <n v="285"/>
    <x v="965"/>
    <x v="986"/>
    <x v="987"/>
    <n v="41173397"/>
    <n v="2.5885558583105955E-3"/>
    <x v="6"/>
  </r>
  <r>
    <x v="1338"/>
    <n v="297.13"/>
    <x v="966"/>
    <x v="987"/>
    <x v="988"/>
    <n v="23131603"/>
    <n v="-2.143633645875799E-2"/>
    <x v="6"/>
  </r>
  <r>
    <x v="1339"/>
    <n v="290.12"/>
    <x v="967"/>
    <x v="988"/>
    <x v="989"/>
    <n v="27333955"/>
    <n v="-3.3223398715500757E-2"/>
    <x v="6"/>
  </r>
  <r>
    <x v="1340"/>
    <n v="273.33"/>
    <x v="964"/>
    <x v="989"/>
    <x v="990"/>
    <n v="26378048"/>
    <n v="-5.0165182418845253E-2"/>
    <x v="6"/>
  </r>
  <r>
    <x v="1341"/>
    <n v="276.67"/>
    <x v="968"/>
    <x v="990"/>
    <x v="991"/>
    <n v="34990754"/>
    <n v="5.8334278477184254E-2"/>
    <x v="6"/>
  </r>
  <r>
    <x v="1342"/>
    <n v="271.43"/>
    <x v="969"/>
    <x v="991"/>
    <x v="992"/>
    <n v="25391385"/>
    <n v="3.9258412516967954E-2"/>
    <x v="6"/>
  </r>
  <r>
    <x v="1343"/>
    <n v="281.56"/>
    <x v="970"/>
    <x v="992"/>
    <x v="993"/>
    <n v="24346213"/>
    <n v="-2.0726635273089846E-2"/>
    <x v="6"/>
  </r>
  <r>
    <x v="1344"/>
    <n v="292.33999999999997"/>
    <x v="971"/>
    <x v="993"/>
    <x v="994"/>
    <n v="18343510"/>
    <n v="-5.5107055107054869E-3"/>
    <x v="6"/>
  </r>
  <r>
    <x v="1345"/>
    <n v="285"/>
    <x v="972"/>
    <x v="994"/>
    <x v="995"/>
    <n v="15812661"/>
    <n v="2.6470899657643032E-3"/>
    <x v="6"/>
  </r>
  <r>
    <x v="1346"/>
    <n v="281.67"/>
    <x v="973"/>
    <x v="995"/>
    <x v="996"/>
    <n v="18566637"/>
    <n v="1.3130104196001191E-2"/>
    <x v="6"/>
  </r>
  <r>
    <x v="1347"/>
    <n v="289.89"/>
    <x v="974"/>
    <x v="996"/>
    <x v="997"/>
    <n v="20161719"/>
    <n v="-1.6191237274590962E-2"/>
    <x v="6"/>
  </r>
  <r>
    <x v="1348"/>
    <n v="285.04000000000002"/>
    <x v="975"/>
    <x v="997"/>
    <x v="979"/>
    <n v="15157651"/>
    <n v="-5.2551651068338326E-2"/>
    <x v="6"/>
  </r>
  <r>
    <x v="1349"/>
    <n v="281.20999999999998"/>
    <x v="976"/>
    <x v="998"/>
    <x v="998"/>
    <n v="36216090"/>
    <n v="8.4989003615761356E-3"/>
    <x v="6"/>
  </r>
  <r>
    <x v="1350"/>
    <n v="270.81"/>
    <x v="977"/>
    <x v="999"/>
    <x v="999"/>
    <n v="21622753"/>
    <n v="5.5072999445574169E-3"/>
    <x v="6"/>
  </r>
  <r>
    <x v="1351"/>
    <n v="267.08999999999997"/>
    <x v="978"/>
    <x v="1000"/>
    <x v="1000"/>
    <n v="23768313"/>
    <n v="-2.4371415968239947E-2"/>
    <x v="6"/>
  </r>
  <r>
    <x v="1352"/>
    <n v="272.67"/>
    <x v="979"/>
    <x v="1001"/>
    <x v="1001"/>
    <n v="19802324"/>
    <n v="2.4113635507327768E-3"/>
    <x v="6"/>
  </r>
  <r>
    <x v="1353"/>
    <n v="259.7"/>
    <x v="980"/>
    <x v="1002"/>
    <x v="1002"/>
    <n v="26078898"/>
    <n v="-1.3493704190941671E-2"/>
    <x v="6"/>
  </r>
  <r>
    <x v="1354"/>
    <n v="260.3"/>
    <x v="981"/>
    <x v="1003"/>
    <x v="1003"/>
    <n v="17957058"/>
    <n v="-7.734511925626659E-3"/>
    <x v="6"/>
  </r>
  <r>
    <x v="1355"/>
    <n v="265"/>
    <x v="982"/>
    <x v="1004"/>
    <x v="1004"/>
    <n v="18958255"/>
    <n v="-8.5474023729985096E-2"/>
    <x v="6"/>
  </r>
  <r>
    <x v="1356"/>
    <n v="254.21"/>
    <x v="983"/>
    <x v="1005"/>
    <x v="1005"/>
    <n v="37269716"/>
    <n v="-2.1917118024940164E-2"/>
    <x v="6"/>
  </r>
  <r>
    <x v="1357"/>
    <n v="220.71"/>
    <x v="984"/>
    <x v="1006"/>
    <x v="1006"/>
    <n v="66606882"/>
    <n v="6.1772912642197961E-2"/>
    <x v="6"/>
  </r>
  <r>
    <x v="1358"/>
    <n v="237.28"/>
    <x v="985"/>
    <x v="1007"/>
    <x v="1007"/>
    <n v="36766950"/>
    <n v="-8.057734292876205E-2"/>
    <x v="6"/>
  </r>
  <r>
    <x v="1359"/>
    <n v="242.05"/>
    <x v="986"/>
    <x v="1008"/>
    <x v="1008"/>
    <n v="39023855"/>
    <n v="-9.850050569456089E-3"/>
    <x v="6"/>
  </r>
  <r>
    <x v="1360"/>
    <n v="233.33"/>
    <x v="987"/>
    <x v="1009"/>
    <x v="1009"/>
    <n v="41089173"/>
    <n v="6.355198294621843E-2"/>
    <x v="6"/>
  </r>
  <r>
    <x v="1361"/>
    <n v="230.04"/>
    <x v="988"/>
    <x v="1010"/>
    <x v="1010"/>
    <n v="27136239"/>
    <n v="-4.4554868882578869E-2"/>
    <x v="6"/>
  </r>
  <r>
    <x v="1362"/>
    <n v="239.43"/>
    <x v="989"/>
    <x v="1011"/>
    <x v="1011"/>
    <n v="23732158"/>
    <n v="-4.8424456973034449E-2"/>
    <x v="6"/>
  </r>
  <r>
    <x v="1363"/>
    <n v="229.33"/>
    <x v="990"/>
    <x v="1012"/>
    <x v="1012"/>
    <n v="30207960"/>
    <n v="-4.859229320718314E-2"/>
    <x v="6"/>
  </r>
  <r>
    <x v="1364"/>
    <n v="218.6"/>
    <x v="991"/>
    <x v="1013"/>
    <x v="1013"/>
    <n v="65919530"/>
    <n v="-3.7798696596669137E-2"/>
    <x v="6"/>
  </r>
  <r>
    <x v="1365"/>
    <n v="208.69"/>
    <x v="992"/>
    <x v="1014"/>
    <x v="1014"/>
    <n v="89396459"/>
    <n v="-5.8448725667268747E-2"/>
    <x v="6"/>
  </r>
  <r>
    <x v="1366"/>
    <n v="200.18"/>
    <x v="993"/>
    <x v="1015"/>
    <x v="1015"/>
    <n v="51786958"/>
    <n v="0.19640858954547885"/>
    <x v="6"/>
  </r>
  <r>
    <x v="1367"/>
    <n v="202.73"/>
    <x v="994"/>
    <x v="1016"/>
    <x v="1016"/>
    <n v="67523328"/>
    <n v="-8.1948960049882131E-3"/>
    <x v="6"/>
  </r>
  <r>
    <x v="1368"/>
    <n v="233.43"/>
    <x v="995"/>
    <x v="1017"/>
    <x v="1017"/>
    <n v="60605672"/>
    <n v="4.7195653150118956E-2"/>
    <x v="6"/>
  </r>
  <r>
    <x v="1369"/>
    <n v="233.13"/>
    <x v="996"/>
    <x v="1018"/>
    <x v="1018"/>
    <n v="36253892"/>
    <n v="-8.4048027444252986E-3"/>
    <x v="6"/>
  </r>
  <r>
    <x v="1370"/>
    <n v="223.33"/>
    <x v="997"/>
    <x v="1019"/>
    <x v="1019"/>
    <n v="33583840"/>
    <n v="2.0498183705241223E-2"/>
    <x v="6"/>
  </r>
  <r>
    <x v="1371"/>
    <n v="231.36"/>
    <x v="998"/>
    <x v="1020"/>
    <x v="1020"/>
    <n v="29423479"/>
    <n v="-4.3859649122806994E-2"/>
    <x v="6"/>
  </r>
  <r>
    <x v="1372"/>
    <n v="234.45"/>
    <x v="999"/>
    <x v="1021"/>
    <x v="1021"/>
    <n v="32195672"/>
    <n v="3.68302087488366E-2"/>
    <x v="6"/>
  </r>
  <r>
    <x v="1373"/>
    <n v="218.96"/>
    <x v="1000"/>
    <x v="1022"/>
    <x v="1022"/>
    <n v="40372453"/>
    <n v="-6.9334017269385304E-2"/>
    <x v="6"/>
  </r>
  <r>
    <x v="1374"/>
    <n v="228.1"/>
    <x v="1001"/>
    <x v="1023"/>
    <x v="1023"/>
    <n v="33369022"/>
    <n v="2.6180415212198843E-3"/>
    <x v="6"/>
  </r>
  <r>
    <x v="1375"/>
    <n v="215.53"/>
    <x v="1002"/>
    <x v="1024"/>
    <x v="1024"/>
    <n v="42893978"/>
    <n v="2.3088551926336621E-2"/>
    <x v="6"/>
  </r>
  <r>
    <x v="1376"/>
    <n v="228.2"/>
    <x v="1003"/>
    <x v="1025"/>
    <x v="1025"/>
    <n v="39512221"/>
    <n v="-1.1686741593158167E-2"/>
    <x v="6"/>
  </r>
  <r>
    <x v="1377"/>
    <n v="225.26"/>
    <x v="1004"/>
    <x v="1026"/>
    <x v="1026"/>
    <n v="30491870"/>
    <n v="-4.8160565422254421E-2"/>
    <x v="6"/>
  </r>
  <r>
    <x v="1378"/>
    <n v="222.64"/>
    <x v="1005"/>
    <x v="1027"/>
    <x v="1027"/>
    <n v="33795174"/>
    <n v="1.6040744442857843E-2"/>
    <x v="6"/>
  </r>
  <r>
    <x v="1379"/>
    <n v="204.33"/>
    <x v="1006"/>
    <x v="1028"/>
    <x v="1028"/>
    <n v="39224850"/>
    <n v="-3.3823667197601416E-2"/>
    <x v="6"/>
  </r>
  <r>
    <x v="1380"/>
    <n v="213.96"/>
    <x v="1007"/>
    <x v="1029"/>
    <x v="1029"/>
    <n v="33852827"/>
    <n v="-1.2024825446082322E-2"/>
    <x v="6"/>
  </r>
  <r>
    <x v="1381"/>
    <n v="205.21"/>
    <x v="1008"/>
    <x v="1030"/>
    <x v="1030"/>
    <n v="28636985"/>
    <n v="3.9801727522575645E-2"/>
    <x v="6"/>
  </r>
  <r>
    <x v="1382"/>
    <n v="200.58"/>
    <x v="1009"/>
    <x v="1031"/>
    <x v="1031"/>
    <n v="39432359"/>
    <n v="5.083305800726852E-2"/>
    <x v="6"/>
  </r>
  <r>
    <x v="1383"/>
    <n v="215.54"/>
    <x v="1010"/>
    <x v="1032"/>
    <x v="1032"/>
    <n v="33337288"/>
    <n v="-9.2526051024073575E-3"/>
    <x v="6"/>
  </r>
  <r>
    <x v="1384"/>
    <n v="229.46"/>
    <x v="1011"/>
    <x v="1033"/>
    <x v="1033"/>
    <n v="35298378"/>
    <n v="4.4292320246622455E-2"/>
    <x v="6"/>
  </r>
  <r>
    <x v="1385"/>
    <n v="235.9"/>
    <x v="1012"/>
    <x v="1034"/>
    <x v="1034"/>
    <n v="41842767"/>
    <n v="8.2483177772953219E-4"/>
    <x v="6"/>
  </r>
  <r>
    <x v="1386"/>
    <n v="230.1"/>
    <x v="1013"/>
    <x v="1035"/>
    <x v="1035"/>
    <n v="28271839"/>
    <n v="-2.9842977357508439E-2"/>
    <x v="6"/>
  </r>
  <r>
    <x v="1387"/>
    <n v="229"/>
    <x v="1014"/>
    <x v="1036"/>
    <x v="1036"/>
    <n v="26309433"/>
    <n v="1.9091478136457167E-2"/>
    <x v="6"/>
  </r>
  <r>
    <x v="1388"/>
    <n v="225.79"/>
    <x v="1015"/>
    <x v="1037"/>
    <x v="1037"/>
    <n v="23924329"/>
    <n v="-9.9153248804458357E-3"/>
    <x v="6"/>
  </r>
  <r>
    <x v="1389"/>
    <n v="225.92"/>
    <x v="1016"/>
    <x v="1038"/>
    <x v="1038"/>
    <n v="21437087"/>
    <n v="3.6867993087251395E-2"/>
    <x v="6"/>
  </r>
  <r>
    <x v="1390"/>
    <n v="228.57"/>
    <x v="1017"/>
    <x v="1039"/>
    <x v="1039"/>
    <n v="29135670"/>
    <n v="8.5986580623103562E-2"/>
    <x v="6"/>
  </r>
  <r>
    <x v="1391"/>
    <n v="237.57"/>
    <x v="1018"/>
    <x v="1040"/>
    <x v="1040"/>
    <n v="44652808"/>
    <n v="-3.9471095194994296E-2"/>
    <x v="6"/>
  </r>
  <r>
    <x v="1392"/>
    <n v="256.89999999999998"/>
    <x v="1019"/>
    <x v="1041"/>
    <x v="1041"/>
    <n v="49017434"/>
    <n v="9.0134382169779932E-3"/>
    <x v="6"/>
  </r>
  <r>
    <x v="1393"/>
    <n v="247.7"/>
    <x v="1020"/>
    <x v="1042"/>
    <x v="1042"/>
    <n v="27848900"/>
    <n v="1.2587299009257848E-3"/>
    <x v="6"/>
  </r>
  <r>
    <x v="1394"/>
    <n v="242.88"/>
    <x v="1021"/>
    <x v="1043"/>
    <x v="1043"/>
    <n v="27979526"/>
    <n v="-3.3983535423172048E-2"/>
    <x v="6"/>
  </r>
  <r>
    <x v="1395"/>
    <n v="239.87"/>
    <x v="1022"/>
    <x v="1044"/>
    <x v="1044"/>
    <n v="39686226"/>
    <n v="6.0870660341714811E-3"/>
    <x v="6"/>
  </r>
  <r>
    <x v="1396"/>
    <n v="239.14"/>
    <x v="1023"/>
    <x v="1045"/>
    <x v="1045"/>
    <n v="35609038"/>
    <n v="3.4966202119669512E-2"/>
    <x v="6"/>
  </r>
  <r>
    <x v="1397"/>
    <n v="234.92"/>
    <x v="1024"/>
    <x v="1046"/>
    <x v="1046"/>
    <n v="31215514"/>
    <n v="-3.2817287534268609E-2"/>
    <x v="6"/>
  </r>
  <r>
    <x v="1398"/>
    <n v="247.17"/>
    <x v="1025"/>
    <x v="1047"/>
    <x v="1047"/>
    <n v="35590255"/>
    <n v="1.3463943309712336E-2"/>
    <x v="6"/>
  </r>
  <r>
    <x v="1399"/>
    <n v="239.93"/>
    <x v="1026"/>
    <x v="1048"/>
    <x v="1048"/>
    <n v="28413889"/>
    <n v="1.2092296302389659E-2"/>
    <x v="6"/>
  </r>
  <r>
    <x v="1400"/>
    <n v="247"/>
    <x v="1027"/>
    <x v="1049"/>
    <x v="1049"/>
    <n v="31038502"/>
    <n v="-4.5352948348031039E-2"/>
    <x v="6"/>
  </r>
  <r>
    <x v="1401"/>
    <n v="239.32"/>
    <x v="1028"/>
    <x v="1050"/>
    <x v="1050"/>
    <n v="29436995"/>
    <n v="-1.4643906176833671E-2"/>
    <x v="6"/>
  </r>
  <r>
    <x v="1402"/>
    <n v="232.14"/>
    <x v="1029"/>
    <x v="1051"/>
    <x v="1051"/>
    <n v="22271047"/>
    <n v="-2.5057242839244875E-2"/>
    <x v="6"/>
  </r>
  <r>
    <x v="1403"/>
    <n v="233.17"/>
    <x v="1030"/>
    <x v="1052"/>
    <x v="1038"/>
    <n v="28845449"/>
    <n v="4.7901803518411855E-2"/>
    <x v="6"/>
  </r>
  <r>
    <x v="1404"/>
    <n v="222.53"/>
    <x v="1031"/>
    <x v="1019"/>
    <x v="1052"/>
    <n v="40758722"/>
    <n v="-3.4590663058186651E-2"/>
    <x v="6"/>
  </r>
  <r>
    <x v="1405"/>
    <n v="234.6"/>
    <x v="1032"/>
    <x v="1053"/>
    <x v="1053"/>
    <n v="27043143"/>
    <n v="-1.6513359614542315E-2"/>
    <x v="6"/>
  </r>
  <r>
    <x v="1406"/>
    <n v="226.31"/>
    <x v="1033"/>
    <x v="1054"/>
    <x v="1016"/>
    <n v="29739319"/>
    <n v="-3.9192980893421612E-3"/>
    <x v="6"/>
  </r>
  <r>
    <x v="1407"/>
    <n v="227.02"/>
    <x v="1034"/>
    <x v="1055"/>
    <x v="1054"/>
    <n v="21901894"/>
    <n v="-1.1044042029957518E-2"/>
    <x v="6"/>
  </r>
  <r>
    <x v="1408"/>
    <n v="226.92"/>
    <x v="1035"/>
    <x v="1056"/>
    <x v="1055"/>
    <n v="27784619"/>
    <n v="1.3292341079663612E-2"/>
    <x v="6"/>
  </r>
  <r>
    <x v="1409"/>
    <n v="221.93"/>
    <x v="1036"/>
    <x v="1057"/>
    <x v="1056"/>
    <n v="23469172"/>
    <n v="-6.4429769766196673E-2"/>
    <x v="6"/>
  </r>
  <r>
    <x v="1410"/>
    <n v="221.63"/>
    <x v="1037"/>
    <x v="1058"/>
    <x v="1057"/>
    <n v="31392417"/>
    <n v="-1.8838229683327056E-2"/>
    <x v="6"/>
  </r>
  <r>
    <x v="1411"/>
    <n v="199.75"/>
    <x v="1038"/>
    <x v="1059"/>
    <x v="1058"/>
    <n v="46503896"/>
    <n v="-4.4232732221844137E-2"/>
    <x v="6"/>
  </r>
  <r>
    <x v="1412"/>
    <n v="200.83"/>
    <x v="1039"/>
    <x v="1060"/>
    <x v="1059"/>
    <n v="33823646"/>
    <n v="-3.0870162233636745E-2"/>
    <x v="6"/>
  </r>
  <r>
    <x v="1413"/>
    <n v="200.52"/>
    <x v="1040"/>
    <x v="1061"/>
    <x v="1060"/>
    <n v="44184916"/>
    <n v="3.1591099916036994E-2"/>
    <x v="6"/>
  </r>
  <r>
    <x v="1414"/>
    <n v="194.47"/>
    <x v="1041"/>
    <x v="1062"/>
    <x v="1061"/>
    <n v="33370856"/>
    <n v="-2.1874046189846428E-2"/>
    <x v="6"/>
  </r>
  <r>
    <x v="1415"/>
    <n v="191.85"/>
    <x v="1042"/>
    <x v="1063"/>
    <x v="1062"/>
    <n v="32390360"/>
    <n v="1.7682546286665456E-3"/>
    <x v="6"/>
  </r>
  <r>
    <x v="1416"/>
    <n v="189.33"/>
    <x v="1043"/>
    <x v="1064"/>
    <x v="1063"/>
    <n v="36830567"/>
    <n v="-2.491953068217221E-2"/>
    <x v="6"/>
  </r>
  <r>
    <x v="1417"/>
    <n v="184.18"/>
    <x v="1044"/>
    <x v="1065"/>
    <x v="1064"/>
    <n v="39578395"/>
    <n v="4.1369396230433453E-2"/>
    <x v="6"/>
  </r>
  <r>
    <x v="1418"/>
    <n v="191.67"/>
    <x v="1045"/>
    <x v="1066"/>
    <x v="1065"/>
    <n v="30821119"/>
    <n v="-1.0020962216882295E-2"/>
    <x v="6"/>
  </r>
  <r>
    <x v="1419"/>
    <n v="198.7"/>
    <x v="1046"/>
    <x v="1067"/>
    <x v="1066"/>
    <n v="26030595"/>
    <n v="4.4001446056912724E-2"/>
    <x v="6"/>
  </r>
  <r>
    <x v="1420"/>
    <n v="193.87"/>
    <x v="1047"/>
    <x v="1068"/>
    <x v="1067"/>
    <n v="34558089"/>
    <n v="-2.918624783576569E-3"/>
    <x v="6"/>
  </r>
  <r>
    <x v="1421"/>
    <n v="202.44"/>
    <x v="1048"/>
    <x v="1069"/>
    <x v="1068"/>
    <n v="28005933"/>
    <n v="2.3913474895812626E-2"/>
    <x v="6"/>
  </r>
  <r>
    <x v="1422"/>
    <n v="202.52"/>
    <x v="1049"/>
    <x v="1070"/>
    <x v="1069"/>
    <n v="28639305"/>
    <n v="1.8897179959298408E-2"/>
    <x v="6"/>
  </r>
  <r>
    <x v="1423"/>
    <n v="206.75"/>
    <x v="1050"/>
    <x v="1071"/>
    <x v="1070"/>
    <n v="26370593"/>
    <n v="-8.8929046984972636E-3"/>
    <x v="6"/>
  </r>
  <r>
    <x v="1424"/>
    <n v="209.5"/>
    <x v="1051"/>
    <x v="1072"/>
    <x v="1071"/>
    <n v="22737038"/>
    <n v="-2.1112230699102622E-3"/>
    <x v="6"/>
  </r>
  <r>
    <x v="1425"/>
    <n v="209.27"/>
    <x v="1052"/>
    <x v="1073"/>
    <x v="1072"/>
    <n v="18084890"/>
    <n v="-3.010049526373992E-2"/>
    <x v="6"/>
  </r>
  <r>
    <x v="1426"/>
    <n v="206.71"/>
    <x v="1053"/>
    <x v="1074"/>
    <x v="1073"/>
    <n v="23302779"/>
    <n v="-5.3343909573149662E-2"/>
    <x v="6"/>
  </r>
  <r>
    <x v="1427"/>
    <n v="200.6"/>
    <x v="1054"/>
    <x v="1075"/>
    <x v="1074"/>
    <n v="30111893"/>
    <n v="4.5718774548311171E-2"/>
    <x v="6"/>
  </r>
  <r>
    <x v="1428"/>
    <n v="193.24"/>
    <x v="1055"/>
    <x v="1076"/>
    <x v="954"/>
    <n v="24036896"/>
    <n v="1.0166266025641031E-2"/>
    <x v="6"/>
  </r>
  <r>
    <x v="1429"/>
    <n v="197.28"/>
    <x v="1056"/>
    <x v="1077"/>
    <x v="1073"/>
    <n v="22543682"/>
    <n v="-2.5283823310694527E-3"/>
    <x v="6"/>
  </r>
  <r>
    <x v="1430"/>
    <n v="207.67"/>
    <x v="1057"/>
    <x v="1078"/>
    <x v="1075"/>
    <n v="26053405"/>
    <n v="-8.0019880715705028E-3"/>
    <x v="6"/>
  </r>
  <r>
    <x v="1431"/>
    <n v="200.72"/>
    <x v="1058"/>
    <x v="1079"/>
    <x v="1076"/>
    <n v="16584566"/>
    <n v="1.8938824590410346E-2"/>
    <x v="6"/>
  </r>
  <r>
    <x v="1432"/>
    <n v="201.29"/>
    <x v="1059"/>
    <x v="1080"/>
    <x v="1077"/>
    <n v="23919606"/>
    <n v="-3.4420022618868651E-4"/>
    <x v="6"/>
  </r>
  <r>
    <x v="1433"/>
    <n v="203.41"/>
    <x v="1060"/>
    <x v="1081"/>
    <x v="1078"/>
    <n v="16205303"/>
    <n v="1.2788981800295102E-2"/>
    <x v="6"/>
  </r>
  <r>
    <x v="1434"/>
    <n v="204.08"/>
    <x v="1061"/>
    <x v="1082"/>
    <x v="1079"/>
    <n v="20423983"/>
    <n v="-2.9674599320058347E-2"/>
    <x v="6"/>
  </r>
  <r>
    <x v="1435"/>
    <n v="205.56"/>
    <x v="1062"/>
    <x v="1083"/>
    <x v="1080"/>
    <n v="17764145"/>
    <n v="9.1596175984784648E-3"/>
    <x v="6"/>
  </r>
  <r>
    <x v="1436"/>
    <n v="199.18"/>
    <x v="1063"/>
    <x v="1084"/>
    <x v="1081"/>
    <n v="22144127"/>
    <n v="1.9392917369308583E-2"/>
    <x v="6"/>
  </r>
  <r>
    <x v="1437"/>
    <n v="200.63"/>
    <x v="1064"/>
    <x v="1085"/>
    <x v="1082"/>
    <n v="22701350"/>
    <n v="1.0898652264876218E-2"/>
    <x v="6"/>
  </r>
  <r>
    <x v="1438"/>
    <n v="204.46"/>
    <x v="1065"/>
    <x v="1086"/>
    <x v="1083"/>
    <n v="24560905"/>
    <n v="-3.994801944457874E-3"/>
    <x v="6"/>
  </r>
  <r>
    <x v="1439"/>
    <n v="208.16"/>
    <x v="1066"/>
    <x v="1087"/>
    <x v="1084"/>
    <n v="24812741"/>
    <n v="4.6390258045810769E-3"/>
    <x v="6"/>
  </r>
  <r>
    <x v="1440"/>
    <n v="206.08"/>
    <x v="1067"/>
    <x v="1088"/>
    <x v="1085"/>
    <n v="19158892"/>
    <n v="5.2717652717652753E-2"/>
    <x v="6"/>
  </r>
  <r>
    <x v="1441"/>
    <n v="210.67"/>
    <x v="1068"/>
    <x v="1089"/>
    <x v="1086"/>
    <n v="31099228"/>
    <n v="3.5410764872521247E-2"/>
    <x v="6"/>
  </r>
  <r>
    <x v="1442"/>
    <n v="225"/>
    <x v="1069"/>
    <x v="1090"/>
    <x v="1087"/>
    <n v="45982386"/>
    <n v="-1.1694099995587157E-2"/>
    <x v="6"/>
  </r>
  <r>
    <x v="1443"/>
    <n v="229.86"/>
    <x v="1070"/>
    <x v="1091"/>
    <x v="1088"/>
    <n v="32496707"/>
    <n v="2.5049115913555926E-2"/>
    <x v="6"/>
  </r>
  <r>
    <x v="1444"/>
    <n v="223.88"/>
    <x v="1071"/>
    <x v="1092"/>
    <x v="1089"/>
    <n v="21628159"/>
    <n v="-1.1543320120224793E-2"/>
    <x v="6"/>
  </r>
  <r>
    <x v="1445"/>
    <n v="228.22"/>
    <x v="1072"/>
    <x v="1093"/>
    <x v="1090"/>
    <n v="17381313"/>
    <n v="-1.5423937951700791E-3"/>
    <x v="6"/>
  </r>
  <r>
    <x v="1446"/>
    <n v="226.59"/>
    <x v="1073"/>
    <x v="1094"/>
    <x v="1091"/>
    <n v="18924862"/>
    <n v="-2.6481881979079063E-3"/>
    <x v="6"/>
  </r>
  <r>
    <x v="1447"/>
    <n v="227.97"/>
    <x v="1074"/>
    <x v="1095"/>
    <x v="1092"/>
    <n v="18634522"/>
    <n v="1.460370845687536E-3"/>
    <x v="6"/>
  </r>
  <r>
    <x v="1448"/>
    <n v="226.33"/>
    <x v="1075"/>
    <x v="1096"/>
    <x v="1093"/>
    <n v="27097374"/>
    <n v="-2.8457799381352174E-2"/>
    <x v="6"/>
  </r>
  <r>
    <x v="1449"/>
    <n v="227.24"/>
    <x v="1076"/>
    <x v="1097"/>
    <x v="1094"/>
    <n v="23284450"/>
    <n v="-2.2650777767670417E-2"/>
    <x v="6"/>
  </r>
  <r>
    <x v="1450"/>
    <n v="221.42"/>
    <x v="1077"/>
    <x v="1098"/>
    <x v="1095"/>
    <n v="18791960"/>
    <n v="1.265822784810126E-2"/>
    <x v="6"/>
  </r>
  <r>
    <x v="1451"/>
    <n v="209.46"/>
    <x v="1078"/>
    <x v="1099"/>
    <x v="1096"/>
    <n v="22773316"/>
    <n v="6.3419117647058616E-3"/>
    <x v="6"/>
  </r>
  <r>
    <x v="1452"/>
    <n v="217.73"/>
    <x v="1079"/>
    <x v="1100"/>
    <x v="1097"/>
    <n v="18140548"/>
    <n v="4.3793953785733877E-2"/>
    <x v="6"/>
  </r>
  <r>
    <x v="1453"/>
    <n v="220.73"/>
    <x v="1080"/>
    <x v="1101"/>
    <x v="1098"/>
    <n v="25927042"/>
    <n v="-2.502515640722754E-2"/>
    <x v="6"/>
  </r>
  <r>
    <x v="1454"/>
    <n v="228.77"/>
    <x v="1081"/>
    <x v="1102"/>
    <x v="1099"/>
    <n v="20966092"/>
    <n v="-2.2705855956921706E-2"/>
    <x v="6"/>
  </r>
  <r>
    <x v="1455"/>
    <n v="223.58"/>
    <x v="1082"/>
    <x v="1103"/>
    <x v="1100"/>
    <n v="21641190"/>
    <n v="-4.2242527205105266E-3"/>
    <x v="6"/>
  </r>
  <r>
    <x v="1456"/>
    <n v="219.46"/>
    <x v="1083"/>
    <x v="1104"/>
    <x v="1101"/>
    <n v="20209571"/>
    <n v="-9.8215520818923565E-3"/>
    <x v="6"/>
  </r>
  <r>
    <x v="1457"/>
    <n v="218.23"/>
    <x v="1084"/>
    <x v="1105"/>
    <x v="1102"/>
    <n v="16370970"/>
    <n v="3.1200521560956853E-3"/>
    <x v="6"/>
  </r>
  <r>
    <x v="1458"/>
    <n v="209.96"/>
    <x v="1085"/>
    <x v="1106"/>
    <x v="1103"/>
    <n v="21297090"/>
    <n v="2.2097395664082406E-2"/>
    <x v="6"/>
  </r>
  <r>
    <x v="1459"/>
    <n v="217.33"/>
    <x v="1086"/>
    <x v="1107"/>
    <x v="1104"/>
    <n v="15487127"/>
    <n v="-7.902984057773451E-3"/>
    <x v="6"/>
  </r>
  <r>
    <x v="1460"/>
    <n v="219.87"/>
    <x v="1087"/>
    <x v="1108"/>
    <x v="1105"/>
    <n v="13953338"/>
    <n v="-9.2020326878176958E-3"/>
    <x v="6"/>
  </r>
  <r>
    <x v="1461"/>
    <n v="218.81"/>
    <x v="1088"/>
    <x v="1109"/>
    <x v="1106"/>
    <n v="15105727"/>
    <n v="-9.0564642824137315E-3"/>
    <x v="6"/>
  </r>
  <r>
    <x v="1462"/>
    <n v="215.45"/>
    <x v="1089"/>
    <x v="1110"/>
    <x v="1107"/>
    <n v="14604944"/>
    <n v="2.2148652429357454E-2"/>
    <x v="6"/>
  </r>
  <r>
    <x v="1463"/>
    <n v="216.99"/>
    <x v="1090"/>
    <x v="1111"/>
    <x v="1108"/>
    <n v="25336556"/>
    <n v="-1.9524656721864882E-2"/>
    <x v="6"/>
  </r>
  <r>
    <x v="1464"/>
    <n v="221.13"/>
    <x v="1091"/>
    <x v="1112"/>
    <x v="1109"/>
    <n v="32813290"/>
    <n v="3.3964546596565847E-3"/>
    <x v="6"/>
  </r>
  <r>
    <x v="1465"/>
    <n v="215.67"/>
    <x v="1092"/>
    <x v="1113"/>
    <x v="1110"/>
    <n v="16006596"/>
    <n v="4.6925716405453052E-2"/>
    <x v="6"/>
  </r>
  <r>
    <x v="1466"/>
    <n v="216.6"/>
    <x v="1093"/>
    <x v="1114"/>
    <x v="1111"/>
    <n v="30394637"/>
    <n v="1.4571706971388041E-2"/>
    <x v="6"/>
  </r>
  <r>
    <x v="1467"/>
    <n v="223.92"/>
    <x v="1094"/>
    <x v="1115"/>
    <x v="1112"/>
    <n v="29656411"/>
    <n v="3.2697428733574931E-2"/>
    <x v="6"/>
  </r>
  <r>
    <x v="1468"/>
    <n v="233.33"/>
    <x v="1095"/>
    <x v="1116"/>
    <x v="1113"/>
    <n v="33615765"/>
    <n v="8.4545147108599226E-5"/>
    <x v="6"/>
  </r>
  <r>
    <x v="1469"/>
    <n v="239.67"/>
    <x v="1096"/>
    <x v="1117"/>
    <x v="1114"/>
    <n v="21620253"/>
    <n v="1.6484909967029603E-3"/>
    <x v="6"/>
  </r>
  <r>
    <x v="1470"/>
    <n v="237"/>
    <x v="1097"/>
    <x v="1118"/>
    <x v="1115"/>
    <n v="17002647"/>
    <n v="5.2327298814196276E-3"/>
    <x v="6"/>
  </r>
  <r>
    <x v="1471"/>
    <n v="238.67"/>
    <x v="1098"/>
    <x v="1119"/>
    <x v="1044"/>
    <n v="12919637"/>
    <n v="-2.1745518660005906E-2"/>
    <x v="6"/>
  </r>
  <r>
    <x v="1472"/>
    <n v="237.3"/>
    <x v="1099"/>
    <x v="1120"/>
    <x v="1116"/>
    <n v="15623049"/>
    <n v="2.098442260653129E-2"/>
    <x v="6"/>
  </r>
  <r>
    <x v="1473"/>
    <n v="236.72"/>
    <x v="1100"/>
    <x v="1121"/>
    <x v="1117"/>
    <n v="14715349"/>
    <n v="-5.2958977807666067E-3"/>
    <x v="6"/>
  </r>
  <r>
    <x v="1474"/>
    <n v="238"/>
    <x v="1101"/>
    <x v="1122"/>
    <x v="1118"/>
    <n v="13432305"/>
    <n v="-3.042339220823117E-3"/>
    <x v="6"/>
  </r>
  <r>
    <x v="1475"/>
    <n v="237.57"/>
    <x v="1102"/>
    <x v="1123"/>
    <x v="1119"/>
    <n v="9800558"/>
    <n v="2.0386538950580665E-2"/>
    <x v="6"/>
  </r>
  <r>
    <x v="1476"/>
    <n v="235.45"/>
    <x v="1103"/>
    <x v="1124"/>
    <x v="1120"/>
    <n v="17681686"/>
    <n v="-7.0197300103842066E-3"/>
    <x v="6"/>
  </r>
  <r>
    <x v="1477"/>
    <n v="241.24"/>
    <x v="1104"/>
    <x v="1125"/>
    <x v="1121"/>
    <n v="16731467"/>
    <n v="-4.3252739897933587E-2"/>
    <x v="6"/>
  </r>
  <r>
    <x v="1478"/>
    <n v="235.02"/>
    <x v="1105"/>
    <x v="1126"/>
    <x v="1122"/>
    <n v="23103303"/>
    <n v="-2.9818118223154919E-2"/>
    <x v="6"/>
  </r>
  <r>
    <x v="1479"/>
    <n v="224.22"/>
    <x v="1106"/>
    <x v="1127"/>
    <x v="1123"/>
    <n v="23721279"/>
    <n v="3.4970707525912532E-2"/>
    <x v="6"/>
  </r>
  <r>
    <x v="1480"/>
    <n v="223.25"/>
    <x v="1107"/>
    <x v="1128"/>
    <x v="1124"/>
    <n v="20349375"/>
    <n v="-2.2511538796481701E-2"/>
    <x v="6"/>
  </r>
  <r>
    <x v="1481"/>
    <n v="226.07"/>
    <x v="1108"/>
    <x v="1129"/>
    <x v="1125"/>
    <n v="14313486"/>
    <n v="1.0067263575214891E-2"/>
    <x v="6"/>
  </r>
  <r>
    <x v="1482"/>
    <n v="227.62"/>
    <x v="1109"/>
    <x v="1130"/>
    <x v="1126"/>
    <n v="14841865"/>
    <n v="3.8280044101433326E-2"/>
    <x v="6"/>
  </r>
  <r>
    <x v="1483"/>
    <n v="228.48"/>
    <x v="1110"/>
    <x v="1131"/>
    <x v="1127"/>
    <n v="20264859"/>
    <n v="3.1007093403559007E-3"/>
    <x v="6"/>
  </r>
  <r>
    <x v="1484"/>
    <n v="236.89"/>
    <x v="1111"/>
    <x v="1132"/>
    <x v="1128"/>
    <n v="13083071"/>
    <n v="3.8533197831978174E-3"/>
    <x v="6"/>
  </r>
  <r>
    <x v="1485"/>
    <n v="235.68"/>
    <x v="1112"/>
    <x v="1133"/>
    <x v="1129"/>
    <n v="12645562"/>
    <n v="-1.4130847429029376E-2"/>
    <x v="6"/>
  </r>
  <r>
    <x v="1486"/>
    <n v="236.1"/>
    <x v="1113"/>
    <x v="1120"/>
    <x v="1130"/>
    <n v="13214292"/>
    <n v="1.5360260140338882E-2"/>
    <x v="6"/>
  </r>
  <r>
    <x v="1487"/>
    <n v="235"/>
    <x v="1114"/>
    <x v="1134"/>
    <x v="1131"/>
    <n v="13833763"/>
    <n v="2.6673970755551741E-2"/>
    <x v="6"/>
  </r>
  <r>
    <x v="1488"/>
    <n v="238.24"/>
    <x v="1115"/>
    <x v="1135"/>
    <x v="1132"/>
    <n v="18604220"/>
    <n v="6.5670661631916875E-3"/>
    <x v="6"/>
  </r>
  <r>
    <x v="1489"/>
    <n v="244.33"/>
    <x v="1116"/>
    <x v="1136"/>
    <x v="1133"/>
    <n v="20855436"/>
    <n v="-2.2019246452455571E-3"/>
    <x v="6"/>
  </r>
  <r>
    <x v="1490"/>
    <n v="244.69"/>
    <x v="1117"/>
    <x v="1137"/>
    <x v="1134"/>
    <n v="13204335"/>
    <n v="-2.3293829178585748E-3"/>
    <x v="6"/>
  </r>
  <r>
    <x v="1491"/>
    <n v="244.83"/>
    <x v="1118"/>
    <x v="1138"/>
    <x v="1135"/>
    <n v="12796739"/>
    <n v="1.5975095236145283E-3"/>
    <x v="6"/>
  </r>
  <r>
    <x v="1492"/>
    <n v="244.08"/>
    <x v="1119"/>
    <x v="1139"/>
    <x v="1136"/>
    <n v="15271045"/>
    <n v="2.6378210371339719E-2"/>
    <x v="6"/>
  </r>
  <r>
    <x v="1493"/>
    <n v="246.67"/>
    <x v="1120"/>
    <x v="1140"/>
    <x v="1137"/>
    <n v="20039825"/>
    <n v="1.2750527951547721E-3"/>
    <x v="6"/>
  </r>
  <r>
    <x v="1494"/>
    <n v="253.86"/>
    <x v="1121"/>
    <x v="1141"/>
    <x v="1138"/>
    <n v="18793036"/>
    <n v="1.3132237653707371E-3"/>
    <x v="6"/>
  </r>
  <r>
    <x v="1495"/>
    <n v="251.14"/>
    <x v="1122"/>
    <x v="1142"/>
    <x v="1139"/>
    <n v="14077731"/>
    <n v="-2.46403306573405E-2"/>
    <x v="6"/>
  </r>
  <r>
    <x v="1496"/>
    <n v="253.2"/>
    <x v="1123"/>
    <x v="1143"/>
    <x v="1140"/>
    <n v="15184170"/>
    <n v="9.1679569717219474E-3"/>
    <x v="6"/>
  </r>
  <r>
    <x v="1497"/>
    <n v="246.74"/>
    <x v="1124"/>
    <x v="1144"/>
    <x v="1141"/>
    <n v="22952482"/>
    <n v="1.9784390519643441E-3"/>
    <x v="6"/>
  </r>
  <r>
    <x v="1498"/>
    <n v="247.52"/>
    <x v="1125"/>
    <x v="1145"/>
    <x v="1142"/>
    <n v="18524881"/>
    <n v="1.5232108317214705E-2"/>
    <x v="6"/>
  </r>
  <r>
    <x v="1499"/>
    <n v="248.33"/>
    <x v="1126"/>
    <x v="1146"/>
    <x v="1143"/>
    <n v="15357685"/>
    <n v="1.5479876160991298E-3"/>
    <x v="6"/>
  </r>
  <r>
    <x v="1500"/>
    <n v="250.94"/>
    <x v="1127"/>
    <x v="1147"/>
    <x v="1144"/>
    <n v="13923393"/>
    <n v="3.289343320255158E-3"/>
    <x v="6"/>
  </r>
  <r>
    <x v="1501"/>
    <n v="252.38"/>
    <x v="1128"/>
    <x v="1148"/>
    <x v="1145"/>
    <n v="28204176"/>
    <n v="-3.8592194659503913E-2"/>
    <x v="6"/>
  </r>
  <r>
    <x v="1502"/>
    <n v="244.85"/>
    <x v="1117"/>
    <x v="1149"/>
    <x v="1146"/>
    <n v="24757652"/>
    <n v="1.2613500965528665E-2"/>
    <x v="6"/>
  </r>
  <r>
    <x v="1503"/>
    <n v="244.93"/>
    <x v="1129"/>
    <x v="1150"/>
    <x v="1147"/>
    <n v="16330723"/>
    <n v="1.7000730341637578E-2"/>
    <x v="6"/>
  </r>
  <r>
    <x v="1504"/>
    <n v="247.84"/>
    <x v="1130"/>
    <x v="1151"/>
    <x v="1148"/>
    <n v="15126272"/>
    <n v="2.2341911031318663E-3"/>
    <x v="6"/>
  </r>
  <r>
    <x v="1505"/>
    <n v="251.67"/>
    <x v="1131"/>
    <x v="1152"/>
    <x v="1149"/>
    <n v="11947527"/>
    <n v="2.7546674097368686E-2"/>
    <x v="6"/>
  </r>
  <r>
    <x v="1506"/>
    <n v="248.63"/>
    <x v="1132"/>
    <x v="1153"/>
    <x v="1150"/>
    <n v="21373022"/>
    <n v="2.1926936039979951E-2"/>
    <x v="6"/>
  </r>
  <r>
    <x v="1507"/>
    <n v="257.70999999999998"/>
    <x v="1133"/>
    <x v="1154"/>
    <x v="1151"/>
    <n v="28070657"/>
    <n v="-1.7438113651010358E-2"/>
    <x v="6"/>
  </r>
  <r>
    <x v="1508"/>
    <n v="262.39999999999998"/>
    <x v="1134"/>
    <x v="1155"/>
    <x v="1152"/>
    <n v="25381422"/>
    <n v="4.8227169258073226E-3"/>
    <x v="6"/>
  </r>
  <r>
    <x v="1509"/>
    <n v="259.93"/>
    <x v="1135"/>
    <x v="1156"/>
    <x v="1153"/>
    <n v="20942877"/>
    <n v="-7.487329135309433E-3"/>
    <x v="6"/>
  </r>
  <r>
    <x v="1510"/>
    <n v="260.33"/>
    <x v="1136"/>
    <x v="1157"/>
    <x v="1154"/>
    <n v="17955961"/>
    <n v="-3.0948972880956357E-4"/>
    <x v="6"/>
  </r>
  <r>
    <x v="1511"/>
    <n v="259.47000000000003"/>
    <x v="1019"/>
    <x v="1158"/>
    <x v="1155"/>
    <n v="17031414"/>
    <n v="8.1266204868231332E-3"/>
    <x v="6"/>
  </r>
  <r>
    <x v="1512"/>
    <n v="265.5"/>
    <x v="1137"/>
    <x v="1159"/>
    <x v="1156"/>
    <n v="30483341"/>
    <n v="-1.189973513492773E-3"/>
    <x v="6"/>
  </r>
  <r>
    <x v="1513"/>
    <n v="261.60000000000002"/>
    <x v="1138"/>
    <x v="1160"/>
    <x v="1157"/>
    <n v="18432625"/>
    <n v="2.7671022290546785E-3"/>
    <x v="6"/>
  </r>
  <r>
    <x v="1514"/>
    <n v="258.73"/>
    <x v="1139"/>
    <x v="1161"/>
    <x v="1158"/>
    <n v="14632768"/>
    <n v="1.3873984363023166E-2"/>
    <x v="6"/>
  </r>
  <r>
    <x v="1515"/>
    <n v="261.82"/>
    <x v="1140"/>
    <x v="1162"/>
    <x v="1159"/>
    <n v="19195782"/>
    <n v="-1.0244197474862162E-2"/>
    <x v="6"/>
  </r>
  <r>
    <x v="1516"/>
    <n v="265.39999999999998"/>
    <x v="1141"/>
    <x v="1163"/>
    <x v="1160"/>
    <n v="16738604"/>
    <n v="8.2114349005080935E-3"/>
    <x v="6"/>
  </r>
  <r>
    <x v="1517"/>
    <n v="262.55"/>
    <x v="1142"/>
    <x v="1164"/>
    <x v="1161"/>
    <n v="14200322"/>
    <n v="1.7387680884915428E-2"/>
    <x v="6"/>
  </r>
  <r>
    <x v="1518"/>
    <n v="266.98"/>
    <x v="1143"/>
    <x v="1165"/>
    <x v="1162"/>
    <n v="22020040"/>
    <n v="6.6649290687717183E-3"/>
    <x v="6"/>
  </r>
  <r>
    <x v="1519"/>
    <n v="270.16000000000003"/>
    <x v="1144"/>
    <x v="1166"/>
    <x v="1163"/>
    <n v="14120075"/>
    <n v="8.9140405385410865E-3"/>
    <x v="6"/>
  </r>
  <r>
    <x v="1520"/>
    <n v="271.83"/>
    <x v="1145"/>
    <x v="1167"/>
    <x v="1164"/>
    <n v="12247170"/>
    <n v="3.0208600652564466E-2"/>
    <x v="6"/>
  </r>
  <r>
    <x v="1521"/>
    <n v="274.58"/>
    <x v="1146"/>
    <x v="1168"/>
    <x v="1165"/>
    <n v="18924567"/>
    <n v="3.2134087754884272E-2"/>
    <x v="6"/>
  </r>
  <r>
    <x v="1522"/>
    <n v="283.93"/>
    <x v="1147"/>
    <x v="1169"/>
    <x v="1166"/>
    <n v="24207244"/>
    <n v="-6.7232105916426883E-3"/>
    <x v="6"/>
  </r>
  <r>
    <x v="1523"/>
    <n v="292.51"/>
    <x v="1148"/>
    <x v="1170"/>
    <x v="1167"/>
    <n v="17381128"/>
    <n v="1.7702801207957505E-3"/>
    <x v="6"/>
  </r>
  <r>
    <x v="1524"/>
    <n v="288.45"/>
    <x v="1149"/>
    <x v="1171"/>
    <x v="1168"/>
    <n v="14032052"/>
    <n v="3.2571032571032492E-2"/>
    <x v="6"/>
  </r>
  <r>
    <x v="1525"/>
    <n v="285.33"/>
    <x v="1150"/>
    <x v="1172"/>
    <x v="1169"/>
    <n v="31481454"/>
    <n v="1.7550335570469859E-2"/>
    <x v="6"/>
  </r>
  <r>
    <x v="1526"/>
    <n v="298.5"/>
    <x v="1151"/>
    <x v="1173"/>
    <x v="1170"/>
    <n v="22880835"/>
    <n v="0.12660356824852417"/>
    <x v="6"/>
  </r>
  <r>
    <x v="1527"/>
    <n v="316.83999999999997"/>
    <x v="1152"/>
    <x v="1174"/>
    <x v="1171"/>
    <n v="62852099"/>
    <n v="-6.2642702417890824E-3"/>
    <x v="6"/>
  </r>
  <r>
    <x v="1528"/>
    <n v="341.56"/>
    <x v="1153"/>
    <x v="1175"/>
    <x v="1172"/>
    <n v="62414968"/>
    <n v="1.9058560150818811E-2"/>
    <x v="6"/>
  </r>
  <r>
    <x v="1529"/>
    <n v="346.55"/>
    <x v="1154"/>
    <x v="1176"/>
    <x v="1173"/>
    <n v="38526459"/>
    <n v="3.7751120104061286E-2"/>
    <x v="6"/>
  </r>
  <r>
    <x v="1530"/>
    <n v="356.1"/>
    <x v="1155"/>
    <x v="1177"/>
    <x v="1174"/>
    <n v="27213173"/>
    <n v="3.431659285256676E-2"/>
    <x v="6"/>
  </r>
  <r>
    <x v="1531"/>
    <n v="360.62"/>
    <x v="1156"/>
    <x v="1178"/>
    <x v="1175"/>
    <n v="29918417"/>
    <n v="8.4910995610373602E-2"/>
    <x v="6"/>
  </r>
  <r>
    <x v="1532"/>
    <n v="381.67"/>
    <x v="1157"/>
    <x v="1179"/>
    <x v="1176"/>
    <n v="56048716"/>
    <n v="-3.025865064786774E-2"/>
    <x v="6"/>
  </r>
  <r>
    <x v="1533"/>
    <n v="386.45"/>
    <x v="1158"/>
    <x v="1180"/>
    <x v="1177"/>
    <n v="42737797"/>
    <n v="3.5707886451480757E-2"/>
    <x v="6"/>
  </r>
  <r>
    <x v="1534"/>
    <n v="392.44"/>
    <x v="1159"/>
    <x v="1181"/>
    <x v="1178"/>
    <n v="34628519"/>
    <n v="1.3222282635559347E-2"/>
    <x v="6"/>
  </r>
  <r>
    <x v="1535"/>
    <n v="411.47"/>
    <x v="1160"/>
    <x v="1182"/>
    <x v="1179"/>
    <n v="25397410"/>
    <n v="-6.3663194867917489E-3"/>
    <x v="6"/>
  </r>
  <r>
    <x v="1536"/>
    <n v="409.33"/>
    <x v="1161"/>
    <x v="1183"/>
    <x v="1180"/>
    <n v="21628812"/>
    <n v="-4.8384721131186262E-2"/>
    <x v="6"/>
  </r>
  <r>
    <x v="1537"/>
    <n v="383.26"/>
    <x v="1162"/>
    <x v="1184"/>
    <x v="1181"/>
    <n v="33445715"/>
    <n v="-0.11990197342964004"/>
    <x v="6"/>
  </r>
  <r>
    <x v="1538"/>
    <n v="391.2"/>
    <x v="1163"/>
    <x v="1185"/>
    <x v="1182"/>
    <n v="59105836"/>
    <n v="4.3409443972213274E-2"/>
    <x v="6"/>
  </r>
  <r>
    <x v="1539"/>
    <n v="336.8"/>
    <x v="1164"/>
    <x v="1186"/>
    <x v="1183"/>
    <n v="42802722"/>
    <n v="-4.1575369402775944E-3"/>
    <x v="6"/>
  </r>
  <r>
    <x v="1540"/>
    <n v="367.59"/>
    <x v="1165"/>
    <x v="1187"/>
    <x v="1184"/>
    <n v="22396568"/>
    <n v="-2.829337094499287E-2"/>
    <x v="6"/>
  </r>
  <r>
    <x v="1541"/>
    <n v="349.17"/>
    <x v="1166"/>
    <x v="1188"/>
    <x v="1185"/>
    <n v="25573148"/>
    <n v="-1.9363079513455499E-2"/>
    <x v="6"/>
  </r>
  <r>
    <x v="1542"/>
    <n v="339.21"/>
    <x v="1167"/>
    <x v="1189"/>
    <x v="1186"/>
    <n v="34775649"/>
    <n v="4.079336885731194E-2"/>
    <x v="6"/>
  </r>
  <r>
    <x v="1543"/>
    <n v="334.44"/>
    <x v="1168"/>
    <x v="1190"/>
    <x v="1187"/>
    <n v="26542359"/>
    <n v="3.2481938676830358E-2"/>
    <x v="6"/>
  </r>
  <r>
    <x v="1544"/>
    <n v="354.5"/>
    <x v="1169"/>
    <x v="1191"/>
    <x v="1188"/>
    <n v="31445365"/>
    <n v="6.7768595041321749E-3"/>
    <x v="6"/>
  </r>
  <r>
    <x v="1545"/>
    <n v="368.85"/>
    <x v="1170"/>
    <x v="1192"/>
    <x v="1189"/>
    <n v="20898930"/>
    <n v="3.7103923822032515E-2"/>
    <x v="6"/>
  </r>
  <r>
    <x v="1546"/>
    <n v="366.29"/>
    <x v="1171"/>
    <x v="1193"/>
    <x v="1190"/>
    <n v="21642258"/>
    <n v="1.7413329111920277E-2"/>
    <x v="6"/>
  </r>
  <r>
    <x v="1547"/>
    <n v="387.44"/>
    <x v="1172"/>
    <x v="1194"/>
    <x v="1191"/>
    <n v="33072509"/>
    <n v="-4.1336030288885425E-2"/>
    <x v="6"/>
  </r>
  <r>
    <x v="1548"/>
    <n v="389.17"/>
    <x v="1173"/>
    <x v="1195"/>
    <x v="1192"/>
    <n v="36171700"/>
    <n v="6.2756979008872357E-3"/>
    <x v="6"/>
  </r>
  <r>
    <x v="1549"/>
    <n v="360.13"/>
    <x v="1174"/>
    <x v="1196"/>
    <x v="1193"/>
    <n v="22560238"/>
    <n v="-3.0537634408602188E-2"/>
    <x v="6"/>
  </r>
  <r>
    <x v="1550"/>
    <n v="366.49"/>
    <x v="1175"/>
    <x v="1197"/>
    <x v="1194"/>
    <n v="11680890"/>
    <n v="5.0909494232475636E-2"/>
    <x v="6"/>
  </r>
  <r>
    <x v="1551"/>
    <n v="367"/>
    <x v="1176"/>
    <x v="1198"/>
    <x v="1195"/>
    <n v="19464467"/>
    <n v="6.8337730870711745E-3"/>
    <x v="6"/>
  </r>
  <r>
    <x v="1552"/>
    <n v="381.46"/>
    <x v="1177"/>
    <x v="1199"/>
    <x v="1196"/>
    <n v="27092038"/>
    <n v="-4.3475982075001904E-2"/>
    <x v="6"/>
  </r>
  <r>
    <x v="1553"/>
    <n v="386.9"/>
    <x v="1178"/>
    <x v="1200"/>
    <x v="1197"/>
    <n v="22934698"/>
    <n v="-9.506849315068568E-3"/>
    <x v="6"/>
  </r>
  <r>
    <x v="1554"/>
    <n v="366.35"/>
    <x v="1179"/>
    <x v="1201"/>
    <x v="1198"/>
    <n v="24371623"/>
    <n v="-6.4199374878986484E-2"/>
    <x v="6"/>
  </r>
  <r>
    <x v="1555"/>
    <n v="361.6"/>
    <x v="1180"/>
    <x v="1202"/>
    <x v="1199"/>
    <n v="30773995"/>
    <n v="-5.8524473870892003E-3"/>
    <x v="6"/>
  </r>
  <r>
    <x v="1556"/>
    <n v="333.84"/>
    <x v="1181"/>
    <x v="1203"/>
    <x v="1200"/>
    <n v="27221037"/>
    <n v="4.2338110245584856E-2"/>
    <x v="6"/>
  </r>
  <r>
    <x v="1557"/>
    <n v="348.07"/>
    <x v="1182"/>
    <x v="1204"/>
    <x v="1201"/>
    <n v="18694857"/>
    <n v="1.6372867819042757E-2"/>
    <x v="6"/>
  </r>
  <r>
    <x v="1558"/>
    <n v="350.9"/>
    <x v="1183"/>
    <x v="1205"/>
    <x v="1202"/>
    <n v="13968790"/>
    <n v="-6.0956443646160673E-2"/>
    <x v="6"/>
  </r>
  <r>
    <x v="1559"/>
    <n v="353.55"/>
    <x v="1184"/>
    <x v="1206"/>
    <x v="1203"/>
    <n v="19812832"/>
    <n v="1.3179916317991536E-2"/>
    <x v="6"/>
  </r>
  <r>
    <x v="1560"/>
    <n v="336.25"/>
    <x v="1185"/>
    <x v="1207"/>
    <x v="1204"/>
    <n v="19888122"/>
    <n v="-4.9762543877761731E-2"/>
    <x v="6"/>
  </r>
  <r>
    <x v="1561"/>
    <n v="333.7"/>
    <x v="1186"/>
    <x v="1208"/>
    <x v="1205"/>
    <n v="26198502"/>
    <n v="-8.1951946358725606E-3"/>
    <x v="6"/>
  </r>
  <r>
    <x v="1562"/>
    <n v="315"/>
    <x v="1187"/>
    <x v="1209"/>
    <x v="1206"/>
    <n v="23602090"/>
    <n v="1.8247261345852844E-2"/>
    <x v="6"/>
  </r>
  <r>
    <x v="1563"/>
    <n v="317.74"/>
    <x v="1188"/>
    <x v="1210"/>
    <x v="1207"/>
    <n v="25056410"/>
    <n v="-5.0287400485660584E-2"/>
    <x v="6"/>
  </r>
  <r>
    <x v="1564"/>
    <n v="331.5"/>
    <x v="1189"/>
    <x v="1211"/>
    <x v="1208"/>
    <n v="27590483"/>
    <n v="6.117098747451164E-3"/>
    <x v="6"/>
  </r>
  <r>
    <x v="1565"/>
    <n v="304.92"/>
    <x v="1190"/>
    <x v="1212"/>
    <x v="1209"/>
    <n v="33626754"/>
    <n v="-3.4999678311780205E-2"/>
    <x v="6"/>
  </r>
  <r>
    <x v="1566"/>
    <n v="303.57"/>
    <x v="1191"/>
    <x v="1213"/>
    <x v="1210"/>
    <n v="18826671"/>
    <n v="4.2869524634975516E-2"/>
    <x v="6"/>
  </r>
  <r>
    <x v="1567"/>
    <n v="305.62"/>
    <x v="1192"/>
    <x v="1214"/>
    <x v="1211"/>
    <n v="23839305"/>
    <n v="7.4958445211609923E-2"/>
    <x v="6"/>
  </r>
  <r>
    <x v="1568"/>
    <n v="321.89"/>
    <x v="1193"/>
    <x v="1215"/>
    <x v="1212"/>
    <n v="31211362"/>
    <n v="5.7628832257872652E-2"/>
    <x v="6"/>
  </r>
  <r>
    <x v="1569"/>
    <n v="335.6"/>
    <x v="1194"/>
    <x v="1216"/>
    <x v="1213"/>
    <n v="30904429"/>
    <n v="2.5248123260325474E-2"/>
    <x v="6"/>
  </r>
  <r>
    <x v="1570"/>
    <n v="357.89"/>
    <x v="1195"/>
    <x v="1217"/>
    <x v="1214"/>
    <n v="23715273"/>
    <n v="-5.0185109008637988E-3"/>
    <x v="6"/>
  </r>
  <r>
    <x v="1571"/>
    <n v="369.83"/>
    <x v="1196"/>
    <x v="1218"/>
    <x v="1215"/>
    <n v="20107969"/>
    <n v="-2.0947026073534834E-3"/>
    <x v="6"/>
  </r>
  <r>
    <x v="1572"/>
    <n v="366.21"/>
    <x v="1197"/>
    <x v="1219"/>
    <x v="1216"/>
    <n v="18718015"/>
    <n v="-1.458321825111868E-2"/>
    <x v="6"/>
  </r>
  <r>
    <x v="1573"/>
    <n v="353.78"/>
    <x v="1198"/>
    <x v="1220"/>
    <x v="1217"/>
    <n v="15680313"/>
    <n v="-1.2668871573518646E-2"/>
    <x v="6"/>
  </r>
  <r>
    <x v="1574"/>
    <n v="357.81"/>
    <x v="1199"/>
    <x v="1221"/>
    <x v="1218"/>
    <n v="13577875"/>
    <n v="0.13532617952648618"/>
    <x v="6"/>
  </r>
  <r>
    <x v="1575"/>
    <n v="382.58"/>
    <x v="1200"/>
    <x v="1222"/>
    <x v="1219"/>
    <n v="34895349"/>
    <n v="-4.1832320656114863E-2"/>
    <x v="7"/>
  </r>
  <r>
    <x v="1576"/>
    <n v="396.52"/>
    <x v="1201"/>
    <x v="1223"/>
    <x v="1220"/>
    <n v="33416086"/>
    <n v="-5.347077244258875E-2"/>
    <x v="7"/>
  </r>
  <r>
    <x v="1577"/>
    <n v="382.22"/>
    <x v="1202"/>
    <x v="1224"/>
    <x v="1221"/>
    <n v="26706599"/>
    <n v="-2.153235367097682E-2"/>
    <x v="7"/>
  </r>
  <r>
    <x v="1578"/>
    <n v="359"/>
    <x v="1203"/>
    <x v="1225"/>
    <x v="1222"/>
    <n v="30112158"/>
    <n v="-3.5446604677373865E-2"/>
    <x v="7"/>
  </r>
  <r>
    <x v="1579"/>
    <n v="360.12"/>
    <x v="1204"/>
    <x v="1226"/>
    <x v="1223"/>
    <n v="28054916"/>
    <n v="3.035171769104927E-2"/>
    <x v="7"/>
  </r>
  <r>
    <x v="1580"/>
    <n v="333.33"/>
    <x v="1205"/>
    <x v="1227"/>
    <x v="1224"/>
    <n v="30604959"/>
    <n v="5.9255479005416115E-3"/>
    <x v="7"/>
  </r>
  <r>
    <x v="1581"/>
    <n v="351.22"/>
    <x v="1206"/>
    <x v="1228"/>
    <x v="1225"/>
    <n v="22021070"/>
    <n v="3.9289740698985338E-2"/>
    <x v="7"/>
  </r>
  <r>
    <x v="1582"/>
    <n v="359.62"/>
    <x v="1207"/>
    <x v="1229"/>
    <x v="1226"/>
    <n v="27913005"/>
    <n v="-6.7500135596897506E-2"/>
    <x v="7"/>
  </r>
  <r>
    <x v="1583"/>
    <n v="369.69"/>
    <x v="1208"/>
    <x v="1230"/>
    <x v="1227"/>
    <n v="32403264"/>
    <n v="1.750763414279477E-2"/>
    <x v="7"/>
  </r>
  <r>
    <x v="1584"/>
    <n v="339.96"/>
    <x v="1209"/>
    <x v="1231"/>
    <x v="1228"/>
    <n v="24308137"/>
    <n v="-1.8206762511790105E-2"/>
    <x v="7"/>
  </r>
  <r>
    <x v="1585"/>
    <n v="342.2"/>
    <x v="1210"/>
    <x v="1232"/>
    <x v="1229"/>
    <n v="22329803"/>
    <n v="-3.3828238719068426E-2"/>
    <x v="7"/>
  </r>
  <r>
    <x v="1586"/>
    <n v="347.24"/>
    <x v="1211"/>
    <x v="1233"/>
    <x v="1230"/>
    <n v="25147496"/>
    <n v="6.327588284921645E-4"/>
    <x v="7"/>
  </r>
  <r>
    <x v="1587"/>
    <n v="336.58"/>
    <x v="1212"/>
    <x v="1234"/>
    <x v="1231"/>
    <n v="23496248"/>
    <n v="-5.2576108886145265E-2"/>
    <x v="7"/>
  </r>
  <r>
    <x v="1588"/>
    <n v="332.11"/>
    <x v="1213"/>
    <x v="1235"/>
    <x v="1232"/>
    <n v="34472009"/>
    <n v="-1.4715697803769493E-2"/>
    <x v="7"/>
  </r>
  <r>
    <x v="1589"/>
    <n v="301.58999999999997"/>
    <x v="1214"/>
    <x v="1169"/>
    <x v="1233"/>
    <n v="50791714"/>
    <n v="-1.248387096774195E-2"/>
    <x v="7"/>
  </r>
  <r>
    <x v="1590"/>
    <n v="304.73"/>
    <x v="1215"/>
    <x v="1236"/>
    <x v="1234"/>
    <n v="28865302"/>
    <n v="2.071015581615664E-2"/>
    <x v="7"/>
  </r>
  <r>
    <x v="1591"/>
    <n v="317.48"/>
    <x v="1216"/>
    <x v="1237"/>
    <x v="1235"/>
    <n v="34955761"/>
    <n v="-0.1155310909847346"/>
    <x v="7"/>
  </r>
  <r>
    <x v="1592"/>
    <n v="311.12"/>
    <x v="1217"/>
    <x v="1238"/>
    <x v="1236"/>
    <n v="49036523"/>
    <n v="2.080544197995441E-2"/>
    <x v="7"/>
  </r>
  <r>
    <x v="1593"/>
    <n v="277.19"/>
    <x v="1218"/>
    <x v="1239"/>
    <x v="1237"/>
    <n v="44929650"/>
    <n v="0.10676307954062103"/>
    <x v="7"/>
  </r>
  <r>
    <x v="1594"/>
    <n v="290.89999999999998"/>
    <x v="1219"/>
    <x v="1240"/>
    <x v="1238"/>
    <n v="34812032"/>
    <n v="-5.8288496028695656E-3"/>
    <x v="7"/>
  </r>
  <r>
    <x v="1595"/>
    <n v="311.74"/>
    <x v="1220"/>
    <x v="1241"/>
    <x v="1239"/>
    <n v="24379446"/>
    <n v="-2.7478899555441111E-2"/>
    <x v="7"/>
  </r>
  <r>
    <x v="1596"/>
    <n v="309.39"/>
    <x v="1221"/>
    <x v="1242"/>
    <x v="1240"/>
    <n v="22264345"/>
    <n v="-1.6032329656497316E-2"/>
    <x v="7"/>
  </r>
  <r>
    <x v="1597"/>
    <n v="294"/>
    <x v="1222"/>
    <x v="1243"/>
    <x v="1241"/>
    <n v="26285186"/>
    <n v="3.6088200639622856E-2"/>
    <x v="7"/>
  </r>
  <r>
    <x v="1598"/>
    <n v="299.07"/>
    <x v="1223"/>
    <x v="1244"/>
    <x v="1242"/>
    <n v="24541822"/>
    <n v="-1.728563537706727E-2"/>
    <x v="7"/>
  </r>
  <r>
    <x v="1599"/>
    <n v="307.93"/>
    <x v="1224"/>
    <x v="1245"/>
    <x v="1243"/>
    <n v="20331488"/>
    <n v="1.6134898330302516E-2"/>
    <x v="7"/>
  </r>
  <r>
    <x v="1600"/>
    <n v="301.83999999999997"/>
    <x v="1225"/>
    <x v="1246"/>
    <x v="1244"/>
    <n v="16909671"/>
    <n v="1.0867796830768333E-2"/>
    <x v="7"/>
  </r>
  <r>
    <x v="1601"/>
    <n v="311.67"/>
    <x v="1226"/>
    <x v="1247"/>
    <x v="1245"/>
    <n v="17419848"/>
    <n v="-2.9452473685904767E-2"/>
    <x v="7"/>
  </r>
  <r>
    <x v="1602"/>
    <n v="302.79000000000002"/>
    <x v="1227"/>
    <x v="1248"/>
    <x v="1246"/>
    <n v="22042277"/>
    <n v="-4.9250464314141575E-2"/>
    <x v="7"/>
  </r>
  <r>
    <x v="1603"/>
    <n v="303.20999999999998"/>
    <x v="1228"/>
    <x v="1249"/>
    <x v="1247"/>
    <n v="26548623"/>
    <n v="1.8313740537900722E-2"/>
    <x v="7"/>
  </r>
  <r>
    <x v="1604"/>
    <n v="287.19"/>
    <x v="1229"/>
    <x v="1250"/>
    <x v="1248"/>
    <n v="22585472"/>
    <n v="5.3302274595779672E-2"/>
    <x v="7"/>
  </r>
  <r>
    <x v="1605"/>
    <n v="300"/>
    <x v="1230"/>
    <x v="1251"/>
    <x v="1249"/>
    <n v="19216514"/>
    <n v="1.0407180954858631E-3"/>
    <x v="7"/>
  </r>
  <r>
    <x v="1606"/>
    <n v="304.68"/>
    <x v="1231"/>
    <x v="1252"/>
    <x v="1250"/>
    <n v="17098132"/>
    <n v="-5.0942170240415877E-2"/>
    <x v="7"/>
  </r>
  <r>
    <x v="1607"/>
    <n v="304.42"/>
    <x v="1232"/>
    <x v="1253"/>
    <x v="1251"/>
    <n v="18392806"/>
    <n v="-2.2114199643981855E-2"/>
    <x v="7"/>
  </r>
  <r>
    <x v="1608"/>
    <n v="295.33"/>
    <x v="1233"/>
    <x v="1254"/>
    <x v="1252"/>
    <n v="22833947"/>
    <n v="-4.1377861793740985E-2"/>
    <x v="7"/>
  </r>
  <r>
    <x v="1609"/>
    <n v="278.04000000000002"/>
    <x v="1234"/>
    <x v="1255"/>
    <x v="1253"/>
    <n v="27762734"/>
    <n v="-6.9967864446391942E-2"/>
    <x v="7"/>
  </r>
  <r>
    <x v="1610"/>
    <n v="276.81"/>
    <x v="1235"/>
    <x v="1256"/>
    <x v="1254"/>
    <n v="31752336"/>
    <n v="4.8060310978482838E-2"/>
    <x v="7"/>
  </r>
  <r>
    <x v="1611"/>
    <n v="233.46"/>
    <x v="1236"/>
    <x v="1257"/>
    <x v="1255"/>
    <n v="45107425"/>
    <n v="1.1389180278735065E-2"/>
    <x v="7"/>
  </r>
  <r>
    <x v="1612"/>
    <n v="269.74"/>
    <x v="1237"/>
    <x v="1258"/>
    <x v="1256"/>
    <n v="25355921"/>
    <n v="7.475181508371613E-2"/>
    <x v="7"/>
  </r>
  <r>
    <x v="1613"/>
    <n v="271.67"/>
    <x v="1238"/>
    <x v="1259"/>
    <x v="1257"/>
    <n v="33002289"/>
    <n v="-6.9621562004548903E-3"/>
    <x v="7"/>
  </r>
  <r>
    <x v="1614"/>
    <n v="289.89"/>
    <x v="1239"/>
    <x v="1260"/>
    <x v="1258"/>
    <n v="24922287"/>
    <n v="1.797862001943637E-2"/>
    <x v="7"/>
  </r>
  <r>
    <x v="1615"/>
    <n v="290.70999999999998"/>
    <x v="1240"/>
    <x v="1261"/>
    <x v="1259"/>
    <n v="24881146"/>
    <n v="-4.6164336856461027E-2"/>
    <x v="7"/>
  </r>
  <r>
    <x v="1616"/>
    <n v="292.92"/>
    <x v="1241"/>
    <x v="1262"/>
    <x v="1260"/>
    <n v="20541169"/>
    <n v="-1.1795824992850447E-3"/>
    <x v="7"/>
  </r>
  <r>
    <x v="1617"/>
    <n v="283.02999999999997"/>
    <x v="1242"/>
    <x v="1263"/>
    <x v="1261"/>
    <n v="22393287"/>
    <n v="-4.0224743227284143E-2"/>
    <x v="7"/>
  </r>
  <r>
    <x v="1618"/>
    <n v="285.43"/>
    <x v="1243"/>
    <x v="1264"/>
    <x v="1262"/>
    <n v="24164724"/>
    <n v="2.4646705693724649E-2"/>
    <x v="7"/>
  </r>
  <r>
    <x v="1619"/>
    <n v="265.18"/>
    <x v="961"/>
    <x v="1265"/>
    <x v="1263"/>
    <n v="26799702"/>
    <n v="4.1921397379912594E-2"/>
    <x v="7"/>
  </r>
  <r>
    <x v="1620"/>
    <n v="279.83"/>
    <x v="1244"/>
    <x v="1266"/>
    <x v="1264"/>
    <n v="19727993"/>
    <n v="-2.4063984353171228E-2"/>
    <x v="7"/>
  </r>
  <r>
    <x v="1621"/>
    <n v="283.82"/>
    <x v="1245"/>
    <x v="1267"/>
    <x v="1261"/>
    <n v="19549548"/>
    <n v="-5.1211394624771867E-2"/>
    <x v="7"/>
  </r>
  <r>
    <x v="1622"/>
    <n v="280.07"/>
    <x v="1246"/>
    <x v="1268"/>
    <x v="1265"/>
    <n v="22345722"/>
    <n v="-3.6436330718165343E-2"/>
    <x v="7"/>
  </r>
  <r>
    <x v="1623"/>
    <n v="260.2"/>
    <x v="1247"/>
    <x v="1269"/>
    <x v="1266"/>
    <n v="23717421"/>
    <n v="4.6347764816409627E-2"/>
    <x v="7"/>
  </r>
  <r>
    <x v="1624"/>
    <n v="258.42"/>
    <x v="1248"/>
    <x v="1270"/>
    <x v="1267"/>
    <n v="22280381"/>
    <n v="4.7811447811447708E-2"/>
    <x v="7"/>
  </r>
  <r>
    <x v="1625"/>
    <n v="269.67"/>
    <x v="969"/>
    <x v="1271"/>
    <x v="1268"/>
    <n v="28009607"/>
    <n v="3.731076835189942E-2"/>
    <x v="7"/>
  </r>
  <r>
    <x v="1626"/>
    <n v="277"/>
    <x v="1249"/>
    <x v="1272"/>
    <x v="1269"/>
    <n v="22194324"/>
    <n v="3.8791174749595703E-2"/>
    <x v="7"/>
  </r>
  <r>
    <x v="1627"/>
    <n v="291.5"/>
    <x v="1250"/>
    <x v="1273"/>
    <x v="1270"/>
    <n v="33471397"/>
    <n v="1.7395626242544732E-2"/>
    <x v="7"/>
  </r>
  <r>
    <x v="1628"/>
    <n v="304.99"/>
    <x v="1251"/>
    <x v="1274"/>
    <x v="1271"/>
    <n v="27327216"/>
    <n v="7.9075069206969453E-2"/>
    <x v="7"/>
  </r>
  <r>
    <x v="1629"/>
    <n v="310"/>
    <x v="1252"/>
    <x v="1275"/>
    <x v="1272"/>
    <n v="35289519"/>
    <n v="5.1610177164761305E-3"/>
    <x v="7"/>
  </r>
  <r>
    <x v="1630"/>
    <n v="326.64999999999998"/>
    <x v="1253"/>
    <x v="1276"/>
    <x v="1273"/>
    <n v="40225383"/>
    <n v="1.4803026663463868E-2"/>
    <x v="7"/>
  </r>
  <r>
    <x v="1631"/>
    <n v="336.58"/>
    <x v="1254"/>
    <x v="1277"/>
    <x v="1274"/>
    <n v="22973626"/>
    <n v="-3.2251383258870068E-3"/>
    <x v="7"/>
  </r>
  <r>
    <x v="1632"/>
    <n v="336"/>
    <x v="1255"/>
    <x v="1278"/>
    <x v="1275"/>
    <n v="20677182"/>
    <n v="8.0355022559961992E-2"/>
    <x v="7"/>
  </r>
  <r>
    <x v="1633"/>
    <n v="355.03"/>
    <x v="1256"/>
    <x v="1279"/>
    <x v="1276"/>
    <n v="34168693"/>
    <n v="7.0614095342766674E-3"/>
    <x v="7"/>
  </r>
  <r>
    <x v="1634"/>
    <n v="369.33"/>
    <x v="1257"/>
    <x v="1280"/>
    <x v="1277"/>
    <n v="24538273"/>
    <n v="-5.0747571755973943E-3"/>
    <x v="7"/>
  </r>
  <r>
    <x v="1635"/>
    <n v="363.72"/>
    <x v="1258"/>
    <x v="1281"/>
    <x v="1278"/>
    <n v="19955002"/>
    <n v="-1.4972851423243668E-2"/>
    <x v="7"/>
  </r>
  <r>
    <x v="1636"/>
    <n v="364.86"/>
    <x v="1259"/>
    <x v="1282"/>
    <x v="1279"/>
    <n v="16330919"/>
    <n v="6.4866369710467262E-3"/>
    <x v="7"/>
  </r>
  <r>
    <x v="1637"/>
    <n v="360.38"/>
    <x v="1260"/>
    <x v="1283"/>
    <x v="1198"/>
    <n v="18087741"/>
    <n v="5.6122590103172686E-2"/>
    <x v="7"/>
  </r>
  <r>
    <x v="1638"/>
    <n v="363.13"/>
    <x v="1261"/>
    <x v="1284"/>
    <x v="1280"/>
    <n v="27392567"/>
    <n v="-4.7325965114451821E-2"/>
    <x v="7"/>
  </r>
  <r>
    <x v="1639"/>
    <n v="378.77"/>
    <x v="1262"/>
    <x v="1285"/>
    <x v="1281"/>
    <n v="26691673"/>
    <n v="-4.167697594501725E-2"/>
    <x v="7"/>
  </r>
  <r>
    <x v="1640"/>
    <n v="357.82"/>
    <x v="1263"/>
    <x v="1286"/>
    <x v="1282"/>
    <n v="29782845"/>
    <n v="1.098711953871322E-2"/>
    <x v="7"/>
  </r>
  <r>
    <x v="1641"/>
    <n v="350.8"/>
    <x v="1264"/>
    <x v="1287"/>
    <x v="1283"/>
    <n v="26482353"/>
    <n v="-3.0049372907326573E-2"/>
    <x v="7"/>
  </r>
  <r>
    <x v="1642"/>
    <n v="347.74"/>
    <x v="1265"/>
    <x v="1288"/>
    <x v="1284"/>
    <n v="18337896"/>
    <n v="-4.8328116315127352E-2"/>
    <x v="7"/>
  </r>
  <r>
    <x v="1643"/>
    <n v="326.8"/>
    <x v="1266"/>
    <x v="1289"/>
    <x v="1285"/>
    <n v="19785735"/>
    <n v="1.1281546832252362E-2"/>
    <x v="7"/>
  </r>
  <r>
    <x v="1644"/>
    <n v="332.55"/>
    <x v="1267"/>
    <x v="1290"/>
    <x v="1286"/>
    <n v="21992032"/>
    <n v="3.5898838835187553E-2"/>
    <x v="7"/>
  </r>
  <r>
    <x v="1645"/>
    <n v="327.02"/>
    <x v="1268"/>
    <x v="1291"/>
    <x v="1287"/>
    <n v="18373737"/>
    <n v="-3.6562105695589764E-2"/>
    <x v="7"/>
  </r>
  <r>
    <x v="1646"/>
    <n v="333.1"/>
    <x v="1269"/>
    <x v="1292"/>
    <x v="1288"/>
    <n v="19474135"/>
    <n v="1.9583955167057555E-2"/>
    <x v="7"/>
  </r>
  <r>
    <x v="1647"/>
    <n v="329.68"/>
    <x v="1270"/>
    <x v="1293"/>
    <x v="1289"/>
    <n v="17238407"/>
    <n v="2.3778229179113503E-2"/>
    <x v="7"/>
  </r>
  <r>
    <x v="1648"/>
    <n v="335.02"/>
    <x v="1271"/>
    <x v="1294"/>
    <x v="1290"/>
    <n v="16615944"/>
    <n v="-4.9573996265172761E-2"/>
    <x v="7"/>
  </r>
  <r>
    <x v="1649"/>
    <n v="343.33"/>
    <x v="1272"/>
    <x v="1295"/>
    <x v="1291"/>
    <n v="23570442"/>
    <n v="3.2327387713750565E-2"/>
    <x v="7"/>
  </r>
  <r>
    <x v="1650"/>
    <n v="358.24"/>
    <x v="1273"/>
    <x v="1296"/>
    <x v="1292"/>
    <n v="35138779"/>
    <n v="-3.6876226729316871E-3"/>
    <x v="7"/>
  </r>
  <r>
    <x v="1651"/>
    <n v="338.3"/>
    <x v="1274"/>
    <x v="1234"/>
    <x v="1293"/>
    <n v="23232186"/>
    <n v="-7.0145065966209959E-3"/>
    <x v="7"/>
  </r>
  <r>
    <x v="1652"/>
    <n v="326.32"/>
    <x v="1275"/>
    <x v="1297"/>
    <x v="1294"/>
    <n v="22780445"/>
    <n v="-0.12183244656867175"/>
    <x v="7"/>
  </r>
  <r>
    <x v="1653"/>
    <n v="331.81"/>
    <x v="1276"/>
    <x v="1298"/>
    <x v="1295"/>
    <n v="45377889"/>
    <n v="5.8191278154309193E-3"/>
    <x v="7"/>
  </r>
  <r>
    <x v="1654"/>
    <n v="299.52999999999997"/>
    <x v="1277"/>
    <x v="1299"/>
    <x v="1296"/>
    <n v="25652132"/>
    <n v="-4.5603049278518078E-3"/>
    <x v="7"/>
  </r>
  <r>
    <x v="1655"/>
    <n v="299.99"/>
    <x v="1150"/>
    <x v="1300"/>
    <x v="1297"/>
    <n v="41649509"/>
    <n v="-7.6923076923076927E-3"/>
    <x v="7"/>
  </r>
  <r>
    <x v="1656"/>
    <n v="300.75"/>
    <x v="1278"/>
    <x v="1301"/>
    <x v="1298"/>
    <n v="29377665"/>
    <n v="3.6968130921619359E-2"/>
    <x v="7"/>
  </r>
  <r>
    <x v="1657"/>
    <n v="286.92"/>
    <x v="1279"/>
    <x v="1302"/>
    <x v="1299"/>
    <n v="25260457"/>
    <n v="6.9772077878927693E-3"/>
    <x v="7"/>
  </r>
  <r>
    <x v="1658"/>
    <n v="301.06"/>
    <x v="1280"/>
    <x v="1303"/>
    <x v="1300"/>
    <n v="21236525"/>
    <n v="4.7710175531213005E-2"/>
    <x v="7"/>
  </r>
  <r>
    <x v="1659"/>
    <n v="301.31"/>
    <x v="1281"/>
    <x v="1304"/>
    <x v="1301"/>
    <n v="27214568"/>
    <n v="-8.3296592555268764E-2"/>
    <x v="7"/>
  </r>
  <r>
    <x v="1660"/>
    <n v="313.07"/>
    <x v="1282"/>
    <x v="1305"/>
    <x v="1302"/>
    <n v="30839731"/>
    <n v="-8.725823628430945E-3"/>
    <x v="7"/>
  </r>
  <r>
    <x v="1661"/>
    <n v="295.67"/>
    <x v="1283"/>
    <x v="1306"/>
    <x v="1303"/>
    <n v="24301037"/>
    <n v="-9.0729509617050785E-2"/>
    <x v="7"/>
  </r>
  <r>
    <x v="1662"/>
    <n v="278.82"/>
    <x v="1284"/>
    <x v="1307"/>
    <x v="1304"/>
    <n v="30270074"/>
    <n v="1.6427182985859674E-2"/>
    <x v="7"/>
  </r>
  <r>
    <x v="1663"/>
    <n v="273.10000000000002"/>
    <x v="1285"/>
    <x v="1308"/>
    <x v="1305"/>
    <n v="28133877"/>
    <n v="-8.2533373331333509E-2"/>
    <x v="7"/>
  </r>
  <r>
    <x v="1664"/>
    <n v="265"/>
    <x v="1286"/>
    <x v="1309"/>
    <x v="1306"/>
    <n v="32408153"/>
    <n v="-8.1742755548289536E-3"/>
    <x v="7"/>
  </r>
  <r>
    <x v="1665"/>
    <n v="233.67"/>
    <x v="1287"/>
    <x v="1310"/>
    <x v="1307"/>
    <n v="46770954"/>
    <n v="5.7114600074174744E-2"/>
    <x v="7"/>
  </r>
  <r>
    <x v="1666"/>
    <n v="257.83"/>
    <x v="1288"/>
    <x v="1311"/>
    <x v="1308"/>
    <n v="30716908"/>
    <n v="-5.8745565820761576E-2"/>
    <x v="7"/>
  </r>
  <r>
    <x v="1667"/>
    <n v="255.72"/>
    <x v="1289"/>
    <x v="1312"/>
    <x v="1309"/>
    <n v="28699513"/>
    <n v="5.139567630249315E-2"/>
    <x v="7"/>
  </r>
  <r>
    <x v="1668"/>
    <n v="249.12"/>
    <x v="1290"/>
    <x v="1313"/>
    <x v="1310"/>
    <n v="26745370"/>
    <n v="-6.8026942923543582E-2"/>
    <x v="7"/>
  </r>
  <r>
    <x v="1669"/>
    <n v="248.17"/>
    <x v="1291"/>
    <x v="1314"/>
    <x v="1311"/>
    <n v="29270604"/>
    <n v="-5.4945054945053026E-4"/>
    <x v="7"/>
  </r>
  <r>
    <x v="1670"/>
    <n v="235.67"/>
    <x v="1119"/>
    <x v="1315"/>
    <x v="1312"/>
    <n v="30098891"/>
    <n v="-6.4151900875375256E-2"/>
    <x v="7"/>
  </r>
  <r>
    <x v="1671"/>
    <n v="238"/>
    <x v="1292"/>
    <x v="1316"/>
    <x v="1313"/>
    <n v="48324435"/>
    <n v="1.6583822864889235E-2"/>
    <x v="7"/>
  </r>
  <r>
    <x v="1672"/>
    <n v="218.34"/>
    <x v="1293"/>
    <x v="1317"/>
    <x v="1314"/>
    <n v="29634546"/>
    <n v="-6.9253678268213589E-2"/>
    <x v="7"/>
  </r>
  <r>
    <x v="1673"/>
    <n v="217.84"/>
    <x v="1294"/>
    <x v="1318"/>
    <x v="1315"/>
    <n v="29697505"/>
    <n v="4.8760685801614252E-2"/>
    <x v="7"/>
  </r>
  <r>
    <x v="1674"/>
    <n v="207.95"/>
    <x v="1295"/>
    <x v="1319"/>
    <x v="1316"/>
    <n v="30713108"/>
    <n v="7.4271402550091084E-2"/>
    <x v="7"/>
  </r>
  <r>
    <x v="1675"/>
    <n v="220.47"/>
    <x v="1296"/>
    <x v="1320"/>
    <x v="1317"/>
    <n v="35334448"/>
    <n v="7.3333050739688918E-2"/>
    <x v="7"/>
  </r>
  <r>
    <x v="1676"/>
    <n v="241.08"/>
    <x v="1297"/>
    <x v="1321"/>
    <x v="1318"/>
    <n v="29764994"/>
    <n v="-1.8166739070337187E-3"/>
    <x v="7"/>
  </r>
  <r>
    <x v="1677"/>
    <n v="257.95"/>
    <x v="1298"/>
    <x v="1322"/>
    <x v="1319"/>
    <n v="33971457"/>
    <n v="-2.358061325420379E-2"/>
    <x v="7"/>
  </r>
  <r>
    <x v="1678"/>
    <n v="251.72"/>
    <x v="1299"/>
    <x v="1323"/>
    <x v="1320"/>
    <n v="25749321"/>
    <n v="4.6760403581992759E-2"/>
    <x v="7"/>
  </r>
  <r>
    <x v="1679"/>
    <n v="244.16"/>
    <x v="1300"/>
    <x v="1324"/>
    <x v="1321"/>
    <n v="31157706"/>
    <n v="-9.216893121201554E-2"/>
    <x v="7"/>
  </r>
  <r>
    <x v="1680"/>
    <n v="243.23"/>
    <x v="1301"/>
    <x v="1325"/>
    <x v="1322"/>
    <n v="37464579"/>
    <n v="1.6032747740064773E-2"/>
    <x v="7"/>
  </r>
  <r>
    <x v="1681"/>
    <n v="244.35"/>
    <x v="1302"/>
    <x v="1326"/>
    <x v="1323"/>
    <n v="28068174"/>
    <n v="2.5600134295785848E-3"/>
    <x v="7"/>
  </r>
  <r>
    <x v="1682"/>
    <n v="234"/>
    <x v="1303"/>
    <x v="1327"/>
    <x v="1324"/>
    <n v="24269534"/>
    <n v="1.2474360584369452E-2"/>
    <x v="7"/>
  </r>
  <r>
    <x v="1683"/>
    <n v="240.09"/>
    <x v="1304"/>
    <x v="1328"/>
    <x v="1325"/>
    <n v="25403540"/>
    <n v="-8.9304171662463166E-3"/>
    <x v="7"/>
  </r>
  <r>
    <x v="1684"/>
    <n v="249.34"/>
    <x v="1305"/>
    <x v="1329"/>
    <x v="1326"/>
    <n v="32163769"/>
    <n v="-3.120437194943898E-2"/>
    <x v="7"/>
  </r>
  <r>
    <x v="1685"/>
    <n v="235.16"/>
    <x v="1306"/>
    <x v="1330"/>
    <x v="1327"/>
    <n v="32696966"/>
    <n v="-7.1007191146707921E-2"/>
    <x v="7"/>
  </r>
  <r>
    <x v="1686"/>
    <n v="223.17"/>
    <x v="1307"/>
    <x v="1331"/>
    <x v="1328"/>
    <n v="34255754"/>
    <n v="2.3871326596829411E-2"/>
    <x v="7"/>
  </r>
  <r>
    <x v="1687"/>
    <n v="218.29"/>
    <x v="1308"/>
    <x v="1332"/>
    <x v="1329"/>
    <n v="32662932"/>
    <n v="5.4823667888994586E-2"/>
    <x v="7"/>
  </r>
  <r>
    <x v="1688"/>
    <n v="220.92"/>
    <x v="1309"/>
    <x v="1333"/>
    <x v="1330"/>
    <n v="39710645"/>
    <n v="-8.5407725321888436E-2"/>
    <x v="7"/>
  </r>
  <r>
    <x v="1689"/>
    <n v="222.74"/>
    <x v="1310"/>
    <x v="1334"/>
    <x v="1331"/>
    <n v="35796900"/>
    <n v="1.7175035194744236E-2"/>
    <x v="7"/>
  </r>
  <r>
    <x v="1690"/>
    <n v="213.43"/>
    <x v="1311"/>
    <x v="1335"/>
    <x v="1332"/>
    <n v="30880590"/>
    <n v="9.3559697361136757E-2"/>
    <x v="7"/>
  </r>
  <r>
    <x v="1691"/>
    <n v="224.6"/>
    <x v="1312"/>
    <x v="1336"/>
    <x v="1333"/>
    <n v="40930985"/>
    <n v="-4.007762402969915E-3"/>
    <x v="7"/>
  </r>
  <r>
    <x v="1692"/>
    <n v="234.5"/>
    <x v="1313"/>
    <x v="1337"/>
    <x v="1334"/>
    <n v="33842420"/>
    <n v="-4.3203862933627437E-3"/>
    <x v="7"/>
  </r>
  <r>
    <x v="1693"/>
    <n v="237.91"/>
    <x v="1314"/>
    <x v="1338"/>
    <x v="1335"/>
    <n v="34734226"/>
    <n v="4.526311311524233E-2"/>
    <x v="7"/>
  </r>
  <r>
    <x v="1694"/>
    <n v="237.47"/>
    <x v="1315"/>
    <x v="1339"/>
    <x v="1336"/>
    <n v="31923565"/>
    <n v="-3.215172357657484E-3"/>
    <x v="7"/>
  </r>
  <r>
    <x v="1695"/>
    <n v="249.37"/>
    <x v="1316"/>
    <x v="1340"/>
    <x v="1337"/>
    <n v="29726104"/>
    <n v="-5.0057161522129641E-2"/>
    <x v="7"/>
  </r>
  <r>
    <x v="1696"/>
    <n v="244.48"/>
    <x v="1317"/>
    <x v="1341"/>
    <x v="1338"/>
    <n v="30222167"/>
    <n v="-1.7923149660448671E-2"/>
    <x v="7"/>
  </r>
  <r>
    <x v="1697"/>
    <n v="230.5"/>
    <x v="1318"/>
    <x v="1342"/>
    <x v="1339"/>
    <n v="27632418"/>
    <n v="-1.7593767779771587E-2"/>
    <x v="7"/>
  </r>
  <r>
    <x v="1698"/>
    <n v="224.51"/>
    <x v="1319"/>
    <x v="1343"/>
    <x v="1340"/>
    <n v="31533484"/>
    <n v="1.242927785450168E-2"/>
    <x v="7"/>
  </r>
  <r>
    <x v="1699"/>
    <n v="227"/>
    <x v="1320"/>
    <x v="1344"/>
    <x v="1341"/>
    <n v="24820148"/>
    <n v="2.5565431664173206E-2"/>
    <x v="7"/>
  </r>
  <r>
    <x v="1700"/>
    <n v="223"/>
    <x v="1321"/>
    <x v="1345"/>
    <x v="1342"/>
    <n v="28259704"/>
    <n v="-5.749345690136025E-3"/>
    <x v="7"/>
  </r>
  <r>
    <x v="1701"/>
    <n v="230.78"/>
    <x v="1322"/>
    <x v="1346"/>
    <x v="1343"/>
    <n v="23951210"/>
    <n v="5.5279851551374458E-2"/>
    <x v="7"/>
  </r>
  <r>
    <x v="1702"/>
    <n v="233.92"/>
    <x v="1323"/>
    <x v="1347"/>
    <x v="1344"/>
    <n v="27310230"/>
    <n v="2.5435511572748832E-2"/>
    <x v="7"/>
  </r>
  <r>
    <x v="1703"/>
    <n v="242.33"/>
    <x v="1324"/>
    <x v="1348"/>
    <x v="1345"/>
    <n v="33951362"/>
    <n v="-6.5480937948636103E-2"/>
    <x v="7"/>
  </r>
  <r>
    <x v="1704"/>
    <n v="252.1"/>
    <x v="1325"/>
    <x v="1349"/>
    <x v="1346"/>
    <n v="33169740"/>
    <n v="-5.4194759750789889E-3"/>
    <x v="7"/>
  </r>
  <r>
    <x v="1705"/>
    <n v="236.85"/>
    <x v="1326"/>
    <x v="1350"/>
    <x v="1342"/>
    <n v="29310320"/>
    <n v="1.7033509246149221E-2"/>
    <x v="7"/>
  </r>
  <r>
    <x v="1706"/>
    <n v="225.5"/>
    <x v="1327"/>
    <x v="1351"/>
    <x v="1333"/>
    <n v="32651499"/>
    <n v="5.3577455281809414E-3"/>
    <x v="7"/>
  </r>
  <r>
    <x v="1707"/>
    <n v="234.9"/>
    <x v="1328"/>
    <x v="1352"/>
    <x v="1347"/>
    <n v="26185833"/>
    <n v="7.3853384247408458E-3"/>
    <x v="7"/>
  </r>
  <r>
    <x v="1708"/>
    <n v="240"/>
    <x v="1329"/>
    <x v="1040"/>
    <x v="1348"/>
    <n v="23227673"/>
    <n v="1.9994168367560221E-3"/>
    <x v="7"/>
  </r>
  <r>
    <x v="1709"/>
    <n v="244.94"/>
    <x v="1330"/>
    <x v="1353"/>
    <x v="1349"/>
    <n v="27512476"/>
    <n v="2.0702556641030927E-2"/>
    <x v="7"/>
  </r>
  <r>
    <x v="1710"/>
    <n v="245"/>
    <x v="1331"/>
    <x v="1354"/>
    <x v="1350"/>
    <n v="26963370"/>
    <n v="8.0234594550564042E-3"/>
    <x v="7"/>
  </r>
  <r>
    <x v="1711"/>
    <n v="246.78"/>
    <x v="1332"/>
    <x v="1150"/>
    <x v="1351"/>
    <n v="29621363"/>
    <n v="9.7818181818181735E-2"/>
    <x v="7"/>
  </r>
  <r>
    <x v="1712"/>
    <n v="255.11"/>
    <x v="1333"/>
    <x v="1355"/>
    <x v="1352"/>
    <n v="47344059"/>
    <n v="1.9506091052961967E-3"/>
    <x v="7"/>
  </r>
  <r>
    <x v="1713"/>
    <n v="276.22000000000003"/>
    <x v="1334"/>
    <x v="1356"/>
    <x v="1353"/>
    <n v="34490949"/>
    <n v="-1.3995004407875412E-2"/>
    <x v="7"/>
  </r>
  <r>
    <x v="1714"/>
    <n v="272.22000000000003"/>
    <x v="1335"/>
    <x v="1357"/>
    <x v="1354"/>
    <n v="21357835"/>
    <n v="-3.5651752784711069E-2"/>
    <x v="7"/>
  </r>
  <r>
    <x v="1715"/>
    <n v="266.51"/>
    <x v="1336"/>
    <x v="1358"/>
    <x v="1355"/>
    <n v="22273586"/>
    <n v="6.1654948620876067E-2"/>
    <x v="7"/>
  </r>
  <r>
    <x v="1716"/>
    <n v="263.81"/>
    <x v="1337"/>
    <x v="1359"/>
    <x v="1356"/>
    <n v="29369996"/>
    <n v="2.2123571792445906E-2"/>
    <x v="7"/>
  </r>
  <r>
    <x v="1717"/>
    <n v="280.07"/>
    <x v="1338"/>
    <x v="1360"/>
    <x v="1357"/>
    <n v="28240997"/>
    <n v="5.7849768600925604E-2"/>
    <x v="7"/>
  </r>
  <r>
    <x v="1718"/>
    <n v="280.7"/>
    <x v="1339"/>
    <x v="1361"/>
    <x v="1358"/>
    <n v="31770961"/>
    <n v="4.374894834258639E-4"/>
    <x v="7"/>
  </r>
  <r>
    <x v="1719"/>
    <n v="301.27"/>
    <x v="1340"/>
    <x v="1362"/>
    <x v="1359"/>
    <n v="39014296"/>
    <n v="1.1134284176533915E-2"/>
    <x v="7"/>
  </r>
  <r>
    <x v="1720"/>
    <n v="294"/>
    <x v="1341"/>
    <x v="1363"/>
    <x v="1360"/>
    <n v="31859156"/>
    <n v="2.2655444292890656E-2"/>
    <x v="7"/>
  </r>
  <r>
    <x v="1721"/>
    <n v="305"/>
    <x v="1342"/>
    <x v="1364"/>
    <x v="1361"/>
    <n v="26697035"/>
    <n v="4.0013012361744251E-3"/>
    <x v="7"/>
  </r>
  <r>
    <x v="1722"/>
    <n v="311"/>
    <x v="1343"/>
    <x v="1365"/>
    <x v="1362"/>
    <n v="24085439"/>
    <n v="-6.6292972167320025E-2"/>
    <x v="7"/>
  </r>
  <r>
    <x v="1723"/>
    <n v="302.67"/>
    <x v="1344"/>
    <x v="1366"/>
    <x v="1363"/>
    <n v="37724299"/>
    <n v="7.8078911753478846E-3"/>
    <x v="7"/>
  </r>
  <r>
    <x v="1724"/>
    <n v="295"/>
    <x v="1345"/>
    <x v="1367"/>
    <x v="1364"/>
    <n v="33121758"/>
    <n v="-2.441291922043947E-2"/>
    <x v="7"/>
  </r>
  <r>
    <x v="1725"/>
    <n v="290.29000000000002"/>
    <x v="1346"/>
    <x v="1368"/>
    <x v="995"/>
    <n v="28748227"/>
    <n v="3.8929869763173794E-2"/>
    <x v="7"/>
  </r>
  <r>
    <x v="1726"/>
    <n v="297.07"/>
    <x v="1347"/>
    <x v="1369"/>
    <x v="988"/>
    <n v="31639624"/>
    <n v="-2.6260361462155244E-2"/>
    <x v="7"/>
  </r>
  <r>
    <x v="1727"/>
    <n v="296.51"/>
    <x v="1348"/>
    <x v="1370"/>
    <x v="1365"/>
    <n v="23385015"/>
    <n v="4.6750165718870938E-2"/>
    <x v="7"/>
  </r>
  <r>
    <x v="1728"/>
    <n v="289.42"/>
    <x v="1349"/>
    <x v="1371"/>
    <x v="1366"/>
    <n v="26552429"/>
    <n v="3.0963570309635775E-2"/>
    <x v="7"/>
  </r>
  <r>
    <x v="1729"/>
    <n v="301.79000000000002"/>
    <x v="1350"/>
    <x v="1372"/>
    <x v="1367"/>
    <n v="29786389"/>
    <n v="-8.9227983964825786E-3"/>
    <x v="7"/>
  </r>
  <r>
    <x v="1730"/>
    <n v="311.67"/>
    <x v="1351"/>
    <x v="1373"/>
    <x v="1368"/>
    <n v="29378774"/>
    <n v="-8.3507306889352897E-3"/>
    <x v="7"/>
  </r>
  <r>
    <x v="1731"/>
    <n v="303.39999999999998"/>
    <x v="1352"/>
    <x v="1374"/>
    <x v="1369"/>
    <n v="22921990"/>
    <n v="-3.7171052631578797E-3"/>
    <x v="7"/>
  </r>
  <r>
    <x v="1732"/>
    <n v="306"/>
    <x v="1353"/>
    <x v="1375"/>
    <x v="1370"/>
    <n v="15833512"/>
    <n v="-2.0470829068577241E-2"/>
    <x v="7"/>
  </r>
  <r>
    <x v="1733"/>
    <n v="299"/>
    <x v="1354"/>
    <x v="1376"/>
    <x v="1371"/>
    <n v="20465129"/>
    <n v="-2.2786260828529983E-2"/>
    <x v="7"/>
  </r>
  <r>
    <x v="1734"/>
    <n v="291.91000000000003"/>
    <x v="1346"/>
    <x v="1377"/>
    <x v="1372"/>
    <n v="18614449"/>
    <n v="2.2558725121589331E-2"/>
    <x v="7"/>
  </r>
  <r>
    <x v="1735"/>
    <n v="291.45"/>
    <x v="1355"/>
    <x v="1378"/>
    <x v="1373"/>
    <n v="21328348"/>
    <n v="2.192612582223087E-3"/>
    <x v="7"/>
  </r>
  <r>
    <x v="1736"/>
    <n v="297.56"/>
    <x v="1356"/>
    <x v="1379"/>
    <x v="1374"/>
    <n v="19086572"/>
    <n v="-3.4668461797375612E-3"/>
    <x v="7"/>
  </r>
  <r>
    <x v="1737"/>
    <n v="302.36"/>
    <x v="1357"/>
    <x v="1380"/>
    <x v="1375"/>
    <n v="53230013"/>
    <n v="-2.6953085418988814E-2"/>
    <x v="7"/>
  </r>
  <r>
    <x v="1738"/>
    <n v="297.43"/>
    <x v="1358"/>
    <x v="1381"/>
    <x v="1167"/>
    <n v="57163947"/>
    <n v="-1.1350619598042216E-2"/>
    <x v="7"/>
  </r>
  <r>
    <x v="1739"/>
    <n v="282.83"/>
    <x v="1359"/>
    <x v="1382"/>
    <x v="1376"/>
    <n v="41864742"/>
    <n v="-2.4998244505301609E-2"/>
    <x v="7"/>
  </r>
  <r>
    <x v="1740"/>
    <n v="287.87"/>
    <x v="1360"/>
    <x v="1383"/>
    <x v="1377"/>
    <n v="50541759"/>
    <n v="-7.5261073100467233E-3"/>
    <x v="7"/>
  </r>
  <r>
    <x v="1741"/>
    <n v="280.62"/>
    <x v="1361"/>
    <x v="1384"/>
    <x v="1378"/>
    <n v="52107337"/>
    <n v="5.6238888284170074E-3"/>
    <x v="7"/>
  </r>
  <r>
    <x v="1742"/>
    <n v="272.58"/>
    <x v="1362"/>
    <x v="1385"/>
    <x v="1379"/>
    <n v="54287024"/>
    <n v="-2.5075768509164542E-2"/>
    <x v="7"/>
  </r>
  <r>
    <x v="1743"/>
    <n v="281.07"/>
    <x v="1363"/>
    <x v="1386"/>
    <x v="1380"/>
    <n v="50890090"/>
    <n v="1.5580474445801549E-2"/>
    <x v="7"/>
  </r>
  <r>
    <x v="1744"/>
    <n v="272.68"/>
    <x v="1364"/>
    <x v="1387"/>
    <x v="1381"/>
    <n v="55859984"/>
    <n v="3.3816777202827678E-2"/>
    <x v="7"/>
  </r>
  <r>
    <x v="1745"/>
    <n v="273.10000000000002"/>
    <x v="1365"/>
    <x v="1388"/>
    <x v="1382"/>
    <n v="50028916"/>
    <n v="1.9598167077899197E-2"/>
    <x v="7"/>
  </r>
  <r>
    <x v="1746"/>
    <n v="281.3"/>
    <x v="1366"/>
    <x v="1389"/>
    <x v="1383"/>
    <n v="53713124"/>
    <n v="3.6022955126875533E-2"/>
    <x v="7"/>
  </r>
  <r>
    <x v="1747"/>
    <n v="291.67"/>
    <x v="1367"/>
    <x v="1390"/>
    <x v="1384"/>
    <n v="54470854"/>
    <n v="1.5816871329418076E-2"/>
    <x v="7"/>
  </r>
  <r>
    <x v="1748"/>
    <n v="300.72000000000003"/>
    <x v="1368"/>
    <x v="1252"/>
    <x v="1385"/>
    <n v="48674604"/>
    <n v="-4.0371854674462977E-2"/>
    <x v="7"/>
  </r>
  <r>
    <x v="1749"/>
    <n v="292.89999999999998"/>
    <x v="1369"/>
    <x v="1391"/>
    <x v="1386"/>
    <n v="68229619"/>
    <n v="3.587443946188347E-2"/>
    <x v="7"/>
  </r>
  <r>
    <x v="1750"/>
    <n v="292.24"/>
    <x v="1277"/>
    <x v="1392"/>
    <x v="1387"/>
    <n v="72628653"/>
    <n v="3.7672251412708977E-3"/>
    <x v="7"/>
  </r>
  <r>
    <x v="1751"/>
    <n v="301.83"/>
    <x v="1370"/>
    <x v="1393"/>
    <x v="1388"/>
    <n v="64795523"/>
    <n v="-1.3168724279834642E-3"/>
    <x v="7"/>
  </r>
  <r>
    <x v="1752"/>
    <n v="299.61"/>
    <x v="1371"/>
    <x v="1394"/>
    <x v="1389"/>
    <n v="87087786"/>
    <n v="1.8856106807318182E-2"/>
    <x v="7"/>
  </r>
  <r>
    <x v="1753"/>
    <n v="300.08999999999997"/>
    <x v="1372"/>
    <x v="1213"/>
    <x v="1390"/>
    <n v="60231156"/>
    <n v="-1.1000744167987025E-3"/>
    <x v="7"/>
  </r>
  <r>
    <x v="1754"/>
    <n v="306.91000000000003"/>
    <x v="1373"/>
    <x v="1395"/>
    <x v="1391"/>
    <n v="61642783"/>
    <n v="-2.5685874388624384E-2"/>
    <x v="7"/>
  </r>
  <r>
    <x v="1755"/>
    <n v="308.29000000000002"/>
    <x v="1374"/>
    <x v="1396"/>
    <x v="1392"/>
    <n v="62555656"/>
    <n v="-4.0591755319149055E-2"/>
    <x v="7"/>
  </r>
  <r>
    <x v="1756"/>
    <n v="299.86"/>
    <x v="1375"/>
    <x v="1397"/>
    <x v="1393"/>
    <n v="70545413"/>
    <n v="-4.5947538029730735E-2"/>
    <x v="7"/>
  </r>
  <r>
    <x v="1757"/>
    <n v="283.08999999999997"/>
    <x v="1376"/>
    <x v="1398"/>
    <x v="1394"/>
    <n v="63748362"/>
    <n v="2.4697635564595462E-3"/>
    <x v="7"/>
  </r>
  <r>
    <x v="1758"/>
    <n v="271.83"/>
    <x v="1377"/>
    <x v="1399"/>
    <x v="1395"/>
    <n v="58076913"/>
    <n v="2.5107785949784453E-2"/>
    <x v="7"/>
  </r>
  <r>
    <x v="1759"/>
    <n v="283.83999999999997"/>
    <x v="1378"/>
    <x v="1400"/>
    <x v="1396"/>
    <n v="61925185"/>
    <n v="1.7212129780165421E-2"/>
    <x v="7"/>
  </r>
  <r>
    <x v="1760"/>
    <n v="283.08"/>
    <x v="1379"/>
    <x v="1401"/>
    <x v="997"/>
    <n v="54664809"/>
    <n v="-6.8100482957506772E-2"/>
    <x v="7"/>
  </r>
  <r>
    <x v="1761"/>
    <n v="282.76"/>
    <x v="1380"/>
    <x v="1402"/>
    <x v="1397"/>
    <n v="77620642"/>
    <n v="-1.1036128406845307E-2"/>
    <x v="7"/>
  </r>
  <r>
    <x v="1762"/>
    <n v="266.14999999999998"/>
    <x v="1381"/>
    <x v="1403"/>
    <x v="1398"/>
    <n v="67726598"/>
    <n v="-8.6145146088595637E-2"/>
    <x v="7"/>
  </r>
  <r>
    <x v="1763"/>
    <n v="254.5"/>
    <x v="1382"/>
    <x v="1404"/>
    <x v="1399"/>
    <n v="98363541"/>
    <n v="2.9042904290429009E-2"/>
    <x v="7"/>
  </r>
  <r>
    <x v="1764"/>
    <n v="250.52"/>
    <x v="1383"/>
    <x v="1405"/>
    <x v="1400"/>
    <n v="109578535"/>
    <n v="-3.4597498396407939E-2"/>
    <x v="7"/>
  </r>
  <r>
    <x v="1765"/>
    <n v="245.01"/>
    <x v="1384"/>
    <x v="1406"/>
    <x v="1401"/>
    <n v="86982673"/>
    <n v="-1.1129105934138976E-2"/>
    <x v="7"/>
  </r>
  <r>
    <x v="1766"/>
    <n v="239.44"/>
    <x v="1385"/>
    <x v="1407"/>
    <x v="1402"/>
    <n v="69298437"/>
    <n v="-6.3242766556082824E-2"/>
    <x v="7"/>
  </r>
  <r>
    <x v="1767"/>
    <n v="233.94"/>
    <x v="1386"/>
    <x v="1408"/>
    <x v="1403"/>
    <n v="83916800"/>
    <n v="-4.9311875196120149E-4"/>
    <x v="7"/>
  </r>
  <r>
    <x v="1768"/>
    <n v="223.93"/>
    <x v="1016"/>
    <x v="1409"/>
    <x v="1404"/>
    <n v="67925018"/>
    <n v="-2.8973806960889879E-2"/>
    <x v="7"/>
  </r>
  <r>
    <x v="1769"/>
    <n v="220.95"/>
    <x v="1387"/>
    <x v="1410"/>
    <x v="1405"/>
    <n v="77013202"/>
    <n v="3.4180138568129749E-3"/>
    <x v="7"/>
  </r>
  <r>
    <x v="1770"/>
    <n v="215.33"/>
    <x v="1388"/>
    <x v="1411"/>
    <x v="1406"/>
    <n v="66860699"/>
    <n v="2.0622353157797778E-2"/>
    <x v="7"/>
  </r>
  <r>
    <x v="1771"/>
    <n v="208.3"/>
    <x v="1389"/>
    <x v="1412"/>
    <x v="1407"/>
    <n v="91483045"/>
    <n v="-7.5455529496662413E-2"/>
    <x v="7"/>
  </r>
  <r>
    <x v="1772"/>
    <n v="224.01"/>
    <x v="1390"/>
    <x v="1413"/>
    <x v="1408"/>
    <n v="94124511"/>
    <n v="7.0052197668178856E-2"/>
    <x v="7"/>
  </r>
  <r>
    <x v="1773"/>
    <n v="210.04"/>
    <x v="1391"/>
    <x v="1414"/>
    <x v="1409"/>
    <n v="79428810"/>
    <n v="3.8294962388876383E-3"/>
    <x v="7"/>
  </r>
  <r>
    <x v="1774"/>
    <n v="229.5"/>
    <x v="1392"/>
    <x v="1415"/>
    <x v="1410"/>
    <n v="75891905"/>
    <n v="8.4018347790544273E-3"/>
    <x v="7"/>
  </r>
  <r>
    <x v="1775"/>
    <n v="219.8"/>
    <x v="1393"/>
    <x v="1416"/>
    <x v="1411"/>
    <n v="66571479"/>
    <n v="-6.6474509097459875E-2"/>
    <x v="7"/>
  </r>
  <r>
    <x v="1776"/>
    <n v="208.28"/>
    <x v="1394"/>
    <x v="1417"/>
    <x v="1412"/>
    <n v="117798062"/>
    <n v="3.454264762639906E-2"/>
    <x v="7"/>
  </r>
  <r>
    <x v="1777"/>
    <n v="206.42"/>
    <x v="1395"/>
    <x v="1418"/>
    <x v="1413"/>
    <n v="75713754"/>
    <n v="-1.4875955978362235E-2"/>
    <x v="7"/>
  </r>
  <r>
    <x v="1778"/>
    <n v="205.82"/>
    <x v="1396"/>
    <x v="1419"/>
    <x v="1414"/>
    <n v="100446765"/>
    <n v="5.2875739644970353E-2"/>
    <x v="7"/>
  </r>
  <r>
    <x v="1779"/>
    <n v="210.1"/>
    <x v="1397"/>
    <x v="1420"/>
    <x v="1415"/>
    <n v="96507870"/>
    <n v="9.981116806042618E-3"/>
    <x v="7"/>
  </r>
  <r>
    <x v="1780"/>
    <n v="219.4"/>
    <x v="1398"/>
    <x v="1421"/>
    <x v="1416"/>
    <n v="85327078"/>
    <n v="2.0032051282052044E-3"/>
    <x v="7"/>
  </r>
  <r>
    <x v="1781"/>
    <n v="229.77"/>
    <x v="1399"/>
    <x v="1422"/>
    <x v="1417"/>
    <n v="61638824"/>
    <n v="1.5238349104802554E-2"/>
    <x v="7"/>
  </r>
  <r>
    <x v="1782"/>
    <n v="225.4"/>
    <x v="1400"/>
    <x v="1423"/>
    <x v="1418"/>
    <n v="69152386"/>
    <n v="-4.2884649046036156E-3"/>
    <x v="7"/>
  </r>
  <r>
    <x v="1783"/>
    <n v="226.19"/>
    <x v="1015"/>
    <x v="1424"/>
    <x v="1419"/>
    <n v="61554341"/>
    <n v="1.2305528698250906E-3"/>
    <x v="7"/>
  </r>
  <r>
    <x v="1784"/>
    <n v="234.05"/>
    <x v="1401"/>
    <x v="1425"/>
    <x v="1420"/>
    <n v="62688822"/>
    <n v="-5.6360284435080343E-2"/>
    <x v="7"/>
  </r>
  <r>
    <x v="1785"/>
    <n v="226.04"/>
    <x v="1402"/>
    <x v="1426"/>
    <x v="1421"/>
    <n v="63070293"/>
    <n v="1.5350265140943926E-3"/>
    <x v="7"/>
  </r>
  <r>
    <x v="1786"/>
    <n v="211.36"/>
    <x v="1403"/>
    <x v="1427"/>
    <x v="1422"/>
    <n v="56538848"/>
    <n v="-3.641261436997819E-2"/>
    <x v="7"/>
  </r>
  <r>
    <x v="1787"/>
    <n v="222.6"/>
    <x v="1404"/>
    <x v="1428"/>
    <x v="1423"/>
    <n v="98622212"/>
    <n v="-5.0079529570540252E-2"/>
    <x v="7"/>
  </r>
  <r>
    <x v="1788"/>
    <n v="208.65"/>
    <x v="1405"/>
    <x v="1429"/>
    <x v="1424"/>
    <n v="93916520"/>
    <n v="-2.9328191597320887E-2"/>
    <x v="7"/>
  </r>
  <r>
    <x v="1789"/>
    <n v="194.02"/>
    <x v="1406"/>
    <x v="1430"/>
    <x v="1425"/>
    <n v="128803404"/>
    <n v="-7.1667537898588637E-2"/>
    <x v="7"/>
  </r>
  <r>
    <x v="1790"/>
    <n v="190.78"/>
    <x v="1407"/>
    <x v="1431"/>
    <x v="1426"/>
    <n v="127062659"/>
    <n v="7.3934343149952106E-2"/>
    <x v="7"/>
  </r>
  <r>
    <x v="1791"/>
    <n v="189.9"/>
    <x v="1408"/>
    <x v="1432"/>
    <x v="1427"/>
    <n v="132703015"/>
    <n v="2.752726510067114E-2"/>
    <x v="7"/>
  </r>
  <r>
    <x v="1792"/>
    <n v="186"/>
    <x v="1409"/>
    <x v="1433"/>
    <x v="1428"/>
    <n v="114403575"/>
    <n v="-2.5616165739654081E-2"/>
    <x v="7"/>
  </r>
  <r>
    <x v="1793"/>
    <n v="192.77"/>
    <x v="1410"/>
    <x v="1434"/>
    <x v="1074"/>
    <n v="92226649"/>
    <n v="1.8172296412673469E-2"/>
    <x v="7"/>
  </r>
  <r>
    <x v="1794"/>
    <n v="195.88"/>
    <x v="1411"/>
    <x v="1435"/>
    <x v="1429"/>
    <n v="91293785"/>
    <n v="-3.8576278160683063E-2"/>
    <x v="7"/>
  </r>
  <r>
    <x v="1795"/>
    <n v="191.51"/>
    <x v="1412"/>
    <x v="1436"/>
    <x v="1430"/>
    <n v="66567599"/>
    <n v="-2.0062058634710039E-2"/>
    <x v="7"/>
  </r>
  <r>
    <x v="1796"/>
    <n v="183.96"/>
    <x v="1413"/>
    <x v="1437"/>
    <x v="1431"/>
    <n v="64335970"/>
    <n v="-1.6269039689905496E-2"/>
    <x v="7"/>
  </r>
  <r>
    <x v="1797"/>
    <n v="185.05"/>
    <x v="1414"/>
    <x v="1438"/>
    <x v="1432"/>
    <n v="76048866"/>
    <n v="-6.8372273711082704E-2"/>
    <x v="7"/>
  </r>
  <r>
    <x v="1798"/>
    <n v="175.85"/>
    <x v="1415"/>
    <x v="1439"/>
    <x v="1433"/>
    <n v="92882712"/>
    <n v="1.2152260677905475E-2"/>
    <x v="7"/>
  </r>
  <r>
    <x v="1799"/>
    <n v="168.63"/>
    <x v="1416"/>
    <x v="1440"/>
    <x v="1434"/>
    <n v="78452327"/>
    <n v="7.8217880054146274E-2"/>
    <x v="7"/>
  </r>
  <r>
    <x v="1800"/>
    <n v="173.57"/>
    <x v="1417"/>
    <x v="1441"/>
    <x v="1435"/>
    <n v="109536709"/>
    <n v="-1.8558951965064138E-3"/>
    <x v="7"/>
  </r>
  <r>
    <x v="1801"/>
    <n v="185.06"/>
    <x v="1418"/>
    <x v="1442"/>
    <x v="1436"/>
    <n v="50672739"/>
    <n v="3.2811987312683936E-4"/>
    <x v="7"/>
  </r>
  <r>
    <x v="1802"/>
    <n v="179.96"/>
    <x v="1419"/>
    <x v="1443"/>
    <x v="1437"/>
    <n v="93038148"/>
    <n v="-1.1425759895035945E-2"/>
    <x v="7"/>
  </r>
  <r>
    <x v="1803"/>
    <n v="184.99"/>
    <x v="1420"/>
    <x v="1444"/>
    <x v="1438"/>
    <n v="83357111"/>
    <n v="7.6701874688934218E-2"/>
    <x v="7"/>
  </r>
  <r>
    <x v="1804"/>
    <n v="182.43"/>
    <x v="1421"/>
    <x v="1442"/>
    <x v="1439"/>
    <n v="109186404"/>
    <n v="0"/>
    <x v="7"/>
  </r>
  <r>
    <x v="1805"/>
    <n v="197.08"/>
    <x v="1422"/>
    <x v="1445"/>
    <x v="1439"/>
    <n v="80046213"/>
    <n v="8.2177709296366215E-4"/>
    <x v="7"/>
  </r>
  <r>
    <x v="1806"/>
    <n v="191.78"/>
    <x v="1423"/>
    <x v="1446"/>
    <x v="1440"/>
    <n v="73645922"/>
    <n v="-6.3686749461151715E-2"/>
    <x v="7"/>
  </r>
  <r>
    <x v="1807"/>
    <n v="189.44"/>
    <x v="1424"/>
    <x v="1447"/>
    <x v="1441"/>
    <n v="93122667"/>
    <n v="-1.4414908194025737E-2"/>
    <x v="7"/>
  </r>
  <r>
    <x v="1808"/>
    <n v="181.22"/>
    <x v="1425"/>
    <x v="1448"/>
    <x v="1442"/>
    <n v="92150823"/>
    <n v="-3.2143254365476596E-2"/>
    <x v="7"/>
  </r>
  <r>
    <x v="1809"/>
    <n v="175.03"/>
    <x v="1426"/>
    <x v="1449"/>
    <x v="1443"/>
    <n v="84213284"/>
    <n v="-3.447483337163838E-3"/>
    <x v="7"/>
  </r>
  <r>
    <x v="1810"/>
    <n v="172.2"/>
    <x v="1427"/>
    <x v="1450"/>
    <x v="1444"/>
    <n v="97624491"/>
    <n v="3.2345479704797127E-2"/>
    <x v="7"/>
  </r>
  <r>
    <x v="1811"/>
    <n v="173.84"/>
    <x v="1428"/>
    <x v="1451"/>
    <x v="1445"/>
    <n v="104872336"/>
    <n v="-6.2719910639486273E-2"/>
    <x v="7"/>
  </r>
  <r>
    <x v="1812"/>
    <n v="176.1"/>
    <x v="1429"/>
    <x v="1452"/>
    <x v="1446"/>
    <n v="109794471"/>
    <n v="-4.0936717912048649E-2"/>
    <x v="7"/>
  </r>
  <r>
    <x v="1813"/>
    <n v="174.87"/>
    <x v="1430"/>
    <x v="1453"/>
    <x v="1447"/>
    <n v="175862722"/>
    <n v="-2.5784405094749784E-2"/>
    <x v="7"/>
  </r>
  <r>
    <x v="1814"/>
    <n v="159.25"/>
    <x v="1431"/>
    <x v="1454"/>
    <x v="1448"/>
    <n v="140682338"/>
    <n v="5.5484693877549491E-3"/>
    <x v="7"/>
  </r>
  <r>
    <x v="1815"/>
    <n v="153.44"/>
    <x v="1432"/>
    <x v="1455"/>
    <x v="1449"/>
    <n v="122334459"/>
    <n v="-4.7187163062091697E-2"/>
    <x v="7"/>
  </r>
  <r>
    <x v="1816"/>
    <n v="159.63999999999999"/>
    <x v="1433"/>
    <x v="1456"/>
    <x v="1450"/>
    <n v="139032175"/>
    <n v="-2.3963256340277257E-3"/>
    <x v="7"/>
  </r>
  <r>
    <x v="1817"/>
    <n v="154"/>
    <x v="1434"/>
    <x v="1457"/>
    <x v="1451"/>
    <n v="139390634"/>
    <n v="-8.0536464936278057E-2"/>
    <x v="7"/>
  </r>
  <r>
    <x v="1818"/>
    <n v="146.05000000000001"/>
    <x v="1435"/>
    <x v="1458"/>
    <x v="1452"/>
    <n v="159563267"/>
    <n v="-1.6690856313499142E-3"/>
    <x v="7"/>
  </r>
  <r>
    <x v="1819"/>
    <n v="139.34"/>
    <x v="1436"/>
    <x v="1459"/>
    <x v="1453"/>
    <n v="145417412"/>
    <n v="-8.8827505996946998E-2"/>
    <x v="7"/>
  </r>
  <r>
    <x v="1820"/>
    <n v="136"/>
    <x v="1437"/>
    <x v="1460"/>
    <x v="1454"/>
    <n v="210090250"/>
    <n v="-1.7550857598723484E-2"/>
    <x v="7"/>
  </r>
  <r>
    <x v="1821"/>
    <n v="126.37"/>
    <x v="1438"/>
    <x v="1461"/>
    <x v="1455"/>
    <n v="166989688"/>
    <n v="-0.11408850994721892"/>
    <x v="7"/>
  </r>
  <r>
    <x v="1822"/>
    <n v="117.5"/>
    <x v="832"/>
    <x v="1462"/>
    <x v="1456"/>
    <n v="208643444"/>
    <n v="3.3088909257561867E-2"/>
    <x v="7"/>
  </r>
  <r>
    <x v="1823"/>
    <n v="110.35"/>
    <x v="1439"/>
    <x v="1463"/>
    <x v="1457"/>
    <n v="221070537"/>
    <n v="8.0826900896105044E-2"/>
    <x v="7"/>
  </r>
  <r>
    <x v="1824"/>
    <n v="120.39"/>
    <x v="1440"/>
    <x v="1464"/>
    <x v="1458"/>
    <n v="221923313"/>
    <n v="1.1164012477425822E-2"/>
    <x v="7"/>
  </r>
  <r>
    <x v="1825"/>
    <n v="119.95"/>
    <x v="1441"/>
    <x v="1465"/>
    <x v="1459"/>
    <n v="157777339"/>
    <n v="-0.12242247118038652"/>
    <x v="7"/>
  </r>
  <r>
    <x v="1826"/>
    <n v="118.47"/>
    <x v="1442"/>
    <x v="1466"/>
    <x v="1460"/>
    <n v="231402818"/>
    <n v="5.1248843663274805E-2"/>
    <x v="8"/>
  </r>
  <r>
    <x v="1827"/>
    <n v="109.11"/>
    <x v="1443"/>
    <x v="1467"/>
    <x v="1461"/>
    <n v="180388976"/>
    <n v="-2.9039070749735982E-2"/>
    <x v="8"/>
  </r>
  <r>
    <x v="1828"/>
    <n v="110.51"/>
    <x v="1444"/>
    <x v="1468"/>
    <x v="1462"/>
    <n v="157986324"/>
    <n v="2.4651078484683692E-2"/>
    <x v="8"/>
  </r>
  <r>
    <x v="1829"/>
    <n v="103"/>
    <x v="1445"/>
    <x v="1469"/>
    <x v="1463"/>
    <n v="220911051"/>
    <n v="5.9349018220413885E-2"/>
    <x v="8"/>
  </r>
  <r>
    <x v="1830"/>
    <n v="118.96"/>
    <x v="1446"/>
    <x v="1470"/>
    <x v="1464"/>
    <n v="190283951"/>
    <n v="-7.6813893295483151E-3"/>
    <x v="8"/>
  </r>
  <r>
    <x v="1831"/>
    <n v="121.07"/>
    <x v="1447"/>
    <x v="1471"/>
    <x v="1465"/>
    <n v="167642485"/>
    <n v="3.6769036600757296E-2"/>
    <x v="8"/>
  </r>
  <r>
    <x v="1832"/>
    <n v="122.09"/>
    <x v="1448"/>
    <x v="1472"/>
    <x v="1466"/>
    <n v="183810771"/>
    <n v="2.759292322674918E-3"/>
    <x v="8"/>
  </r>
  <r>
    <x v="1833"/>
    <n v="122.56"/>
    <x v="1449"/>
    <x v="1473"/>
    <x v="1467"/>
    <n v="169400913"/>
    <n v="-9.3881515053415073E-3"/>
    <x v="8"/>
  </r>
  <r>
    <x v="1834"/>
    <n v="116.55"/>
    <x v="1450"/>
    <x v="1474"/>
    <x v="1468"/>
    <n v="180714119"/>
    <n v="7.4264705882352969E-2"/>
    <x v="8"/>
  </r>
  <r>
    <x v="1835"/>
    <n v="125.7"/>
    <x v="1451"/>
    <x v="1475"/>
    <x v="1469"/>
    <n v="186476985"/>
    <n v="-2.0609932314244489E-2"/>
    <x v="8"/>
  </r>
  <r>
    <x v="1836"/>
    <n v="136.56"/>
    <x v="1452"/>
    <x v="1476"/>
    <x v="1470"/>
    <n v="195680318"/>
    <n v="-1.2501941295232175E-2"/>
    <x v="8"/>
  </r>
  <r>
    <x v="1837"/>
    <n v="127.26"/>
    <x v="1453"/>
    <x v="1477"/>
    <x v="1471"/>
    <n v="170291880"/>
    <n v="4.914681135487918E-2"/>
    <x v="8"/>
  </r>
  <r>
    <x v="1838"/>
    <n v="128.68"/>
    <x v="1454"/>
    <x v="1478"/>
    <x v="1472"/>
    <n v="138858136"/>
    <n v="7.7424673961924845E-2"/>
    <x v="8"/>
  </r>
  <r>
    <x v="1839"/>
    <n v="135.87"/>
    <x v="1455"/>
    <x v="1479"/>
    <x v="1473"/>
    <n v="203119211"/>
    <n v="9.7391304347816592E-4"/>
    <x v="8"/>
  </r>
  <r>
    <x v="1840"/>
    <n v="143"/>
    <x v="1456"/>
    <x v="1480"/>
    <x v="1474"/>
    <n v="158699056"/>
    <n v="3.752866773229693E-3"/>
    <x v="8"/>
  </r>
  <r>
    <x v="1841"/>
    <n v="141.91"/>
    <x v="1457"/>
    <x v="1481"/>
    <x v="1475"/>
    <n v="192734347"/>
    <n v="0.10967250571210969"/>
    <x v="8"/>
  </r>
  <r>
    <x v="1842"/>
    <n v="159.97"/>
    <x v="1458"/>
    <x v="1482"/>
    <x v="1476"/>
    <n v="234815090"/>
    <n v="0.11000187184126782"/>
    <x v="8"/>
  </r>
  <r>
    <x v="1843"/>
    <n v="162.43"/>
    <x v="1459"/>
    <x v="1483"/>
    <x v="1477"/>
    <n v="306590613"/>
    <n v="-6.3181562675660538E-2"/>
    <x v="8"/>
  </r>
  <r>
    <x v="1844"/>
    <n v="178.05"/>
    <x v="1460"/>
    <x v="1484"/>
    <x v="1478"/>
    <n v="230878807"/>
    <n v="3.9361574462978534E-2"/>
    <x v="8"/>
  </r>
  <r>
    <x v="1845"/>
    <n v="164.57"/>
    <x v="1461"/>
    <x v="1485"/>
    <x v="1479"/>
    <n v="196813541"/>
    <n v="4.7280914444059567E-2"/>
    <x v="8"/>
  </r>
  <r>
    <x v="1846"/>
    <n v="173.89"/>
    <x v="1462"/>
    <x v="1486"/>
    <x v="1480"/>
    <n v="213806323"/>
    <n v="3.7814894438013419E-2"/>
    <x v="8"/>
  </r>
  <r>
    <x v="1847"/>
    <n v="187.33"/>
    <x v="1463"/>
    <x v="1487"/>
    <x v="1481"/>
    <n v="217448287"/>
    <n v="9.0827003771178604E-3"/>
    <x v="8"/>
  </r>
  <r>
    <x v="1848"/>
    <n v="183.95"/>
    <x v="1464"/>
    <x v="1488"/>
    <x v="1482"/>
    <n v="232662023"/>
    <n v="2.5160543215075278E-2"/>
    <x v="8"/>
  </r>
  <r>
    <x v="1849"/>
    <n v="193.01"/>
    <x v="1465"/>
    <x v="1489"/>
    <x v="1483"/>
    <n v="186188131"/>
    <n v="1.0525775313206056E-2"/>
    <x v="8"/>
  </r>
  <r>
    <x v="1850"/>
    <n v="196.43"/>
    <x v="1466"/>
    <x v="1490"/>
    <x v="1484"/>
    <n v="186010325"/>
    <n v="2.2763070982165488E-2"/>
    <x v="8"/>
  </r>
  <r>
    <x v="1851"/>
    <n v="196.1"/>
    <x v="1467"/>
    <x v="1491"/>
    <x v="1485"/>
    <n v="180673644"/>
    <n v="2.9956778776889074E-2"/>
    <x v="8"/>
  </r>
  <r>
    <x v="1852"/>
    <n v="207.78"/>
    <x v="1468"/>
    <x v="1492"/>
    <x v="1486"/>
    <n v="215431442"/>
    <n v="-5.0308701524213809E-2"/>
    <x v="8"/>
  </r>
  <r>
    <x v="1853"/>
    <n v="202.23"/>
    <x v="1469"/>
    <x v="1493"/>
    <x v="1487"/>
    <n v="204754129"/>
    <n v="-1.1427700746609783E-2"/>
    <x v="8"/>
  </r>
  <r>
    <x v="1854"/>
    <n v="194.42"/>
    <x v="1470"/>
    <x v="1494"/>
    <x v="1488"/>
    <n v="172475452"/>
    <n v="7.5061652281134483E-2"/>
    <x v="8"/>
  </r>
  <r>
    <x v="1855"/>
    <n v="191.94"/>
    <x v="1471"/>
    <x v="1495"/>
    <x v="1489"/>
    <n v="216455708"/>
    <n v="2.3847072879330987E-2"/>
    <x v="8"/>
  </r>
  <r>
    <x v="1856"/>
    <n v="211.76"/>
    <x v="1395"/>
    <x v="1496"/>
    <x v="1490"/>
    <n v="182108581"/>
    <n v="-5.6945481702763333E-2"/>
    <x v="8"/>
  </r>
  <r>
    <x v="1857"/>
    <n v="210.78"/>
    <x v="1472"/>
    <x v="1497"/>
    <x v="1491"/>
    <n v="229586538"/>
    <n v="3.103345872104539E-2"/>
    <x v="8"/>
  </r>
  <r>
    <x v="1858"/>
    <n v="199.99"/>
    <x v="1473"/>
    <x v="1498"/>
    <x v="1492"/>
    <n v="213738549"/>
    <n v="-5.2517882002784302E-2"/>
    <x v="8"/>
  </r>
  <r>
    <x v="1859"/>
    <n v="204.99"/>
    <x v="1474"/>
    <x v="1499"/>
    <x v="1493"/>
    <n v="180018588"/>
    <n v="1.7682525206465061E-2"/>
    <x v="8"/>
  </r>
  <r>
    <x v="1860"/>
    <n v="197.93"/>
    <x v="1475"/>
    <x v="1500"/>
    <x v="1494"/>
    <n v="191828457"/>
    <n v="6.0240963855420666E-3"/>
    <x v="8"/>
  </r>
  <r>
    <x v="1861"/>
    <n v="203.91"/>
    <x v="1476"/>
    <x v="1501"/>
    <x v="1495"/>
    <n v="146359950"/>
    <n v="-2.5684168852377877E-2"/>
    <x v="8"/>
  </r>
  <r>
    <x v="1862"/>
    <n v="196.33"/>
    <x v="1477"/>
    <x v="1502"/>
    <x v="1496"/>
    <n v="142228105"/>
    <n v="5.4601787891101178E-2"/>
    <x v="8"/>
  </r>
  <r>
    <x v="1863"/>
    <n v="202.03"/>
    <x v="1478"/>
    <x v="1503"/>
    <x v="1497"/>
    <n v="161028315"/>
    <n v="-9.2472186100273929E-3"/>
    <x v="8"/>
  </r>
  <r>
    <x v="1864"/>
    <n v="210.59"/>
    <x v="1479"/>
    <x v="1504"/>
    <x v="1498"/>
    <n v="153144912"/>
    <n v="-1.4291964415925321E-2"/>
    <x v="8"/>
  </r>
  <r>
    <x v="1865"/>
    <n v="206.21"/>
    <x v="1480"/>
    <x v="1505"/>
    <x v="1499"/>
    <n v="156852790"/>
    <n v="-5.853923164176162E-2"/>
    <x v="8"/>
  </r>
  <r>
    <x v="1866"/>
    <n v="186.74"/>
    <x v="1481"/>
    <x v="1506"/>
    <x v="1500"/>
    <n v="181979154"/>
    <n v="3.6092194866422136E-2"/>
    <x v="8"/>
  </r>
  <r>
    <x v="1867"/>
    <n v="194.8"/>
    <x v="1482"/>
    <x v="1507"/>
    <x v="953"/>
    <n v="154193277"/>
    <n v="-2.0122351989483745E-2"/>
    <x v="8"/>
  </r>
  <r>
    <x v="1868"/>
    <n v="198.54"/>
    <x v="1483"/>
    <x v="1508"/>
    <x v="1501"/>
    <n v="128100106"/>
    <n v="-3.1474124142201097E-2"/>
    <x v="8"/>
  </r>
  <r>
    <x v="1869"/>
    <n v="191.38"/>
    <x v="1484"/>
    <x v="1509"/>
    <x v="1502"/>
    <n v="148125790"/>
    <n v="-3.0419263757924499E-2"/>
    <x v="8"/>
  </r>
  <r>
    <x v="1870"/>
    <n v="185.04"/>
    <x v="1485"/>
    <x v="1510"/>
    <x v="1503"/>
    <n v="151897763"/>
    <n v="-4.989010989010996E-2"/>
    <x v="8"/>
  </r>
  <r>
    <x v="1871"/>
    <n v="180.25"/>
    <x v="1486"/>
    <x v="1511"/>
    <x v="1504"/>
    <n v="170023794"/>
    <n v="3.0071709461023033E-3"/>
    <x v="8"/>
  </r>
  <r>
    <x v="1872"/>
    <n v="175.13"/>
    <x v="1487"/>
    <x v="1512"/>
    <x v="1444"/>
    <n v="191488872"/>
    <n v="5.9963099630995853E-3"/>
    <x v="8"/>
  </r>
  <r>
    <x v="1873"/>
    <n v="167.46"/>
    <x v="1488"/>
    <x v="1513"/>
    <x v="1505"/>
    <n v="167790256"/>
    <n v="5.0320953690967458E-2"/>
    <x v="8"/>
  </r>
  <r>
    <x v="1874"/>
    <n v="177.31"/>
    <x v="1489"/>
    <x v="1514"/>
    <x v="1506"/>
    <n v="143717897"/>
    <n v="-1.5333406089708623E-2"/>
    <x v="8"/>
  </r>
  <r>
    <x v="1875"/>
    <n v="180.8"/>
    <x v="1490"/>
    <x v="1515"/>
    <x v="1507"/>
    <n v="145995583"/>
    <n v="2.0393460792463326E-2"/>
    <x v="8"/>
  </r>
  <r>
    <x v="1876"/>
    <n v="180.37"/>
    <x v="1491"/>
    <x v="1516"/>
    <x v="1508"/>
    <n v="121374453"/>
    <n v="-2.1723782110465432E-2"/>
    <x v="8"/>
  </r>
  <r>
    <x v="1877"/>
    <n v="184.52"/>
    <x v="1492"/>
    <x v="1517"/>
    <x v="1509"/>
    <n v="133197140"/>
    <n v="1.7320823849442096E-2"/>
    <x v="8"/>
  </r>
  <r>
    <x v="1878"/>
    <n v="178.08"/>
    <x v="1493"/>
    <x v="1518"/>
    <x v="1510"/>
    <n v="129684359"/>
    <n v="7.8199181446111932E-2"/>
    <x v="8"/>
  </r>
  <r>
    <x v="1879"/>
    <n v="188.28"/>
    <x v="1494"/>
    <x v="1519"/>
    <x v="1511"/>
    <n v="153391444"/>
    <n v="-3.2543779734791001E-2"/>
    <x v="8"/>
  </r>
  <r>
    <x v="1880"/>
    <n v="199.3"/>
    <x v="1495"/>
    <x v="1520"/>
    <x v="1512"/>
    <n v="150376373"/>
    <n v="5.5976981428197395E-3"/>
    <x v="8"/>
  </r>
  <r>
    <x v="1881"/>
    <n v="195.26"/>
    <x v="1496"/>
    <x v="1521"/>
    <x v="1513"/>
    <n v="144193876"/>
    <n v="-9.416293829986485E-3"/>
    <x v="8"/>
  </r>
  <r>
    <x v="1882"/>
    <n v="191.65"/>
    <x v="1497"/>
    <x v="1522"/>
    <x v="1514"/>
    <n v="116531584"/>
    <n v="7.3525550128670011E-3"/>
    <x v="8"/>
  </r>
  <r>
    <x v="1883"/>
    <n v="194.42"/>
    <x v="1498"/>
    <x v="1523"/>
    <x v="1515"/>
    <n v="120851587"/>
    <n v="-1.3659350398832201E-2"/>
    <x v="8"/>
  </r>
  <r>
    <x v="1884"/>
    <n v="192"/>
    <x v="1499"/>
    <x v="1524"/>
    <x v="1516"/>
    <n v="98654635"/>
    <n v="2.4789893757598169E-2"/>
    <x v="8"/>
  </r>
  <r>
    <x v="1885"/>
    <n v="193.13"/>
    <x v="1500"/>
    <x v="1495"/>
    <x v="1517"/>
    <n v="123660026"/>
    <n v="7.2209614194347314E-3"/>
    <x v="8"/>
  </r>
  <r>
    <x v="1886"/>
    <n v="195.58"/>
    <x v="1501"/>
    <x v="1525"/>
    <x v="1518"/>
    <n v="110252238"/>
    <n v="6.2371978697255255E-2"/>
    <x v="8"/>
  </r>
  <r>
    <x v="1887"/>
    <n v="197.53"/>
    <x v="1053"/>
    <x v="1526"/>
    <x v="1519"/>
    <n v="170222118"/>
    <n v="-6.1168418008290738E-2"/>
    <x v="8"/>
  </r>
  <r>
    <x v="1888"/>
    <n v="199.91"/>
    <x v="1502"/>
    <x v="1527"/>
    <x v="1520"/>
    <n v="169545900"/>
    <n v="-1.1244031421676837E-2"/>
    <x v="8"/>
  </r>
  <r>
    <x v="1889"/>
    <n v="197.32"/>
    <x v="1503"/>
    <x v="1528"/>
    <x v="1521"/>
    <n v="126463845"/>
    <n v="-3.6660089313532047E-2"/>
    <x v="8"/>
  </r>
  <r>
    <x v="1890"/>
    <n v="190.52"/>
    <x v="1504"/>
    <x v="1529"/>
    <x v="1522"/>
    <n v="133882493"/>
    <n v="-2.4795170332040099E-3"/>
    <x v="8"/>
  </r>
  <r>
    <x v="1891"/>
    <n v="183.08"/>
    <x v="1505"/>
    <x v="1530"/>
    <x v="1523"/>
    <n v="123857932"/>
    <n v="-2.9720090781368818E-3"/>
    <x v="8"/>
  </r>
  <r>
    <x v="1892"/>
    <n v="179.94"/>
    <x v="1506"/>
    <x v="1531"/>
    <x v="1524"/>
    <n v="142154637"/>
    <n v="1.2357053818221241E-2"/>
    <x v="8"/>
  </r>
  <r>
    <x v="1893"/>
    <n v="186.69"/>
    <x v="1507"/>
    <x v="1532"/>
    <x v="1525"/>
    <n v="115770892"/>
    <n v="-3.3460035333797315E-2"/>
    <x v="8"/>
  </r>
  <r>
    <x v="1894"/>
    <n v="190.74"/>
    <x v="1508"/>
    <x v="1533"/>
    <x v="1526"/>
    <n v="150256278"/>
    <n v="2.9688711642849308E-2"/>
    <x v="8"/>
  </r>
  <r>
    <x v="1895"/>
    <n v="182.96"/>
    <x v="1485"/>
    <x v="1534"/>
    <x v="1527"/>
    <n v="112932985"/>
    <n v="-4.841312533620256E-3"/>
    <x v="8"/>
  </r>
  <r>
    <x v="1896"/>
    <n v="183.95"/>
    <x v="1509"/>
    <x v="1535"/>
    <x v="1528"/>
    <n v="96438664"/>
    <n v="1.1027027027026985E-2"/>
    <x v="8"/>
  </r>
  <r>
    <x v="1897"/>
    <n v="186.32"/>
    <x v="1510"/>
    <x v="1536"/>
    <x v="1529"/>
    <n v="116662189"/>
    <n v="-1.4595808383233478E-2"/>
    <x v="8"/>
  </r>
  <r>
    <x v="1898"/>
    <n v="187.15"/>
    <x v="1511"/>
    <x v="1537"/>
    <x v="1530"/>
    <n v="92067016"/>
    <n v="-2.0183386685475552E-2"/>
    <x v="8"/>
  </r>
  <r>
    <x v="1899"/>
    <n v="179.1"/>
    <x v="1512"/>
    <x v="1538"/>
    <x v="1531"/>
    <n v="125732687"/>
    <n v="-9.7458331026081146E-2"/>
    <x v="8"/>
  </r>
  <r>
    <x v="1900"/>
    <n v="166.17"/>
    <x v="1513"/>
    <x v="1539"/>
    <x v="1532"/>
    <n v="210970819"/>
    <n v="1.2822872568869275E-2"/>
    <x v="8"/>
  </r>
  <r>
    <x v="1901"/>
    <n v="164.8"/>
    <x v="1514"/>
    <x v="1540"/>
    <x v="1533"/>
    <n v="123538954"/>
    <n v="-1.5325902592682341E-2"/>
    <x v="8"/>
  </r>
  <r>
    <x v="1902"/>
    <n v="164.65"/>
    <x v="1515"/>
    <x v="1541"/>
    <x v="1534"/>
    <n v="140006559"/>
    <n v="-1.1565672100892179E-2"/>
    <x v="8"/>
  </r>
  <r>
    <x v="1903"/>
    <n v="159.82"/>
    <x v="1516"/>
    <x v="1542"/>
    <x v="1535"/>
    <n v="121999312"/>
    <n v="-4.3069645857969678E-2"/>
    <x v="8"/>
  </r>
  <r>
    <x v="1904"/>
    <n v="160.29"/>
    <x v="1517"/>
    <x v="1543"/>
    <x v="1536"/>
    <n v="153364142"/>
    <n v="4.1886178861788602E-2"/>
    <x v="8"/>
  </r>
  <r>
    <x v="1905"/>
    <n v="152.63999999999999"/>
    <x v="1518"/>
    <x v="1544"/>
    <x v="1537"/>
    <n v="127015177"/>
    <n v="2.5719458143454676E-2"/>
    <x v="8"/>
  </r>
  <r>
    <x v="1906"/>
    <n v="160.9"/>
    <x v="1519"/>
    <x v="1545"/>
    <x v="1538"/>
    <n v="122515812"/>
    <n v="-1.5093420972551822E-2"/>
    <x v="8"/>
  </r>
  <r>
    <x v="1907"/>
    <n v="163.16999999999999"/>
    <x v="1520"/>
    <x v="1546"/>
    <x v="1539"/>
    <n v="109015048"/>
    <n v="-9.3925724525737511E-3"/>
    <x v="8"/>
  </r>
  <r>
    <x v="1908"/>
    <n v="161.88"/>
    <x v="1521"/>
    <x v="1547"/>
    <x v="1540"/>
    <n v="128259744"/>
    <n v="1.8713742124634232E-3"/>
    <x v="8"/>
  </r>
  <r>
    <x v="1909"/>
    <n v="160.01"/>
    <x v="1519"/>
    <x v="1548"/>
    <x v="1541"/>
    <n v="119727972"/>
    <n v="3.6734948010707612E-3"/>
    <x v="8"/>
  </r>
  <r>
    <x v="1910"/>
    <n v="162.71"/>
    <x v="1522"/>
    <x v="1549"/>
    <x v="1542"/>
    <n v="95108492"/>
    <n v="5.4962779156327635E-2"/>
    <x v="8"/>
  </r>
  <r>
    <x v="1911"/>
    <n v="163.97"/>
    <x v="1523"/>
    <x v="1550"/>
    <x v="1543"/>
    <n v="107607259"/>
    <n v="1.0172880159943489E-2"/>
    <x v="8"/>
  </r>
  <r>
    <x v="1912"/>
    <n v="173.72"/>
    <x v="1524"/>
    <x v="1551"/>
    <x v="1544"/>
    <n v="112249449"/>
    <n v="-1.536759997671568E-2"/>
    <x v="8"/>
  </r>
  <r>
    <x v="1913"/>
    <n v="168.95"/>
    <x v="1525"/>
    <x v="1552"/>
    <x v="1545"/>
    <n v="88965043"/>
    <n v="-3.6062666272539973E-3"/>
    <x v="8"/>
  </r>
  <r>
    <x v="1914"/>
    <n v="172.55"/>
    <x v="1526"/>
    <x v="1553"/>
    <x v="1546"/>
    <n v="119840693"/>
    <n v="2.1003915984336183E-2"/>
    <x v="8"/>
  </r>
  <r>
    <x v="1915"/>
    <n v="168.7"/>
    <x v="1527"/>
    <x v="1554"/>
    <x v="1547"/>
    <n v="103889930"/>
    <n v="-2.3826127382612868E-2"/>
    <x v="8"/>
  </r>
  <r>
    <x v="1916"/>
    <n v="176.07"/>
    <x v="1528"/>
    <x v="1555"/>
    <x v="1548"/>
    <n v="157849625"/>
    <n v="-9.7035361352541712E-3"/>
    <x v="8"/>
  </r>
  <r>
    <x v="1917"/>
    <n v="167.66"/>
    <x v="1529"/>
    <x v="1556"/>
    <x v="1549"/>
    <n v="105592510"/>
    <n v="1.0219416892095939E-3"/>
    <x v="8"/>
  </r>
  <r>
    <x v="1918"/>
    <n v="165.65"/>
    <x v="1530"/>
    <x v="1557"/>
    <x v="1550"/>
    <n v="98288792"/>
    <n v="4.4078789334614475E-2"/>
    <x v="8"/>
  </r>
  <r>
    <x v="1919"/>
    <n v="168.41"/>
    <x v="1531"/>
    <x v="1558"/>
    <x v="1551"/>
    <n v="125473558"/>
    <n v="1.7427815483722377E-2"/>
    <x v="8"/>
  </r>
  <r>
    <x v="1920"/>
    <n v="174.22"/>
    <x v="1532"/>
    <x v="1559"/>
    <x v="1552"/>
    <n v="109520332"/>
    <n v="1.8373000169596927E-2"/>
    <x v="8"/>
  </r>
  <r>
    <x v="1921"/>
    <n v="177.17"/>
    <x v="1533"/>
    <x v="1560"/>
    <x v="1553"/>
    <n v="136196668"/>
    <n v="4.8462307094482175E-2"/>
    <x v="8"/>
  </r>
  <r>
    <x v="1922"/>
    <n v="180.7"/>
    <x v="1534"/>
    <x v="1561"/>
    <x v="1554"/>
    <n v="132001430"/>
    <n v="-1.6413406046486972E-2"/>
    <x v="8"/>
  </r>
  <r>
    <x v="1923"/>
    <n v="186.2"/>
    <x v="1535"/>
    <x v="1562"/>
    <x v="1555"/>
    <n v="156952130"/>
    <n v="-1.5449211390429049E-2"/>
    <x v="8"/>
  </r>
  <r>
    <x v="1924"/>
    <n v="182.23"/>
    <x v="1536"/>
    <x v="1563"/>
    <x v="1556"/>
    <n v="137605054"/>
    <n v="8.5839256424275184E-3"/>
    <x v="8"/>
  </r>
  <r>
    <x v="1925"/>
    <n v="186.54"/>
    <x v="1537"/>
    <x v="1564"/>
    <x v="1557"/>
    <n v="96870719"/>
    <n v="4.716214018539594E-2"/>
    <x v="8"/>
  </r>
  <r>
    <x v="1926"/>
    <n v="184.62"/>
    <x v="1483"/>
    <x v="1565"/>
    <x v="1558"/>
    <n v="162061496"/>
    <n v="4.1362530413625351E-2"/>
    <x v="8"/>
  </r>
  <r>
    <x v="1927"/>
    <n v="200.1"/>
    <x v="1538"/>
    <x v="1566"/>
    <x v="1559"/>
    <n v="128818746"/>
    <n v="1.3770133227281817E-2"/>
    <x v="8"/>
  </r>
  <r>
    <x v="1928"/>
    <n v="199.78"/>
    <x v="1539"/>
    <x v="1567"/>
    <x v="1560"/>
    <n v="150711736"/>
    <n v="1.7604079831314682E-2"/>
    <x v="8"/>
  </r>
  <r>
    <x v="1929"/>
    <n v="202.59"/>
    <x v="1540"/>
    <x v="1568"/>
    <x v="1561"/>
    <n v="148029931"/>
    <n v="3.108134155744019E-2"/>
    <x v="8"/>
  </r>
  <r>
    <x v="1930"/>
    <n v="210.15"/>
    <x v="1541"/>
    <x v="1569"/>
    <x v="1562"/>
    <n v="164398372"/>
    <n v="1.7011730616441626E-2"/>
    <x v="8"/>
  </r>
  <r>
    <x v="1931"/>
    <n v="217.8"/>
    <x v="1542"/>
    <x v="1570"/>
    <x v="1563"/>
    <n v="151143052"/>
    <n v="1.7002895087541881E-2"/>
    <x v="8"/>
  </r>
  <r>
    <x v="1932"/>
    <n v="216.14"/>
    <x v="1543"/>
    <x v="1571"/>
    <x v="1564"/>
    <n v="146911576"/>
    <n v="1.4730468573494153E-2"/>
    <x v="8"/>
  </r>
  <r>
    <x v="1933"/>
    <n v="228"/>
    <x v="1544"/>
    <x v="1572"/>
    <x v="1565"/>
    <n v="185710777"/>
    <n v="4.5820902168588952E-2"/>
    <x v="8"/>
  </r>
  <r>
    <x v="1934"/>
    <n v="224.22"/>
    <x v="1545"/>
    <x v="1573"/>
    <x v="1566"/>
    <n v="164489739"/>
    <n v="4.0619943796304146E-2"/>
    <x v="8"/>
  </r>
  <r>
    <x v="1935"/>
    <n v="249.07"/>
    <x v="1546"/>
    <x v="1574"/>
    <x v="1567"/>
    <n v="200242371"/>
    <n v="2.2217675941080223E-2"/>
    <x v="8"/>
  </r>
  <r>
    <x v="1936"/>
    <n v="247.94"/>
    <x v="1547"/>
    <x v="1575"/>
    <x v="1568"/>
    <n v="150740523"/>
    <n v="3.5544170035624094E-2"/>
    <x v="8"/>
  </r>
  <r>
    <x v="1937"/>
    <n v="253.51"/>
    <x v="1548"/>
    <x v="1576"/>
    <x v="1569"/>
    <n v="162384343"/>
    <n v="-7.4214371303774852E-3"/>
    <x v="8"/>
  </r>
  <r>
    <x v="1938"/>
    <n v="260.17"/>
    <x v="1549"/>
    <x v="1577"/>
    <x v="1570"/>
    <n v="170575536"/>
    <n v="-3.4658670508976781E-3"/>
    <x v="8"/>
  </r>
  <r>
    <x v="1939"/>
    <n v="248.4"/>
    <x v="1550"/>
    <x v="1578"/>
    <x v="1571"/>
    <n v="160171238"/>
    <n v="1.8132082844861331E-2"/>
    <x v="8"/>
  </r>
  <r>
    <x v="1940"/>
    <n v="258.92"/>
    <x v="1551"/>
    <x v="1579"/>
    <x v="1572"/>
    <n v="167915649"/>
    <n v="5.3389114915176047E-2"/>
    <x v="8"/>
  </r>
  <r>
    <x v="1941"/>
    <n v="261.5"/>
    <x v="1552"/>
    <x v="1580"/>
    <x v="1573"/>
    <n v="165611217"/>
    <n v="-5.4618327564219381E-2"/>
    <x v="8"/>
  </r>
  <r>
    <x v="1942"/>
    <n v="275.13"/>
    <x v="1553"/>
    <x v="1581"/>
    <x v="1574"/>
    <n v="211797109"/>
    <n v="1.984891698142309E-2"/>
    <x v="8"/>
  </r>
  <r>
    <x v="1943"/>
    <n v="250.77"/>
    <x v="1554"/>
    <x v="1582"/>
    <x v="1575"/>
    <n v="166875944"/>
    <n v="-3.0270964816144479E-2"/>
    <x v="8"/>
  </r>
  <r>
    <x v="1944"/>
    <n v="259.29000000000002"/>
    <x v="1288"/>
    <x v="1583"/>
    <x v="1576"/>
    <n v="177460803"/>
    <n v="-6.0600155884645401E-2"/>
    <x v="8"/>
  </r>
  <r>
    <x v="1945"/>
    <n v="250.07"/>
    <x v="1555"/>
    <x v="1584"/>
    <x v="1577"/>
    <n v="179990552"/>
    <n v="3.8000414851690506E-2"/>
    <x v="8"/>
  </r>
  <r>
    <x v="1946"/>
    <n v="243.24"/>
    <x v="1556"/>
    <x v="1585"/>
    <x v="1578"/>
    <n v="164968214"/>
    <n v="2.4099756204787982E-2"/>
    <x v="8"/>
  </r>
  <r>
    <x v="1947"/>
    <n v="249.7"/>
    <x v="1557"/>
    <x v="1586"/>
    <x v="1579"/>
    <n v="159770797"/>
    <n v="4.9172650640024618E-3"/>
    <x v="8"/>
  </r>
  <r>
    <x v="1948"/>
    <n v="258.02999999999997"/>
    <x v="1558"/>
    <x v="1587"/>
    <x v="1580"/>
    <n v="131283360"/>
    <n v="1.658252427184459E-2"/>
    <x v="8"/>
  </r>
  <r>
    <x v="1949"/>
    <n v="260.60000000000002"/>
    <x v="1559"/>
    <x v="1588"/>
    <x v="1581"/>
    <n v="112620784"/>
    <n v="6.8953661611338243E-2"/>
    <x v="8"/>
  </r>
  <r>
    <x v="1950"/>
    <n v="276.49"/>
    <x v="1560"/>
    <x v="1589"/>
    <x v="1582"/>
    <n v="119685891"/>
    <n v="9.5061110714031345E-3"/>
    <x v="8"/>
  </r>
  <r>
    <x v="1951"/>
    <n v="278.82"/>
    <x v="1561"/>
    <x v="1590"/>
    <x v="1583"/>
    <n v="131530862"/>
    <n v="-2.1028037383177562E-2"/>
    <x v="8"/>
  </r>
  <r>
    <x v="1952"/>
    <n v="278.08999999999997"/>
    <x v="1562"/>
    <x v="1591"/>
    <x v="1584"/>
    <n v="120707419"/>
    <n v="-7.6299992767773685E-3"/>
    <x v="8"/>
  </r>
  <r>
    <x v="1953"/>
    <n v="278.43"/>
    <x v="1563"/>
    <x v="1592"/>
    <x v="1585"/>
    <n v="113879174"/>
    <n v="-1.7563677440513039E-2"/>
    <x v="8"/>
  </r>
  <r>
    <x v="1954"/>
    <n v="276.47000000000003"/>
    <x v="1564"/>
    <x v="1593"/>
    <x v="1586"/>
    <n v="119425405"/>
    <n v="6.6763102258820823E-4"/>
    <x v="8"/>
  </r>
  <r>
    <x v="1955"/>
    <n v="268.64999999999998"/>
    <x v="1565"/>
    <x v="1594"/>
    <x v="1587"/>
    <n v="91972358"/>
    <n v="8.1544905296711823E-3"/>
    <x v="8"/>
  </r>
  <r>
    <x v="1956"/>
    <n v="276.33"/>
    <x v="1566"/>
    <x v="1595"/>
    <x v="1588"/>
    <n v="95672139"/>
    <n v="2.1728740027206764E-2"/>
    <x v="8"/>
  </r>
  <r>
    <x v="1957"/>
    <n v="274.58999999999997"/>
    <x v="1567"/>
    <x v="1596"/>
    <x v="1589"/>
    <n v="112681458"/>
    <n v="1.2522490104354151E-2"/>
    <x v="8"/>
  </r>
  <r>
    <x v="1958"/>
    <n v="277.01"/>
    <x v="1568"/>
    <x v="1597"/>
    <x v="1590"/>
    <n v="120062369"/>
    <n v="3.1985215722510486E-2"/>
    <x v="8"/>
  </r>
  <r>
    <x v="1959"/>
    <n v="286.63"/>
    <x v="1569"/>
    <x v="1249"/>
    <x v="1591"/>
    <n v="131569593"/>
    <n v="1.0193539499965492E-2"/>
    <x v="8"/>
  </r>
  <r>
    <x v="1960"/>
    <n v="290.14999999999998"/>
    <x v="1570"/>
    <x v="1598"/>
    <x v="977"/>
    <n v="112434713"/>
    <n v="-7.0907479375468202E-3"/>
    <x v="8"/>
  </r>
  <r>
    <x v="1961"/>
    <n v="296.04000000000002"/>
    <x v="1571"/>
    <x v="1599"/>
    <x v="1592"/>
    <n v="142355353"/>
    <n v="-9.7370047380347505E-2"/>
    <x v="8"/>
  </r>
  <r>
    <x v="1962"/>
    <n v="279.56"/>
    <x v="1572"/>
    <x v="1600"/>
    <x v="1593"/>
    <n v="175158273"/>
    <n v="-1.0954735640928094E-2"/>
    <x v="8"/>
  </r>
  <r>
    <x v="1963"/>
    <n v="268"/>
    <x v="1573"/>
    <x v="1601"/>
    <x v="1594"/>
    <n v="161796073"/>
    <n v="3.4766556418737105E-2"/>
    <x v="8"/>
  </r>
  <r>
    <x v="1964"/>
    <n v="255.85"/>
    <x v="1574"/>
    <x v="1602"/>
    <x v="1595"/>
    <n v="137005037"/>
    <n v="-1.4048911023563627E-2"/>
    <x v="8"/>
  </r>
  <r>
    <x v="1965"/>
    <n v="272.38"/>
    <x v="1575"/>
    <x v="1603"/>
    <x v="1596"/>
    <n v="112757327"/>
    <n v="-3.5057297949334667E-3"/>
    <x v="8"/>
  </r>
  <r>
    <x v="1966"/>
    <n v="263.25"/>
    <x v="1576"/>
    <x v="1604"/>
    <x v="1597"/>
    <n v="95856177"/>
    <n v="-3.2683941743900186E-2"/>
    <x v="8"/>
  </r>
  <r>
    <x v="1967"/>
    <n v="268.31"/>
    <x v="1577"/>
    <x v="1605"/>
    <x v="1598"/>
    <n v="103697263"/>
    <n v="4.1961597121739427E-2"/>
    <x v="8"/>
  </r>
  <r>
    <x v="1968"/>
    <n v="259.86"/>
    <x v="1578"/>
    <x v="1606"/>
    <x v="1599"/>
    <n v="111446026"/>
    <n v="3.715658309563163E-3"/>
    <x v="8"/>
  </r>
  <r>
    <x v="1969"/>
    <n v="267.48"/>
    <x v="1579"/>
    <x v="1607"/>
    <x v="1600"/>
    <n v="84582172"/>
    <n v="-2.3781924241857731E-2"/>
    <x v="8"/>
  </r>
  <r>
    <x v="1970"/>
    <n v="266.26"/>
    <x v="1580"/>
    <x v="1608"/>
    <x v="1601"/>
    <n v="83645720"/>
    <n v="-2.6659516604741945E-2"/>
    <x v="8"/>
  </r>
  <r>
    <x v="1971"/>
    <n v="255.57"/>
    <x v="1581"/>
    <x v="1609"/>
    <x v="1040"/>
    <n v="101752865"/>
    <n v="2.0502931801188382E-2"/>
    <x v="8"/>
  </r>
  <r>
    <x v="1972"/>
    <n v="252.04"/>
    <x v="1582"/>
    <x v="1610"/>
    <x v="1602"/>
    <n v="97829545"/>
    <n v="-2.1055067098565399E-2"/>
    <x v="8"/>
  </r>
  <r>
    <x v="1973"/>
    <n v="260.97000000000003"/>
    <x v="1583"/>
    <x v="1611"/>
    <x v="1603"/>
    <n v="99539907"/>
    <n v="-9.4934215709447135E-3"/>
    <x v="8"/>
  </r>
  <r>
    <x v="1974"/>
    <n v="251.45"/>
    <x v="1584"/>
    <x v="1612"/>
    <x v="1604"/>
    <n v="111097943"/>
    <n v="-6.9596341220918671E-3"/>
    <x v="8"/>
  </r>
  <r>
    <x v="1975"/>
    <n v="247.45"/>
    <x v="1585"/>
    <x v="1613"/>
    <x v="1605"/>
    <n v="96642183"/>
    <n v="-3.0076091309571451E-2"/>
    <x v="8"/>
  </r>
  <r>
    <x v="1976"/>
    <n v="250.87"/>
    <x v="1586"/>
    <x v="1614"/>
    <x v="1606"/>
    <n v="101596324"/>
    <n v="1.3006317354143464E-2"/>
    <x v="8"/>
  </r>
  <r>
    <x v="1977"/>
    <n v="245.4"/>
    <x v="1587"/>
    <x v="1615"/>
    <x v="1607"/>
    <n v="109498608"/>
    <n v="-1.0964375968044338E-2"/>
    <x v="8"/>
  </r>
  <r>
    <x v="1978"/>
    <n v="241.77"/>
    <x v="1588"/>
    <x v="1616"/>
    <x v="1608"/>
    <n v="99038642"/>
    <n v="-1.1910158664743518E-2"/>
    <x v="8"/>
  </r>
  <r>
    <x v="1979"/>
    <n v="235.7"/>
    <x v="1589"/>
    <x v="1617"/>
    <x v="1609"/>
    <n v="98595331"/>
    <n v="-2.8361695028361625E-2"/>
    <x v="8"/>
  </r>
  <r>
    <x v="1980"/>
    <n v="238.73"/>
    <x v="1590"/>
    <x v="1618"/>
    <x v="1610"/>
    <n v="88197599"/>
    <n v="-3.1593406593406648E-2"/>
    <x v="8"/>
  </r>
  <r>
    <x v="1981"/>
    <n v="228.02"/>
    <x v="1591"/>
    <x v="1619"/>
    <x v="1611"/>
    <n v="112484520"/>
    <n v="-2.8280141843971613E-2"/>
    <x v="8"/>
  </r>
  <r>
    <x v="1982"/>
    <n v="226.06"/>
    <x v="1592"/>
    <x v="1620"/>
    <x v="1612"/>
    <n v="120718417"/>
    <n v="-1.7014870905939193E-2"/>
    <x v="8"/>
  </r>
  <r>
    <x v="1983"/>
    <n v="214.12"/>
    <x v="1593"/>
    <x v="1621"/>
    <x v="1613"/>
    <n v="136276584"/>
    <n v="7.3274861942549493E-2"/>
    <x v="8"/>
  </r>
  <r>
    <x v="1984"/>
    <n v="221.55"/>
    <x v="1594"/>
    <x v="1622"/>
    <x v="1614"/>
    <n v="135702671"/>
    <n v="8.2583881010030984E-3"/>
    <x v="8"/>
  </r>
  <r>
    <x v="1985"/>
    <n v="240.25"/>
    <x v="1595"/>
    <x v="1623"/>
    <x v="1615"/>
    <n v="130597886"/>
    <n v="1.5738239204082575E-2"/>
    <x v="8"/>
  </r>
  <r>
    <x v="1986"/>
    <n v="229.34"/>
    <x v="1596"/>
    <x v="1624"/>
    <x v="1616"/>
    <n v="101077635"/>
    <n v="-2.8793380055729213E-2"/>
    <x v="8"/>
  </r>
  <r>
    <x v="1987"/>
    <n v="238.66"/>
    <x v="1597"/>
    <x v="1625"/>
    <x v="1617"/>
    <n v="99777432"/>
    <n v="3.7167449139280176E-2"/>
    <x v="8"/>
  </r>
  <r>
    <x v="1988"/>
    <n v="231.31"/>
    <x v="1598"/>
    <x v="1626"/>
    <x v="1618"/>
    <n v="106612231"/>
    <n v="9.6399681461917838E-4"/>
    <x v="8"/>
  </r>
  <r>
    <x v="1989"/>
    <n v="242.58"/>
    <x v="1599"/>
    <x v="1407"/>
    <x v="1619"/>
    <n v="107673727"/>
    <n v="7.6877983418474224E-2"/>
    <x v="8"/>
  </r>
  <r>
    <x v="1990"/>
    <n v="238.58"/>
    <x v="1600"/>
    <x v="1627"/>
    <x v="1620"/>
    <n v="134047603"/>
    <n v="-1.0887316276538982E-3"/>
    <x v="8"/>
  </r>
  <r>
    <x v="1991"/>
    <n v="254.2"/>
    <x v="1601"/>
    <x v="1628"/>
    <x v="1621"/>
    <n v="121988437"/>
    <n v="4.5932269365512139E-3"/>
    <x v="8"/>
  </r>
  <r>
    <x v="1992"/>
    <n v="255.98"/>
    <x v="1602"/>
    <x v="1629"/>
    <x v="1622"/>
    <n v="108861698"/>
    <n v="-5.0643211407315536E-2"/>
    <x v="8"/>
  </r>
  <r>
    <x v="1993"/>
    <n v="257.26"/>
    <x v="1603"/>
    <x v="1405"/>
    <x v="1623"/>
    <n v="132541640"/>
    <n v="4.6855230398759308E-2"/>
    <x v="8"/>
  </r>
  <r>
    <x v="1994"/>
    <n v="245"/>
    <x v="953"/>
    <x v="1630"/>
    <x v="1624"/>
    <n v="129469565"/>
    <n v="-1.7817458770322512E-2"/>
    <x v="8"/>
  </r>
  <r>
    <x v="1995"/>
    <n v="255.14"/>
    <x v="1604"/>
    <x v="1631"/>
    <x v="1625"/>
    <n v="116959759"/>
    <n v="-1.7068910765321468E-3"/>
    <x v="8"/>
  </r>
  <r>
    <x v="1996"/>
    <n v="245.07"/>
    <x v="1605"/>
    <x v="1632"/>
    <x v="1626"/>
    <n v="115312886"/>
    <n v="-1.1889140721301081E-2"/>
    <x v="8"/>
  </r>
  <r>
    <x v="1997"/>
    <n v="251.22"/>
    <x v="1606"/>
    <x v="1633"/>
    <x v="1627"/>
    <n v="118559635"/>
    <n v="0.10092555331991945"/>
    <x v="8"/>
  </r>
  <r>
    <x v="1998"/>
    <n v="264.27"/>
    <x v="1607"/>
    <x v="1634"/>
    <x v="1628"/>
    <n v="174667852"/>
    <n v="-2.2296951531544582E-2"/>
    <x v="8"/>
  </r>
  <r>
    <x v="1999"/>
    <n v="270.76"/>
    <x v="1608"/>
    <x v="1635"/>
    <x v="1629"/>
    <n v="135999866"/>
    <n v="1.4281441603110486E-2"/>
    <x v="8"/>
  </r>
  <r>
    <x v="2000"/>
    <n v="270.07"/>
    <x v="1609"/>
    <x v="1636"/>
    <x v="1630"/>
    <n v="111673737"/>
    <n v="1.7471433837080757E-2"/>
    <x v="8"/>
  </r>
  <r>
    <x v="2001"/>
    <n v="271.32"/>
    <x v="1610"/>
    <x v="1637"/>
    <x v="1631"/>
    <n v="107709842"/>
    <n v="-5.9773945804957032E-3"/>
    <x v="8"/>
  </r>
  <r>
    <x v="2002"/>
    <n v="277.55"/>
    <x v="1611"/>
    <x v="1638"/>
    <x v="1632"/>
    <n v="133692313"/>
    <n v="-3.3200918400816411E-2"/>
    <x v="8"/>
  </r>
  <r>
    <x v="2003"/>
    <n v="271.16000000000003"/>
    <x v="1612"/>
    <x v="1639"/>
    <x v="1596"/>
    <n v="101543305"/>
    <n v="4.5989143546442532E-3"/>
    <x v="8"/>
  </r>
  <r>
    <x v="2004"/>
    <n v="264.35000000000002"/>
    <x v="1613"/>
    <x v="1600"/>
    <x v="1633"/>
    <n v="103704040"/>
    <n v="-1.4671669793621106E-2"/>
    <x v="8"/>
  </r>
  <r>
    <x v="2005"/>
    <n v="267.04000000000002"/>
    <x v="1614"/>
    <x v="1640"/>
    <x v="1634"/>
    <n v="122514643"/>
    <n v="-2.6238622948322431E-2"/>
    <x v="8"/>
  </r>
  <r>
    <x v="2006"/>
    <n v="257.85000000000002"/>
    <x v="1615"/>
    <x v="1641"/>
    <x v="1635"/>
    <n v="119951516"/>
    <n v="-4.2315213140398877E-2"/>
    <x v="8"/>
  </r>
  <r>
    <x v="2007"/>
    <n v="257.39999999999998"/>
    <x v="1616"/>
    <x v="1642"/>
    <x v="1636"/>
    <n v="127524083"/>
    <n v="8.6164652074486019E-3"/>
    <x v="8"/>
  </r>
  <r>
    <x v="2008"/>
    <n v="243.38"/>
    <x v="1617"/>
    <x v="1643"/>
    <x v="1637"/>
    <n v="104636557"/>
    <n v="-1.1619903639823492E-2"/>
    <x v="8"/>
  </r>
  <r>
    <x v="2009"/>
    <n v="242.98"/>
    <x v="1618"/>
    <x v="1644"/>
    <x v="1638"/>
    <n v="101993631"/>
    <n v="-1.4828772734720648E-2"/>
    <x v="8"/>
  </r>
  <r>
    <x v="2010"/>
    <n v="244.26"/>
    <x v="1619"/>
    <x v="1645"/>
    <x v="1639"/>
    <n v="136597184"/>
    <n v="2.4449064449064431E-2"/>
    <x v="8"/>
  </r>
  <r>
    <x v="2011"/>
    <n v="240.02"/>
    <x v="1620"/>
    <x v="1646"/>
    <x v="1640"/>
    <n v="117058870"/>
    <n v="1.5585680655897409E-2"/>
    <x v="8"/>
  </r>
  <r>
    <x v="2012"/>
    <n v="250"/>
    <x v="1621"/>
    <x v="1647"/>
    <x v="1641"/>
    <n v="128522729"/>
    <n v="5.5151466709295639E-3"/>
    <x v="8"/>
  </r>
  <r>
    <x v="2013"/>
    <n v="244.81"/>
    <x v="1622"/>
    <x v="1648"/>
    <x v="1642"/>
    <n v="123810402"/>
    <n v="-2.0151033386327476E-2"/>
    <x v="8"/>
  </r>
  <r>
    <x v="2014"/>
    <n v="248.61"/>
    <x v="1623"/>
    <x v="1649"/>
    <x v="1643"/>
    <n v="101985305"/>
    <n v="5.9343690423072339E-2"/>
    <x v="8"/>
  </r>
  <r>
    <x v="2015"/>
    <n v="248.14"/>
    <x v="1624"/>
    <x v="1650"/>
    <x v="1644"/>
    <n v="129721567"/>
    <n v="-4.2502680349211733E-3"/>
    <x v="8"/>
  </r>
  <r>
    <x v="2016"/>
    <n v="260"/>
    <x v="1551"/>
    <x v="1651"/>
    <x v="1645"/>
    <n v="119159214"/>
    <n v="1.8457988848296918E-3"/>
    <x v="8"/>
  </r>
  <r>
    <x v="2017"/>
    <n v="253.98"/>
    <x v="1625"/>
    <x v="1652"/>
    <x v="1646"/>
    <n v="118121812"/>
    <n v="-3.3009634207191376E-3"/>
    <x v="8"/>
  </r>
  <r>
    <x v="2018"/>
    <n v="255.31"/>
    <x v="1626"/>
    <x v="1653"/>
    <x v="1647"/>
    <n v="101377947"/>
    <n v="1.5211614741787609E-2"/>
    <x v="8"/>
  </r>
  <r>
    <x v="2019"/>
    <n v="257.75"/>
    <x v="1627"/>
    <x v="1654"/>
    <x v="1648"/>
    <n v="122656030"/>
    <n v="-2.3898035050451236E-3"/>
    <x v="8"/>
  </r>
  <r>
    <x v="2020"/>
    <n v="266.2"/>
    <x v="1628"/>
    <x v="1655"/>
    <x v="1649"/>
    <n v="103706266"/>
    <n v="-1.5665994904749247E-2"/>
    <x v="8"/>
  </r>
  <r>
    <x v="2021"/>
    <n v="262.92"/>
    <x v="1629"/>
    <x v="1656"/>
    <x v="1650"/>
    <n v="111508114"/>
    <n v="-2.9937806621083942E-2"/>
    <x v="8"/>
  </r>
  <r>
    <x v="2022"/>
    <n v="258.89999999999998"/>
    <x v="1298"/>
    <x v="1657"/>
    <x v="1651"/>
    <n v="102296786"/>
    <n v="1.1150047785919014E-2"/>
    <x v="8"/>
  </r>
  <r>
    <x v="2023"/>
    <n v="250.05"/>
    <x v="1630"/>
    <x v="1658"/>
    <x v="1652"/>
    <n v="88917176"/>
    <n v="3.6625708884688362E-3"/>
    <x v="8"/>
  </r>
  <r>
    <x v="2024"/>
    <n v="250.1"/>
    <x v="1631"/>
    <x v="1659"/>
    <x v="1653"/>
    <n v="93562909"/>
    <n v="-4.7753580537571075E-2"/>
    <x v="8"/>
  </r>
  <r>
    <x v="2025"/>
    <n v="252.7"/>
    <x v="1632"/>
    <x v="1660"/>
    <x v="1654"/>
    <n v="125147846"/>
    <n v="-9.3003131696060629E-2"/>
    <x v="8"/>
  </r>
  <r>
    <x v="2026"/>
    <n v="225.95"/>
    <x v="1633"/>
    <x v="1661"/>
    <x v="1655"/>
    <n v="170772713"/>
    <n v="-3.6890645586297781E-2"/>
    <x v="8"/>
  </r>
  <r>
    <x v="2027"/>
    <n v="217.01"/>
    <x v="1634"/>
    <x v="1662"/>
    <x v="1656"/>
    <n v="138010095"/>
    <n v="4.2454832775132512E-4"/>
    <x v="8"/>
  </r>
  <r>
    <x v="2028"/>
    <n v="210"/>
    <x v="1635"/>
    <x v="1663"/>
    <x v="1657"/>
    <n v="150683368"/>
    <n v="2.0935496039230467E-2"/>
    <x v="8"/>
  </r>
  <r>
    <x v="2029"/>
    <n v="216.5"/>
    <x v="1083"/>
    <x v="1664"/>
    <x v="1658"/>
    <n v="118231113"/>
    <n v="-1.8935895067430365E-2"/>
    <x v="8"/>
  </r>
  <r>
    <x v="2030"/>
    <n v="215.88"/>
    <x v="1636"/>
    <x v="1665"/>
    <x v="1659"/>
    <n v="107065087"/>
    <n v="-3.1352979945391192E-2"/>
    <x v="8"/>
  </r>
  <r>
    <x v="2031"/>
    <n v="211.32"/>
    <x v="1637"/>
    <x v="1666"/>
    <x v="1660"/>
    <n v="115112635"/>
    <n v="7.484447900466663E-3"/>
    <x v="8"/>
  </r>
  <r>
    <x v="2032"/>
    <n v="210.6"/>
    <x v="1638"/>
    <x v="1667"/>
    <x v="1661"/>
    <n v="94881173"/>
    <n v="-4.7949831162566313E-2"/>
    <x v="8"/>
  </r>
  <r>
    <x v="2033"/>
    <n v="209.28"/>
    <x v="1639"/>
    <x v="1668"/>
    <x v="1662"/>
    <n v="136448167"/>
    <n v="1.7632752330766058E-2"/>
    <x v="8"/>
  </r>
  <r>
    <x v="2034"/>
    <n v="196.12"/>
    <x v="1640"/>
    <x v="1669"/>
    <x v="1663"/>
    <n v="118068273"/>
    <n v="2.3999203345946987E-2"/>
    <x v="8"/>
  </r>
  <r>
    <x v="2035"/>
    <n v="204.04"/>
    <x v="1641"/>
    <x v="1670"/>
    <x v="1664"/>
    <n v="121661656"/>
    <n v="6.2481766021589003E-2"/>
    <x v="8"/>
  </r>
  <r>
    <x v="2036"/>
    <n v="212.97"/>
    <x v="1642"/>
    <x v="1671"/>
    <x v="1665"/>
    <n v="125987621"/>
    <n v="6.6358519060913329E-3"/>
    <x v="8"/>
  </r>
  <r>
    <x v="2037"/>
    <n v="221.15"/>
    <x v="1643"/>
    <x v="1672"/>
    <x v="1666"/>
    <n v="119534790"/>
    <n v="-3.1369339879978074E-3"/>
    <x v="8"/>
  </r>
  <r>
    <x v="2038"/>
    <n v="223.98"/>
    <x v="1644"/>
    <x v="1410"/>
    <x v="1667"/>
    <n v="117335820"/>
    <n v="1.3271309344643574E-2"/>
    <x v="8"/>
  </r>
  <r>
    <x v="2039"/>
    <n v="219.98"/>
    <x v="1645"/>
    <x v="1673"/>
    <x v="1668"/>
    <n v="116900130"/>
    <n v="-3.1505986137363027E-4"/>
    <x v="8"/>
  </r>
  <r>
    <x v="2040"/>
    <n v="223.15"/>
    <x v="1646"/>
    <x v="1674"/>
    <x v="1669"/>
    <n v="106584841"/>
    <n v="-5.4612579352573153E-2"/>
    <x v="8"/>
  </r>
  <r>
    <x v="2041"/>
    <n v="219.75"/>
    <x v="1086"/>
    <x v="1675"/>
    <x v="1670"/>
    <n v="142110454"/>
    <n v="2.2240213353652807E-2"/>
    <x v="8"/>
  </r>
  <r>
    <x v="2042"/>
    <n v="210.03"/>
    <x v="1647"/>
    <x v="1676"/>
    <x v="1671"/>
    <n v="131310128"/>
    <n v="4.22082459818309E-2"/>
    <x v="8"/>
  </r>
  <r>
    <x v="2043"/>
    <n v="215.6"/>
    <x v="1648"/>
    <x v="1677"/>
    <x v="1672"/>
    <n v="140447569"/>
    <n v="6.1239998211970799E-2"/>
    <x v="8"/>
  </r>
  <r>
    <x v="2044"/>
    <n v="235.03"/>
    <x v="1649"/>
    <x v="1678"/>
    <x v="1673"/>
    <n v="149771642"/>
    <n v="2.2871825112674306E-2"/>
    <x v="8"/>
  </r>
  <r>
    <x v="2045"/>
    <n v="239.29"/>
    <x v="1650"/>
    <x v="1679"/>
    <x v="1674"/>
    <n v="150353975"/>
    <n v="-3.8090924065228134E-2"/>
    <x v="8"/>
  </r>
  <r>
    <x v="2046"/>
    <n v="239.49"/>
    <x v="1096"/>
    <x v="1680"/>
    <x v="1675"/>
    <n v="136816819"/>
    <n v="3.039513677811584E-3"/>
    <x v="8"/>
  </r>
  <r>
    <x v="2047"/>
    <n v="232"/>
    <x v="1651"/>
    <x v="1681"/>
    <x v="1676"/>
    <n v="142766234"/>
    <n v="5.5484421681604047E-3"/>
    <x v="8"/>
  </r>
  <r>
    <x v="2048"/>
    <n v="234.04"/>
    <x v="1652"/>
    <x v="1682"/>
    <x v="1677"/>
    <n v="116562402"/>
    <n v="2.3769100169779265E-2"/>
    <x v="8"/>
  </r>
  <r>
    <x v="2049"/>
    <n v="235.04"/>
    <x v="1329"/>
    <x v="1683"/>
    <x v="1678"/>
    <n v="122288000"/>
    <n v="-2.8980099502487484E-2"/>
    <x v="8"/>
  </r>
  <r>
    <x v="2050"/>
    <n v="242.04"/>
    <x v="1653"/>
    <x v="1684"/>
    <x v="1679"/>
    <n v="118117078"/>
    <n v="5.2943939199862544E-3"/>
    <x v="8"/>
  </r>
  <r>
    <x v="2051"/>
    <n v="233.75"/>
    <x v="1654"/>
    <x v="1685"/>
    <x v="1680"/>
    <n v="65125203"/>
    <n v="2.6757273306435504E-3"/>
    <x v="8"/>
  </r>
  <r>
    <x v="2052"/>
    <n v="236.89"/>
    <x v="1114"/>
    <x v="1686"/>
    <x v="1681"/>
    <n v="112031763"/>
    <n v="4.5069467976956906E-2"/>
    <x v="8"/>
  </r>
  <r>
    <x v="2053"/>
    <n v="236.68"/>
    <x v="1655"/>
    <x v="1687"/>
    <x v="1682"/>
    <n v="148549913"/>
    <n v="-1.0457198443579818E-2"/>
    <x v="8"/>
  </r>
  <r>
    <x v="2054"/>
    <n v="249.21"/>
    <x v="1656"/>
    <x v="1612"/>
    <x v="1683"/>
    <n v="135401335"/>
    <n v="-1.6629802572294478E-2"/>
    <x v="8"/>
  </r>
  <r>
    <x v="2055"/>
    <n v="245.14"/>
    <x v="1657"/>
    <x v="1688"/>
    <x v="1684"/>
    <n v="132353196"/>
    <n v="-5.2065978007330887E-3"/>
    <x v="8"/>
  </r>
  <r>
    <x v="2056"/>
    <n v="233.14"/>
    <x v="1658"/>
    <x v="1689"/>
    <x v="1685"/>
    <n v="121331709"/>
    <n v="-1.3608005694426998E-2"/>
    <x v="8"/>
  </r>
  <r>
    <x v="2057"/>
    <n v="235.75"/>
    <x v="1659"/>
    <x v="1690"/>
    <x v="1686"/>
    <n v="104099817"/>
    <n v="1.3328805501315842E-2"/>
    <x v="8"/>
  </r>
  <r>
    <x v="2058"/>
    <n v="233.87"/>
    <x v="1660"/>
    <x v="1691"/>
    <x v="1687"/>
    <n v="137971115"/>
    <n v="2.7228552278820615E-3"/>
    <x v="8"/>
  </r>
  <r>
    <x v="2059"/>
    <n v="242.92"/>
    <x v="1661"/>
    <x v="1692"/>
    <x v="1688"/>
    <n v="126436179"/>
    <n v="1.3660859756861685E-2"/>
    <x v="8"/>
  </r>
  <r>
    <x v="2060"/>
    <n v="241.55"/>
    <x v="1662"/>
    <x v="1354"/>
    <x v="1689"/>
    <n v="107142262"/>
    <n v="4.9455984174085772E-3"/>
    <x v="8"/>
  </r>
  <r>
    <x v="2061"/>
    <n v="240.27"/>
    <x v="1663"/>
    <x v="1693"/>
    <x v="1690"/>
    <n v="103126829"/>
    <n v="-1.6814304461942233E-2"/>
    <x v="8"/>
  </r>
  <r>
    <x v="2062"/>
    <n v="242.74"/>
    <x v="1664"/>
    <x v="1694"/>
    <x v="1691"/>
    <n v="97913888"/>
    <n v="-1.1387336280971128E-2"/>
    <x v="8"/>
  </r>
  <r>
    <x v="2063"/>
    <n v="238.55"/>
    <x v="1112"/>
    <x v="1695"/>
    <x v="1692"/>
    <n v="95328313"/>
    <n v="9.6198472638285362E-3"/>
    <x v="8"/>
  </r>
  <r>
    <x v="2064"/>
    <n v="234.19"/>
    <x v="1665"/>
    <x v="1696"/>
    <x v="1693"/>
    <n v="146286348"/>
    <n v="4.9145388440804127E-2"/>
    <x v="8"/>
  </r>
  <r>
    <x v="2065"/>
    <n v="241.22"/>
    <x v="1666"/>
    <x v="1697"/>
    <x v="1694"/>
    <n v="160829239"/>
    <n v="9.7590121489742627E-3"/>
    <x v="8"/>
  </r>
  <r>
    <x v="2066"/>
    <n v="251.21"/>
    <x v="1667"/>
    <x v="1698"/>
    <x v="1695"/>
    <n v="135932762"/>
    <n v="-5.6015779092701678E-3"/>
    <x v="8"/>
  </r>
  <r>
    <x v="2067"/>
    <n v="253.78"/>
    <x v="1668"/>
    <x v="1699"/>
    <x v="1696"/>
    <n v="116416490"/>
    <n v="2.0390352269120973E-2"/>
    <x v="8"/>
  </r>
  <r>
    <x v="2068"/>
    <n v="253.48"/>
    <x v="1669"/>
    <x v="1700"/>
    <x v="1697"/>
    <n v="106737369"/>
    <n v="-3.9188243526942071E-2"/>
    <x v="8"/>
  </r>
  <r>
    <x v="2069"/>
    <n v="256.41000000000003"/>
    <x v="1670"/>
    <x v="1701"/>
    <x v="1698"/>
    <n v="125096987"/>
    <n v="2.978069110625562E-2"/>
    <x v="8"/>
  </r>
  <r>
    <x v="2070"/>
    <n v="251.9"/>
    <x v="1671"/>
    <x v="1702"/>
    <x v="1699"/>
    <n v="109594227"/>
    <n v="-7.7013752455795991E-3"/>
    <x v="8"/>
  </r>
  <r>
    <x v="2071"/>
    <n v="256.76"/>
    <x v="1672"/>
    <x v="1703"/>
    <x v="1700"/>
    <n v="93370094"/>
    <n v="1.6116258810485555E-2"/>
    <x v="8"/>
  </r>
  <r>
    <x v="2072"/>
    <n v="254.49"/>
    <x v="1673"/>
    <x v="1704"/>
    <x v="1701"/>
    <n v="86892382"/>
    <n v="1.8822337399165986E-2"/>
    <x v="8"/>
  </r>
  <r>
    <x v="2073"/>
    <n v="258.35000000000002"/>
    <x v="1674"/>
    <x v="1705"/>
    <x v="1702"/>
    <n v="106494359"/>
    <n v="-3.1594247246022E-2"/>
    <x v="8"/>
  </r>
  <r>
    <x v="2074"/>
    <n v="263.66000000000003"/>
    <x v="1675"/>
    <x v="1706"/>
    <x v="1703"/>
    <n v="113619943"/>
    <n v="-1.8563867604076217E-2"/>
    <x v="8"/>
  </r>
  <r>
    <x v="2075"/>
    <n v="255.1"/>
    <x v="1676"/>
    <x v="1707"/>
    <x v="1704"/>
    <n v="100891578"/>
    <n v="-2.414681262073498E-4"/>
    <x v="8"/>
  </r>
  <r>
    <x v="2076"/>
    <n v="250.08"/>
    <x v="1677"/>
    <x v="1708"/>
    <x v="1705"/>
    <n v="104654163"/>
    <n v="-4.0133644634087431E-2"/>
    <x v="9"/>
  </r>
  <r>
    <x v="2077"/>
    <n v="244.98"/>
    <x v="1678"/>
    <x v="1709"/>
    <x v="1706"/>
    <n v="121082599"/>
    <n v="-2.1807506814845116E-3"/>
    <x v="9"/>
  </r>
  <r>
    <x v="2078"/>
    <n v="239.25"/>
    <x v="1679"/>
    <x v="1710"/>
    <x v="1707"/>
    <n v="102629283"/>
    <n v="-1.8492834026814513E-3"/>
    <x v="9"/>
  </r>
  <r>
    <x v="2079"/>
    <n v="236.86"/>
    <x v="1680"/>
    <x v="1711"/>
    <x v="1708"/>
    <n v="92488939"/>
    <n v="1.2463682681375972E-2"/>
    <x v="9"/>
  </r>
  <r>
    <x v="2080"/>
    <n v="236.14"/>
    <x v="1681"/>
    <x v="1712"/>
    <x v="1709"/>
    <n v="85166580"/>
    <n v="-2.2832189644416641E-2"/>
    <x v="9"/>
  </r>
  <r>
    <x v="2081"/>
    <n v="238.11"/>
    <x v="1682"/>
    <x v="1713"/>
    <x v="1710"/>
    <n v="96705664"/>
    <n v="-4.3411644535240471E-3"/>
    <x v="9"/>
  </r>
  <r>
    <x v="2082"/>
    <n v="235.1"/>
    <x v="1683"/>
    <x v="1714"/>
    <x v="1022"/>
    <n v="91628502"/>
    <n v="-2.8725314183123872E-2"/>
    <x v="9"/>
  </r>
  <r>
    <x v="2083"/>
    <n v="230.57"/>
    <x v="1684"/>
    <x v="1715"/>
    <x v="1711"/>
    <n v="105873612"/>
    <n v="-3.6660505237215091E-2"/>
    <x v="9"/>
  </r>
  <r>
    <x v="2084"/>
    <n v="220.08"/>
    <x v="1685"/>
    <x v="1716"/>
    <x v="1712"/>
    <n v="123043812"/>
    <n v="4.6598748229704891E-3"/>
    <x v="9"/>
  </r>
  <r>
    <x v="2085"/>
    <n v="215.1"/>
    <x v="1686"/>
    <x v="1717"/>
    <x v="1713"/>
    <n v="115355046"/>
    <n v="-1.9826292574234846E-2"/>
    <x v="9"/>
  </r>
  <r>
    <x v="2086"/>
    <n v="214.86"/>
    <x v="1687"/>
    <x v="1718"/>
    <x v="1714"/>
    <n v="103164400"/>
    <n v="-1.7026212015773676E-2"/>
    <x v="9"/>
  </r>
  <r>
    <x v="2087"/>
    <n v="216.88"/>
    <x v="1688"/>
    <x v="1719"/>
    <x v="1715"/>
    <n v="108595431"/>
    <n v="1.4630923164055233E-3"/>
    <x v="9"/>
  </r>
  <r>
    <x v="2088"/>
    <n v="209.99"/>
    <x v="1689"/>
    <x v="1720"/>
    <x v="1716"/>
    <n v="102260343"/>
    <n v="-1.5976247702530685E-2"/>
    <x v="9"/>
  </r>
  <r>
    <x v="2089"/>
    <n v="212.26"/>
    <x v="1690"/>
    <x v="1721"/>
    <x v="1717"/>
    <n v="117952527"/>
    <n v="1.6283524904213361E-3"/>
    <x v="9"/>
  </r>
  <r>
    <x v="2090"/>
    <n v="211.3"/>
    <x v="1691"/>
    <x v="1722"/>
    <x v="1718"/>
    <n v="106605946"/>
    <n v="-6.2637467724967677E-3"/>
    <x v="9"/>
  </r>
  <r>
    <x v="2091"/>
    <n v="211.88"/>
    <x v="1692"/>
    <x v="1723"/>
    <x v="1719"/>
    <n v="123369932"/>
    <n v="-0.12125294712024258"/>
    <x v="9"/>
  </r>
  <r>
    <x v="2092"/>
    <n v="189.7"/>
    <x v="1693"/>
    <x v="1724"/>
    <x v="1720"/>
    <n v="198076787"/>
    <n v="3.3948420303345811E-3"/>
    <x v="9"/>
  </r>
  <r>
    <x v="2093"/>
    <n v="185.5"/>
    <x v="1537"/>
    <x v="1725"/>
    <x v="1510"/>
    <n v="107343231"/>
    <n v="4.190995907230563E-2"/>
    <x v="9"/>
  </r>
  <r>
    <x v="2094"/>
    <n v="185.63"/>
    <x v="1694"/>
    <x v="1726"/>
    <x v="1721"/>
    <n v="125013148"/>
    <n v="3.4567642591525512E-3"/>
    <x v="9"/>
  </r>
  <r>
    <x v="2095"/>
    <n v="195.33"/>
    <x v="1695"/>
    <x v="1727"/>
    <x v="1722"/>
    <n v="109982327"/>
    <n v="-2.2443760112740806E-2"/>
    <x v="9"/>
  </r>
  <r>
    <x v="2096"/>
    <n v="187"/>
    <x v="1696"/>
    <x v="1728"/>
    <x v="1723"/>
    <n v="103221430"/>
    <n v="8.3827219819532367E-3"/>
    <x v="9"/>
  </r>
  <r>
    <x v="2097"/>
    <n v="188.5"/>
    <x v="1697"/>
    <x v="1729"/>
    <x v="1724"/>
    <n v="91843275"/>
    <n v="-5.0301810865192049E-3"/>
    <x v="9"/>
  </r>
  <r>
    <x v="2098"/>
    <n v="185.04"/>
    <x v="1698"/>
    <x v="1730"/>
    <x v="1725"/>
    <n v="110612672"/>
    <n v="-3.6453621414506913E-2"/>
    <x v="9"/>
  </r>
  <r>
    <x v="2099"/>
    <n v="184.26"/>
    <x v="1699"/>
    <x v="1731"/>
    <x v="1726"/>
    <n v="134294447"/>
    <n v="2.2313045399315098E-2"/>
    <x v="9"/>
  </r>
  <r>
    <x v="2100"/>
    <n v="177.21"/>
    <x v="1700"/>
    <x v="1732"/>
    <x v="1727"/>
    <n v="122675954"/>
    <n v="1.3398163155051422E-2"/>
    <x v="9"/>
  </r>
  <r>
    <x v="2101"/>
    <n v="188.18"/>
    <x v="1701"/>
    <x v="1733"/>
    <x v="1728"/>
    <n v="111535217"/>
    <n v="1.0555496321569409E-2"/>
    <x v="9"/>
  </r>
  <r>
    <x v="2102"/>
    <n v="189"/>
    <x v="1702"/>
    <x v="1734"/>
    <x v="1729"/>
    <n v="83034043"/>
    <n v="2.1154251951888536E-2"/>
    <x v="9"/>
  </r>
  <r>
    <x v="2103"/>
    <n v="190.18"/>
    <x v="1703"/>
    <x v="1735"/>
    <x v="1730"/>
    <n v="84476347"/>
    <n v="-2.8103528439324264E-2"/>
    <x v="9"/>
  </r>
  <r>
    <x v="2104"/>
    <n v="192.11"/>
    <x v="1704"/>
    <x v="1736"/>
    <x v="1731"/>
    <n v="95498597"/>
    <n v="-2.1846595439323793E-2"/>
    <x v="9"/>
  </r>
  <r>
    <x v="2105"/>
    <n v="183.99"/>
    <x v="1705"/>
    <x v="1737"/>
    <x v="1732"/>
    <n v="86759478"/>
    <n v="2.548636017824148E-2"/>
    <x v="9"/>
  </r>
  <r>
    <x v="2106"/>
    <n v="185.3"/>
    <x v="1706"/>
    <x v="1738"/>
    <x v="1733"/>
    <n v="81202987"/>
    <n v="6.2211859466906792E-2"/>
    <x v="9"/>
  </r>
  <r>
    <x v="2107"/>
    <n v="189.16"/>
    <x v="1707"/>
    <x v="1739"/>
    <x v="1734"/>
    <n v="120831762"/>
    <n v="-2.4943876278373661E-3"/>
    <x v="9"/>
  </r>
  <r>
    <x v="2108"/>
    <n v="202.06"/>
    <x v="1708"/>
    <x v="1740"/>
    <x v="1735"/>
    <n v="111346705"/>
    <n v="-3.0957739434858706E-2"/>
    <x v="9"/>
  </r>
  <r>
    <x v="2109"/>
    <n v="196.13"/>
    <x v="1483"/>
    <x v="1741"/>
    <x v="1736"/>
    <n v="104545762"/>
    <n v="5.2126341866227258E-3"/>
    <x v="9"/>
  </r>
  <r>
    <x v="2110"/>
    <n v="193.36"/>
    <x v="1709"/>
    <x v="1742"/>
    <x v="1520"/>
    <n v="103844008"/>
    <n v="1.355444883708983E-2"/>
    <x v="9"/>
  </r>
  <r>
    <x v="2111"/>
    <n v="194"/>
    <x v="1710"/>
    <x v="1743"/>
    <x v="1737"/>
    <n v="92739461"/>
    <n v="-2.7556861354541298E-2"/>
    <x v="9"/>
  </r>
  <r>
    <x v="2112"/>
    <n v="195.31"/>
    <x v="1711"/>
    <x v="1744"/>
    <x v="1738"/>
    <n v="78841917"/>
    <n v="3.8703964161066869E-2"/>
    <x v="9"/>
  </r>
  <r>
    <x v="2113"/>
    <n v="192.29"/>
    <x v="1712"/>
    <x v="1745"/>
    <x v="1739"/>
    <n v="111747116"/>
    <n v="1.6549648946839724E-3"/>
    <x v="9"/>
  </r>
  <r>
    <x v="2114"/>
    <n v="204.04"/>
    <x v="1062"/>
    <x v="1746"/>
    <x v="1740"/>
    <n v="108645412"/>
    <n v="1.1565613578330759E-2"/>
    <x v="9"/>
  </r>
  <r>
    <x v="2115"/>
    <n v="200.42"/>
    <x v="1713"/>
    <x v="1747"/>
    <x v="1491"/>
    <n v="99806173"/>
    <n v="-7.9192239160560582E-4"/>
    <x v="9"/>
  </r>
  <r>
    <x v="2116"/>
    <n v="204.18"/>
    <x v="1714"/>
    <x v="1748"/>
    <x v="1741"/>
    <n v="85906974"/>
    <n v="3.7646126411729291E-3"/>
    <x v="9"/>
  </r>
  <r>
    <x v="2117"/>
    <n v="200.52"/>
    <x v="1715"/>
    <x v="1078"/>
    <x v="1742"/>
    <n v="82243119"/>
    <n v="-7.1555467824713781E-2"/>
    <x v="9"/>
  </r>
  <r>
    <x v="2118"/>
    <n v="198.73"/>
    <x v="1716"/>
    <x v="1749"/>
    <x v="1743"/>
    <n v="134334869"/>
    <n v="-3.933241203359189E-2"/>
    <x v="9"/>
  </r>
  <r>
    <x v="2119"/>
    <n v="183.05"/>
    <x v="1717"/>
    <x v="1750"/>
    <x v="1744"/>
    <n v="119660758"/>
    <n v="-2.3237800154918761E-2"/>
    <x v="9"/>
  </r>
  <r>
    <x v="2120"/>
    <n v="179.99"/>
    <x v="1718"/>
    <x v="1751"/>
    <x v="1745"/>
    <n v="107920944"/>
    <n v="1.195196556021306E-2"/>
    <x v="9"/>
  </r>
  <r>
    <x v="2121"/>
    <n v="174.35"/>
    <x v="1719"/>
    <x v="1751"/>
    <x v="1746"/>
    <n v="102129004"/>
    <n v="-1.8527847746991337E-2"/>
    <x v="9"/>
  </r>
  <r>
    <x v="2122"/>
    <n v="181.5"/>
    <x v="1720"/>
    <x v="1752"/>
    <x v="1747"/>
    <n v="85544644"/>
    <n v="1.3858788639215278E-2"/>
    <x v="9"/>
  </r>
  <r>
    <x v="2123"/>
    <n v="175.45"/>
    <x v="1721"/>
    <x v="1753"/>
    <x v="1748"/>
    <n v="85391528"/>
    <n v="-1.2938066040390289E-3"/>
    <x v="9"/>
  </r>
  <r>
    <x v="2124"/>
    <n v="177.77"/>
    <x v="1722"/>
    <x v="1754"/>
    <x v="1749"/>
    <n v="87391684"/>
    <n v="-4.5398220119409728E-2"/>
    <x v="9"/>
  </r>
  <r>
    <x v="2125"/>
    <n v="173.05"/>
    <x v="1723"/>
    <x v="1755"/>
    <x v="1750"/>
    <n v="106524518"/>
    <n v="-4.1184800566438459E-2"/>
    <x v="9"/>
  </r>
  <r>
    <x v="2126"/>
    <n v="167.77"/>
    <x v="1724"/>
    <x v="1756"/>
    <x v="1751"/>
    <n v="126325696"/>
    <n v="6.5846153846153424E-3"/>
    <x v="9"/>
  </r>
  <r>
    <x v="2127"/>
    <n v="163.16"/>
    <x v="1725"/>
    <x v="1757"/>
    <x v="1752"/>
    <n v="97146832"/>
    <n v="6.2542030934768109E-2"/>
    <x v="9"/>
  </r>
  <r>
    <x v="2128"/>
    <n v="170.02"/>
    <x v="1726"/>
    <x v="1758"/>
    <x v="1753"/>
    <n v="108214358"/>
    <n v="-1.4269275028768803E-2"/>
    <x v="9"/>
  </r>
  <r>
    <x v="2129"/>
    <n v="172.36"/>
    <x v="1727"/>
    <x v="1759"/>
    <x v="1754"/>
    <n v="77271428"/>
    <n v="2.5332710716787318E-2"/>
    <x v="9"/>
  </r>
  <r>
    <x v="2130"/>
    <n v="173"/>
    <x v="1728"/>
    <x v="1760"/>
    <x v="1755"/>
    <n v="83846726"/>
    <n v="-1.6167596493225567E-2"/>
    <x v="9"/>
  </r>
  <r>
    <x v="2131"/>
    <n v="176.39"/>
    <x v="1729"/>
    <x v="1761"/>
    <x v="1756"/>
    <n v="73178014"/>
    <n v="-1.1514870964008684E-2"/>
    <x v="9"/>
  </r>
  <r>
    <x v="2132"/>
    <n v="166.69"/>
    <x v="1730"/>
    <x v="1762"/>
    <x v="1757"/>
    <n v="75580637"/>
    <n v="1.0536790961774763E-2"/>
    <x v="9"/>
  </r>
  <r>
    <x v="2133"/>
    <n v="168.76"/>
    <x v="1731"/>
    <x v="1763"/>
    <x v="1758"/>
    <n v="74228615"/>
    <n v="2.9195388982216255E-2"/>
    <x v="9"/>
  </r>
  <r>
    <x v="2134"/>
    <n v="178.58"/>
    <x v="1732"/>
    <x v="1764"/>
    <x v="1759"/>
    <n v="113186227"/>
    <n v="1.2157370405808663E-2"/>
    <x v="9"/>
  </r>
  <r>
    <x v="2135"/>
    <n v="181.41"/>
    <x v="1733"/>
    <x v="1765"/>
    <x v="1760"/>
    <n v="81804043"/>
    <n v="-2.2465662014124563E-2"/>
    <x v="9"/>
  </r>
  <r>
    <x v="2136"/>
    <n v="177.45"/>
    <x v="1734"/>
    <x v="1766"/>
    <x v="1761"/>
    <n v="77654838"/>
    <n v="-3.2425052619602548E-3"/>
    <x v="9"/>
  </r>
  <r>
    <x v="2137"/>
    <n v="176.17"/>
    <x v="1735"/>
    <x v="1767"/>
    <x v="1762"/>
    <n v="81562127"/>
    <n v="-4.9024084008674827E-2"/>
    <x v="9"/>
  </r>
  <r>
    <x v="2138"/>
    <n v="164.75"/>
    <x v="1736"/>
    <x v="1768"/>
    <x v="1763"/>
    <n v="116650594"/>
    <n v="1.0502310508311829E-2"/>
    <x v="9"/>
  </r>
  <r>
    <x v="2139"/>
    <n v="164.02"/>
    <x v="1737"/>
    <x v="1769"/>
    <x v="1764"/>
    <n v="82950141"/>
    <n v="1.6213326998455981E-2"/>
    <x v="9"/>
  </r>
  <r>
    <x v="2140"/>
    <n v="170.07"/>
    <x v="1738"/>
    <x v="1770"/>
    <x v="1765"/>
    <n v="123161960"/>
    <n v="-3.6292443457425091E-2"/>
    <x v="9"/>
  </r>
  <r>
    <x v="2141"/>
    <n v="169.08"/>
    <x v="1739"/>
    <x v="1756"/>
    <x v="1766"/>
    <n v="143157603"/>
    <n v="4.8999393571861637E-2"/>
    <x v="9"/>
  </r>
  <r>
    <x v="2142"/>
    <n v="169.34"/>
    <x v="1531"/>
    <x v="1771"/>
    <x v="1767"/>
    <n v="104423320"/>
    <n v="2.2545959070412798E-2"/>
    <x v="9"/>
  </r>
  <r>
    <x v="2143"/>
    <n v="172.91"/>
    <x v="1740"/>
    <x v="1772"/>
    <x v="1768"/>
    <n v="103232675"/>
    <n v="-2.8946178199909571E-2"/>
    <x v="9"/>
  </r>
  <r>
    <x v="2144"/>
    <n v="173.04"/>
    <x v="1741"/>
    <x v="1773"/>
    <x v="1769"/>
    <n v="84532407"/>
    <n v="1.6534699580810455E-2"/>
    <x v="9"/>
  </r>
  <r>
    <x v="2145"/>
    <n v="172.55"/>
    <x v="1742"/>
    <x v="1774"/>
    <x v="1770"/>
    <n v="94515987"/>
    <n v="-2.0332187857960957E-2"/>
    <x v="9"/>
  </r>
  <r>
    <x v="2146"/>
    <n v="172.34"/>
    <x v="1743"/>
    <x v="1775"/>
    <x v="1771"/>
    <n v="64722669"/>
    <n v="-5.5948553054662502E-2"/>
    <x v="9"/>
  </r>
  <r>
    <x v="2147"/>
    <n v="170.24"/>
    <x v="1744"/>
    <x v="1776"/>
    <x v="1772"/>
    <n v="100245310"/>
    <n v="-2.7062174882338225E-2"/>
    <x v="9"/>
  </r>
  <r>
    <x v="2148"/>
    <n v="156.74"/>
    <x v="1745"/>
    <x v="1777"/>
    <x v="1773"/>
    <n v="96999956"/>
    <n v="-1.056584558589539E-2"/>
    <x v="9"/>
  </r>
  <r>
    <x v="2149"/>
    <n v="157.63999999999999"/>
    <x v="1746"/>
    <x v="1778"/>
    <x v="1774"/>
    <n v="82439718"/>
    <n v="-3.5509810228369139E-2"/>
    <x v="9"/>
  </r>
  <r>
    <x v="2150"/>
    <n v="151.25"/>
    <x v="1747"/>
    <x v="1779"/>
    <x v="1775"/>
    <n v="96098830"/>
    <n v="-1.9208964183285503E-2"/>
    <x v="9"/>
  </r>
  <r>
    <x v="2151"/>
    <n v="148.97"/>
    <x v="1748"/>
    <x v="1780"/>
    <x v="1776"/>
    <n v="87074500"/>
    <n v="-3.4002040122407338E-2"/>
    <x v="9"/>
  </r>
  <r>
    <x v="2152"/>
    <n v="140.56"/>
    <x v="1749"/>
    <x v="1781"/>
    <x v="1777"/>
    <n v="107097564"/>
    <n v="1.8514607532558923E-2"/>
    <x v="9"/>
  </r>
  <r>
    <x v="2153"/>
    <n v="143.33000000000001"/>
    <x v="1750"/>
    <x v="1782"/>
    <x v="1778"/>
    <n v="124545104"/>
    <n v="0.1206110035941387"/>
    <x v="9"/>
  </r>
  <r>
    <x v="2154"/>
    <n v="162.84"/>
    <x v="1751"/>
    <x v="1783"/>
    <x v="1779"/>
    <n v="181178020"/>
    <n v="4.9651514216986443E-2"/>
    <x v="9"/>
  </r>
  <r>
    <x v="2155"/>
    <n v="158.96"/>
    <x v="1752"/>
    <x v="1784"/>
    <x v="1780"/>
    <n v="126427521"/>
    <n v="-1.1105887883417645E-2"/>
    <x v="9"/>
  </r>
  <r>
    <x v="2156"/>
    <n v="168.85"/>
    <x v="1753"/>
    <x v="1785"/>
    <x v="1781"/>
    <n v="109815725"/>
    <n v="0.15306910689880576"/>
    <x v="9"/>
  </r>
  <r>
    <x v="2157"/>
    <n v="188.42"/>
    <x v="1754"/>
    <x v="1786"/>
    <x v="1782"/>
    <n v="243869678"/>
    <n v="-5.5501159494975569E-2"/>
    <x v="9"/>
  </r>
  <r>
    <x v="2158"/>
    <n v="186.98"/>
    <x v="1755"/>
    <x v="1787"/>
    <x v="1783"/>
    <n v="127031787"/>
    <n v="-1.7950676560453908E-2"/>
    <x v="9"/>
  </r>
  <r>
    <x v="2159"/>
    <n v="182"/>
    <x v="1756"/>
    <x v="1788"/>
    <x v="1784"/>
    <n v="92829719"/>
    <n v="1.111172842934708E-4"/>
    <x v="9"/>
  </r>
  <r>
    <x v="2160"/>
    <n v="182.86"/>
    <x v="1757"/>
    <x v="1789"/>
    <x v="1785"/>
    <n v="89148041"/>
    <n v="6.5551913782568019E-3"/>
    <x v="9"/>
  </r>
  <r>
    <x v="2161"/>
    <n v="182.1"/>
    <x v="1758"/>
    <x v="1790"/>
    <x v="1786"/>
    <n v="75491539"/>
    <n v="1.9703074121088324E-2"/>
    <x v="9"/>
  </r>
  <r>
    <x v="2162"/>
    <n v="183.8"/>
    <x v="1759"/>
    <x v="1791"/>
    <x v="1787"/>
    <n v="84390253"/>
    <n v="-3.7616367179043021E-2"/>
    <x v="9"/>
  </r>
  <r>
    <x v="2163"/>
    <n v="182.4"/>
    <x v="1760"/>
    <x v="1792"/>
    <x v="1788"/>
    <n v="75045854"/>
    <n v="-1.7378100219335266E-2"/>
    <x v="9"/>
  </r>
  <r>
    <x v="2164"/>
    <n v="171.59"/>
    <x v="1761"/>
    <x v="1793"/>
    <x v="1789"/>
    <n v="79969488"/>
    <n v="-1.5739468864468864E-2"/>
    <x v="9"/>
  </r>
  <r>
    <x v="2165"/>
    <n v="175.01"/>
    <x v="1762"/>
    <x v="1794"/>
    <x v="1790"/>
    <n v="65950292"/>
    <n v="-2.0352387044251904E-2"/>
    <x v="9"/>
  </r>
  <r>
    <x v="2166"/>
    <n v="173.05"/>
    <x v="1763"/>
    <x v="1795"/>
    <x v="1791"/>
    <n v="72627178"/>
    <n v="2.0300350210719936E-2"/>
    <x v="9"/>
  </r>
  <r>
    <x v="2167"/>
    <n v="170"/>
    <x v="1764"/>
    <x v="1796"/>
    <x v="1792"/>
    <n v="67018903"/>
    <n v="3.2928035371458636E-2"/>
    <x v="9"/>
  </r>
  <r>
    <x v="2168"/>
    <n v="174.5"/>
    <x v="1765"/>
    <x v="1797"/>
    <x v="1793"/>
    <n v="86407422"/>
    <n v="-2.0050689946493956E-2"/>
    <x v="9"/>
  </r>
  <r>
    <x v="2169"/>
    <n v="179.9"/>
    <x v="1766"/>
    <x v="1798"/>
    <x v="1794"/>
    <n v="79662993"/>
    <n v="4.8853382378297276E-3"/>
    <x v="9"/>
  </r>
  <r>
    <x v="2170"/>
    <n v="174.1"/>
    <x v="1767"/>
    <x v="1799"/>
    <x v="1795"/>
    <n v="59812220"/>
    <n v="1.498512926103869E-2"/>
    <x v="9"/>
  </r>
  <r>
    <x v="2171"/>
    <n v="173.55"/>
    <x v="1768"/>
    <x v="1800"/>
    <x v="1796"/>
    <n v="77445845"/>
    <n v="-1.4144032458018816E-2"/>
    <x v="9"/>
  </r>
  <r>
    <x v="2172"/>
    <n v="177.56"/>
    <x v="1769"/>
    <x v="1801"/>
    <x v="1797"/>
    <n v="61727425"/>
    <n v="6.659045441554734E-2"/>
    <x v="9"/>
  </r>
  <r>
    <x v="2173"/>
    <n v="175.51"/>
    <x v="1770"/>
    <x v="1802"/>
    <x v="1798"/>
    <n v="115266512"/>
    <n v="-3.4780278670953811E-2"/>
    <x v="9"/>
  </r>
  <r>
    <x v="2174"/>
    <n v="182.85"/>
    <x v="1489"/>
    <x v="1803"/>
    <x v="1799"/>
    <n v="88313477"/>
    <n v="-3.5367275553828237E-2"/>
    <x v="9"/>
  </r>
  <r>
    <x v="2175"/>
    <n v="181.8"/>
    <x v="1771"/>
    <x v="1804"/>
    <x v="1800"/>
    <n v="71975496"/>
    <n v="3.1656498215724645E-2"/>
    <x v="9"/>
  </r>
  <r>
    <x v="2176"/>
    <n v="174.84"/>
    <x v="1772"/>
    <x v="1805"/>
    <x v="1801"/>
    <n v="65584478"/>
    <n v="-1.3891988395447495E-2"/>
    <x v="9"/>
  </r>
  <r>
    <x v="2177"/>
    <n v="176.4"/>
    <x v="1773"/>
    <x v="1806"/>
    <x v="1802"/>
    <n v="59736620"/>
    <n v="-3.1683168316831811E-3"/>
    <x v="9"/>
  </r>
  <r>
    <x v="2178"/>
    <n v="174.19"/>
    <x v="1774"/>
    <x v="1807"/>
    <x v="1803"/>
    <n v="54782649"/>
    <n v="1.4756796639990888E-2"/>
    <x v="9"/>
  </r>
  <r>
    <x v="2179"/>
    <n v="178.58"/>
    <x v="1775"/>
    <x v="1808"/>
    <x v="1804"/>
    <n v="77784755"/>
    <n v="-3.9711393254655159E-3"/>
    <x v="9"/>
  </r>
  <r>
    <x v="2180"/>
    <n v="178.5"/>
    <x v="1776"/>
    <x v="1809"/>
    <x v="1805"/>
    <n v="67314602"/>
    <n v="-1.0051662174303798E-2"/>
    <x v="9"/>
  </r>
  <r>
    <x v="2181"/>
    <n v="178.13"/>
    <x v="1777"/>
    <x v="1810"/>
    <x v="1806"/>
    <n v="68568920"/>
    <n v="-8.6221566736626124E-3"/>
    <x v="9"/>
  </r>
  <r>
    <x v="2182"/>
    <n v="174.78"/>
    <x v="1778"/>
    <x v="1811"/>
    <x v="1807"/>
    <n v="60056340"/>
    <n v="1.3160153344394904E-3"/>
    <x v="9"/>
  </r>
  <r>
    <x v="2183"/>
    <n v="175.35"/>
    <x v="1779"/>
    <x v="1812"/>
    <x v="1808"/>
    <n v="57953756"/>
    <n v="1.6799999999999989E-2"/>
    <x v="9"/>
  </r>
  <r>
    <x v="2184"/>
    <n v="174.6"/>
    <x v="1780"/>
    <x v="1813"/>
    <x v="1809"/>
    <n v="69887024"/>
    <n v="-2.5851410587839044E-3"/>
    <x v="9"/>
  </r>
  <r>
    <x v="2185"/>
    <n v="176.13"/>
    <x v="1781"/>
    <x v="1814"/>
    <x v="1810"/>
    <n v="56244932"/>
    <n v="-2.0791075050709928E-2"/>
    <x v="9"/>
  </r>
  <r>
    <x v="2186"/>
    <n v="176.06"/>
    <x v="1782"/>
    <x v="1815"/>
    <x v="1811"/>
    <n v="50869682"/>
    <n v="-1.8010242246389294E-2"/>
    <x v="9"/>
  </r>
  <r>
    <x v="2187"/>
    <n v="173.92"/>
    <x v="1783"/>
    <x v="1816"/>
    <x v="1812"/>
    <n v="64761928"/>
    <n v="3.8849173795851372E-2"/>
    <x v="9"/>
  </r>
  <r>
    <x v="2188"/>
    <n v="171.12"/>
    <x v="1784"/>
    <x v="1817"/>
    <x v="1813"/>
    <n v="90389446"/>
    <n v="2.9217665971007993E-2"/>
    <x v="9"/>
  </r>
  <r>
    <x v="2189"/>
    <n v="188.39"/>
    <x v="1785"/>
    <x v="1818"/>
    <x v="1814"/>
    <n v="118984122"/>
    <n v="-2.4442374088891369E-2"/>
    <x v="9"/>
  </r>
  <r>
    <x v="2190"/>
    <n v="185.8"/>
    <x v="1786"/>
    <x v="1819"/>
    <x v="1815"/>
    <n v="82038194"/>
    <n v="5.2974551991461193E-2"/>
    <x v="9"/>
  </r>
  <r>
    <x v="2191"/>
    <n v="177.92"/>
    <x v="1787"/>
    <x v="1820"/>
    <x v="1816"/>
    <n v="109786083"/>
    <n v="-1.3764404609474947E-2"/>
    <x v="9"/>
  </r>
  <r>
    <x v="2192"/>
    <n v="186.56"/>
    <x v="1788"/>
    <x v="1821"/>
    <x v="1817"/>
    <n v="68982265"/>
    <n v="-1.7797251974467274E-2"/>
    <x v="9"/>
  </r>
  <r>
    <x v="2193"/>
    <n v="184.68"/>
    <x v="1789"/>
    <x v="1822"/>
    <x v="1818"/>
    <n v="55893139"/>
    <n v="7.9308255769124734E-3"/>
    <x v="9"/>
  </r>
  <r>
    <x v="2194"/>
    <n v="182.3"/>
    <x v="1790"/>
    <x v="1823"/>
    <x v="1819"/>
    <n v="63029482"/>
    <n v="-2.3495983826019259E-3"/>
    <x v="9"/>
  </r>
  <r>
    <x v="2195"/>
    <n v="184.97"/>
    <x v="1791"/>
    <x v="1824"/>
    <x v="1820"/>
    <n v="61992070"/>
    <n v="2.6125534012487576E-2"/>
    <x v="9"/>
  </r>
  <r>
    <x v="2196"/>
    <n v="184.4"/>
    <x v="1792"/>
    <x v="1535"/>
    <x v="1821"/>
    <n v="63678265"/>
    <n v="4.8145182812917055E-2"/>
    <x v="9"/>
  </r>
  <r>
    <x v="2197"/>
    <n v="186.54"/>
    <x v="1793"/>
    <x v="1825"/>
    <x v="1822"/>
    <n v="95737066"/>
    <n v="5.3470489382287665E-3"/>
    <x v="9"/>
  </r>
  <r>
    <x v="2198"/>
    <n v="195.17"/>
    <x v="1794"/>
    <x v="1826"/>
    <x v="1823"/>
    <n v="72746521"/>
    <n v="2.3300577449093707E-3"/>
    <x v="9"/>
  </r>
  <r>
    <x v="2199"/>
    <n v="199.55"/>
    <x v="1795"/>
    <x v="1827"/>
    <x v="1824"/>
    <n v="95438068"/>
    <n v="6.054174247018404E-2"/>
    <x v="9"/>
  </r>
  <r>
    <x v="2200"/>
    <n v="201.02"/>
    <x v="1796"/>
    <x v="1828"/>
    <x v="1825"/>
    <n v="135691395"/>
    <n v="0.10197274373391774"/>
    <x v="9"/>
  </r>
  <r>
    <x v="2201"/>
    <n v="218.89"/>
    <x v="1797"/>
    <x v="1829"/>
    <x v="1826"/>
    <n v="205047920"/>
    <n v="6.5424197872524417E-2"/>
    <x v="9"/>
  </r>
  <r>
    <x v="2202"/>
    <n v="234.56"/>
    <x v="1798"/>
    <x v="1830"/>
    <x v="1827"/>
    <n v="166561471"/>
    <n v="2.0820650188725288E-2"/>
    <x v="9"/>
  </r>
  <r>
    <x v="2203"/>
    <n v="249.81"/>
    <x v="1799"/>
    <x v="1831"/>
    <x v="1828"/>
    <n v="154501152"/>
    <n v="5.6456743002544028E-3"/>
    <x v="9"/>
  </r>
  <r>
    <x v="2204"/>
    <n v="247.71"/>
    <x v="1800"/>
    <x v="1832"/>
    <x v="1829"/>
    <n v="157219580"/>
    <n v="3.7123428481062648E-2"/>
    <x v="9"/>
  </r>
  <r>
    <x v="2205"/>
    <n v="251"/>
    <x v="1801"/>
    <x v="1833"/>
    <x v="1830"/>
    <n v="160742516"/>
    <n v="3.5451530515000452E-3"/>
    <x v="9"/>
  </r>
  <r>
    <x v="2206"/>
    <n v="262.8"/>
    <x v="1802"/>
    <x v="1834"/>
    <x v="1831"/>
    <n v="128519430"/>
    <n v="-8.4441236800121514E-2"/>
    <x v="9"/>
  </r>
  <r>
    <x v="2207"/>
    <n v="263.3"/>
    <x v="1803"/>
    <x v="1835"/>
    <x v="1832"/>
    <n v="221707273"/>
    <n v="2.9871800190847564E-2"/>
    <x v="9"/>
  </r>
  <r>
    <x v="2208"/>
    <n v="235.8"/>
    <x v="1804"/>
    <x v="1836"/>
    <x v="1833"/>
    <n v="155955773"/>
    <n v="1.7765781734681532E-2"/>
    <x v="9"/>
  </r>
  <r>
    <x v="2209"/>
    <n v="255.97"/>
    <x v="982"/>
    <x v="1837"/>
    <x v="1834"/>
    <n v="146912920"/>
    <n v="1.5516149461684675E-2"/>
    <x v="9"/>
  </r>
  <r>
    <x v="2210"/>
    <n v="255.31"/>
    <x v="1805"/>
    <x v="1838"/>
    <x v="1835"/>
    <n v="126332470"/>
    <n v="-3.1415653258497045E-2"/>
    <x v="9"/>
  </r>
  <r>
    <x v="2211"/>
    <n v="252.73"/>
    <x v="1806"/>
    <x v="1839"/>
    <x v="1627"/>
    <n v="115584810"/>
    <n v="2.9376257545271219E-3"/>
    <x v="9"/>
  </r>
  <r>
    <x v="2212"/>
    <n v="251.09"/>
    <x v="1807"/>
    <x v="1840"/>
    <x v="1836"/>
    <n v="110869037"/>
    <n v="-4.0243951370220285E-2"/>
    <x v="9"/>
  </r>
  <r>
    <x v="2213"/>
    <n v="247.79"/>
    <x v="1808"/>
    <x v="1841"/>
    <x v="1837"/>
    <n v="87403903"/>
    <n v="5.1463210702341146E-2"/>
    <x v="9"/>
  </r>
  <r>
    <x v="2214"/>
    <n v="244.21"/>
    <x v="1809"/>
    <x v="1842"/>
    <x v="1838"/>
    <n v="101225430"/>
    <n v="-2.0396803308019545E-2"/>
    <x v="9"/>
  </r>
  <r>
    <x v="2215"/>
    <n v="253.6"/>
    <x v="1810"/>
    <x v="1843"/>
    <x v="1640"/>
    <n v="111928192"/>
    <n v="-0.12334605081581292"/>
    <x v="9"/>
  </r>
  <r>
    <x v="2216"/>
    <n v="225.42"/>
    <x v="1811"/>
    <x v="1844"/>
    <x v="1839"/>
    <n v="167942939"/>
    <n v="1.9723135330339325E-2"/>
    <x v="9"/>
  </r>
  <r>
    <x v="2217"/>
    <n v="216.8"/>
    <x v="1812"/>
    <x v="1845"/>
    <x v="1840"/>
    <n v="100636466"/>
    <n v="-2.0431328036321847E-3"/>
    <x v="9"/>
  </r>
  <r>
    <x v="2218"/>
    <n v="221.19"/>
    <x v="1813"/>
    <x v="1846"/>
    <x v="1841"/>
    <n v="94604145"/>
    <n v="5.5959963603275625E-2"/>
    <x v="9"/>
  </r>
  <r>
    <x v="2219"/>
    <n v="224.9"/>
    <x v="1814"/>
    <x v="1847"/>
    <x v="1842"/>
    <n v="129201789"/>
    <n v="-4.0844463593278715E-2"/>
    <x v="9"/>
  </r>
  <r>
    <x v="2220"/>
    <n v="232.25"/>
    <x v="1815"/>
    <x v="1848"/>
    <x v="1843"/>
    <n v="100560334"/>
    <n v="4.2449016260892952E-2"/>
    <x v="9"/>
  </r>
  <r>
    <x v="2221"/>
    <n v="227.9"/>
    <x v="1816"/>
    <x v="1849"/>
    <x v="1844"/>
    <n v="67497011"/>
    <n v="-6.5540569655707245E-2"/>
    <x v="9"/>
  </r>
  <r>
    <x v="2222"/>
    <n v="227.69"/>
    <x v="1817"/>
    <x v="1850"/>
    <x v="1845"/>
    <n v="83861898"/>
    <n v="-4.2377570782993756E-2"/>
    <x v="9"/>
  </r>
  <r>
    <x v="2223"/>
    <n v="214.88"/>
    <x v="1818"/>
    <x v="1851"/>
    <x v="1846"/>
    <n v="82880120"/>
    <n v="-4.2326768430683261E-2"/>
    <x v="9"/>
  </r>
  <r>
    <x v="2224"/>
    <n v="185.22"/>
    <x v="1819"/>
    <x v="1730"/>
    <x v="1847"/>
    <n v="100308836"/>
    <n v="8.8495575221238486E-3"/>
    <x v="9"/>
  </r>
  <r>
    <x v="2225"/>
    <n v="200.75"/>
    <x v="1820"/>
    <x v="1852"/>
    <x v="1848"/>
    <n v="73783942"/>
    <n v="-4.4258373205741608E-2"/>
    <x v="9"/>
  </r>
  <r>
    <x v="2226"/>
    <n v="200.77"/>
    <x v="1821"/>
    <x v="1853"/>
    <x v="1849"/>
    <n v="71159778"/>
    <n v="3.6921151439299194E-2"/>
    <x v="9"/>
  </r>
  <r>
    <x v="2227"/>
    <n v="195.7"/>
    <x v="1822"/>
    <x v="1854"/>
    <x v="1850"/>
    <n v="65033874"/>
    <n v="5.8338362502514413E-3"/>
    <x v="9"/>
  </r>
  <r>
    <x v="2228"/>
    <n v="197.05"/>
    <x v="1707"/>
    <x v="1855"/>
    <x v="1851"/>
    <n v="58648274"/>
    <n v="-1.2549999999999955E-2"/>
    <x v="9"/>
  </r>
  <r>
    <x v="2229"/>
    <n v="199.02"/>
    <x v="1823"/>
    <x v="1668"/>
    <x v="1852"/>
    <n v="64044903"/>
    <n v="5.2357081371208682E-2"/>
    <x v="9"/>
  </r>
  <r>
    <x v="2230"/>
    <n v="198.47"/>
    <x v="1824"/>
    <x v="1856"/>
    <x v="1719"/>
    <n v="76247387"/>
    <n v="-3.1034980512919294E-2"/>
    <x v="9"/>
  </r>
  <r>
    <x v="2231"/>
    <n v="207.39"/>
    <x v="1473"/>
    <x v="1857"/>
    <x v="1853"/>
    <n v="70250014"/>
    <n v="6.3362796702750968E-2"/>
    <x v="9"/>
  </r>
  <r>
    <x v="2232"/>
    <n v="205.02"/>
    <x v="1825"/>
    <x v="1858"/>
    <x v="1854"/>
    <n v="89848530"/>
    <n v="9.2462874754834137E-3"/>
    <x v="9"/>
  </r>
  <r>
    <x v="2233"/>
    <n v="211.15"/>
    <x v="1826"/>
    <x v="1859"/>
    <x v="1855"/>
    <n v="88765122"/>
    <n v="3.0538589672404193E-2"/>
    <x v="9"/>
  </r>
  <r>
    <x v="2234"/>
    <n v="217.07"/>
    <x v="1827"/>
    <x v="1860"/>
    <x v="1856"/>
    <n v="76435222"/>
    <n v="-7.2737068965517447E-3"/>
    <x v="9"/>
  </r>
  <r>
    <x v="2235"/>
    <n v="224.88"/>
    <x v="1828"/>
    <x v="1861"/>
    <x v="1857"/>
    <n v="74001182"/>
    <n v="9.8145635459069014E-3"/>
    <x v="9"/>
  </r>
  <r>
    <x v="2236"/>
    <n v="222.67"/>
    <x v="1829"/>
    <x v="1343"/>
    <x v="1858"/>
    <n v="70145964"/>
    <n v="-5.6478702915752285E-2"/>
    <x v="9"/>
  </r>
  <r>
    <x v="2237"/>
    <n v="223.82"/>
    <x v="1830"/>
    <x v="1862"/>
    <x v="1859"/>
    <n v="79514482"/>
    <n v="4.5855881515237812E-2"/>
    <x v="9"/>
  </r>
  <r>
    <x v="2238"/>
    <n v="214.46"/>
    <x v="1831"/>
    <x v="1863"/>
    <x v="1860"/>
    <n v="81525207"/>
    <n v="-3.2271241830065293E-2"/>
    <x v="9"/>
  </r>
  <r>
    <x v="2239"/>
    <n v="218.75"/>
    <x v="1832"/>
    <x v="1864"/>
    <x v="1861"/>
    <n v="59301187"/>
    <n v="-1.8760846114159749E-2"/>
    <x v="9"/>
  </r>
  <r>
    <x v="2240"/>
    <n v="213.25"/>
    <x v="1833"/>
    <x v="1865"/>
    <x v="1862"/>
    <n v="62821390"/>
    <n v="-1.6538406385928052E-2"/>
    <x v="9"/>
  </r>
  <r>
    <x v="2241"/>
    <n v="209.72"/>
    <x v="1834"/>
    <x v="1866"/>
    <x v="1863"/>
    <n v="64116350"/>
    <n v="2.575941676792229E-3"/>
    <x v="9"/>
  </r>
  <r>
    <x v="2242"/>
    <n v="209.8"/>
    <x v="1835"/>
    <x v="1867"/>
    <x v="1864"/>
    <n v="62308818"/>
    <n v="3.7958115183246134E-2"/>
    <x v="9"/>
  </r>
  <r>
    <x v="2243"/>
    <n v="208.63"/>
    <x v="1836"/>
    <x v="1868"/>
    <x v="1865"/>
    <n v="63370608"/>
    <n v="-1.6393442622950907E-2"/>
    <x v="9"/>
  </r>
  <r>
    <x v="2244"/>
    <n v="215.26"/>
    <x v="1837"/>
    <x v="1869"/>
    <x v="1866"/>
    <n v="76714222"/>
    <n v="4.1832858499525179E-2"/>
    <x v="9"/>
  </r>
  <r>
    <x v="2245"/>
    <n v="210.59"/>
    <x v="1838"/>
    <x v="1870"/>
    <x v="1867"/>
    <n v="80651767"/>
    <n v="4.904060890570161E-2"/>
    <x v="9"/>
  </r>
  <r>
    <x v="2246"/>
    <n v="223.49"/>
    <x v="1839"/>
    <x v="1871"/>
    <x v="1868"/>
    <n v="119355013"/>
    <n v="-8.4459312681930743E-2"/>
    <x v="9"/>
  </r>
  <r>
    <x v="2247"/>
    <n v="232.6"/>
    <x v="1840"/>
    <x v="1872"/>
    <x v="1869"/>
    <n v="112177004"/>
    <n v="2.6289564846011582E-2"/>
    <x v="9"/>
  </r>
  <r>
    <x v="2248"/>
    <n v="216.2"/>
    <x v="1841"/>
    <x v="967"/>
    <x v="1870"/>
    <n v="67443518"/>
    <n v="4.5776113191843423E-2"/>
    <x v="9"/>
  </r>
  <r>
    <x v="2249"/>
    <n v="220.07"/>
    <x v="1842"/>
    <x v="1873"/>
    <x v="1871"/>
    <n v="78891136"/>
    <n v="8.6660476632621844E-3"/>
    <x v="9"/>
  </r>
  <r>
    <x v="2250"/>
    <n v="224.55"/>
    <x v="1843"/>
    <x v="1874"/>
    <x v="1872"/>
    <n v="83548633"/>
    <n v="7.3642221540350097E-3"/>
    <x v="9"/>
  </r>
  <r>
    <x v="2251"/>
    <n v="224.66"/>
    <x v="1844"/>
    <x v="1875"/>
    <x v="1873"/>
    <n v="72020042"/>
    <n v="2.0886819546581514E-3"/>
    <x v="9"/>
  </r>
  <r>
    <x v="2252"/>
    <n v="228"/>
    <x v="1845"/>
    <x v="1876"/>
    <x v="1874"/>
    <n v="59515114"/>
    <n v="-1.5241651830300885E-2"/>
    <x v="9"/>
  </r>
  <r>
    <x v="2253"/>
    <n v="229.3"/>
    <x v="1846"/>
    <x v="1008"/>
    <x v="1875"/>
    <n v="54322995"/>
    <n v="4.8064203192521538E-3"/>
    <x v="9"/>
  </r>
  <r>
    <x v="2254"/>
    <n v="229.45"/>
    <x v="1386"/>
    <x v="1877"/>
    <x v="1876"/>
    <n v="66761636"/>
    <n v="-2.9402729626542149E-3"/>
    <x v="9"/>
  </r>
  <r>
    <x v="2255"/>
    <n v="230.09"/>
    <x v="1847"/>
    <x v="1878"/>
    <x v="1877"/>
    <n v="78010204"/>
    <n v="7.3591549295774647E-2"/>
    <x v="9"/>
  </r>
  <r>
    <x v="2256"/>
    <n v="234"/>
    <x v="1848"/>
    <x v="1879"/>
    <x v="1878"/>
    <n v="102694576"/>
    <n v="-2.3245326336503721E-2"/>
    <x v="9"/>
  </r>
  <r>
    <x v="2257"/>
    <n v="241.52"/>
    <x v="1849"/>
    <x v="1880"/>
    <x v="1879"/>
    <n v="99879070"/>
    <n v="4.9317943336831059E-2"/>
    <x v="9"/>
  </r>
  <r>
    <x v="2258"/>
    <n v="242.61"/>
    <x v="1850"/>
    <x v="1881"/>
    <x v="1880"/>
    <n v="86927194"/>
    <n v="1.708000000000004E-2"/>
    <x v="9"/>
  </r>
  <r>
    <x v="2259"/>
    <n v="254.08"/>
    <x v="1851"/>
    <x v="1882"/>
    <x v="1881"/>
    <n v="88490999"/>
    <n v="1.0815275101270191E-2"/>
    <x v="9"/>
  </r>
  <r>
    <x v="2260"/>
    <n v="252.54"/>
    <x v="1852"/>
    <x v="1883"/>
    <x v="1882"/>
    <n v="65034318"/>
    <n v="-1.0894093844836913E-2"/>
    <x v="9"/>
  </r>
  <r>
    <x v="2261"/>
    <n v="260.60000000000002"/>
    <x v="1853"/>
    <x v="1884"/>
    <x v="1883"/>
    <n v="67142193"/>
    <n v="2.4545669105499098E-2"/>
    <x v="9"/>
  </r>
  <r>
    <x v="2262"/>
    <n v="257.38"/>
    <x v="1854"/>
    <x v="1602"/>
    <x v="1884"/>
    <n v="70988067"/>
    <n v="4.492052522460324E-3"/>
    <x v="9"/>
  </r>
  <r>
    <x v="2263"/>
    <n v="259.04000000000002"/>
    <x v="1855"/>
    <x v="1885"/>
    <x v="1885"/>
    <n v="80873381"/>
    <n v="-1.3798111837327575E-2"/>
    <x v="9"/>
  </r>
  <r>
    <x v="2264"/>
    <n v="262.67"/>
    <x v="1856"/>
    <x v="1886"/>
    <x v="1886"/>
    <n v="87397613"/>
    <n v="-3.4881016975428156E-2"/>
    <x v="9"/>
  </r>
  <r>
    <x v="2265"/>
    <n v="247.55"/>
    <x v="1857"/>
    <x v="1887"/>
    <x v="1887"/>
    <n v="93983930"/>
    <n v="-3.357160067464466E-2"/>
    <x v="9"/>
  </r>
  <r>
    <x v="2266"/>
    <n v="244.48"/>
    <x v="1858"/>
    <x v="1888"/>
    <x v="1888"/>
    <n v="80729240"/>
    <n v="3.9142358514086331E-2"/>
    <x v="9"/>
  </r>
  <r>
    <x v="2267"/>
    <n v="246.69"/>
    <x v="1859"/>
    <x v="1889"/>
    <x v="1889"/>
    <n v="86726285"/>
    <n v="-3.6988163787587972E-2"/>
    <x v="9"/>
  </r>
  <r>
    <x v="2268"/>
    <n v="249"/>
    <x v="1860"/>
    <x v="1584"/>
    <x v="1890"/>
    <n v="68113270"/>
    <n v="1.5238965245193652E-2"/>
    <x v="9"/>
  </r>
  <r>
    <x v="2269"/>
    <n v="243.56"/>
    <x v="1861"/>
    <x v="1890"/>
    <x v="1891"/>
    <n v="56303160"/>
    <n v="-1.4110429447852714E-2"/>
    <x v="9"/>
  </r>
  <r>
    <x v="2270"/>
    <n v="243.82"/>
    <x v="1862"/>
    <x v="1891"/>
    <x v="1577"/>
    <n v="66289529"/>
    <n v="-9.4586185438705703E-3"/>
    <x v="9"/>
  </r>
  <r>
    <x v="2271"/>
    <n v="241.81"/>
    <x v="1863"/>
    <x v="1341"/>
    <x v="1892"/>
    <n v="83087063"/>
    <n v="-8.7825103656238218E-2"/>
    <x v="9"/>
  </r>
  <r>
    <x v="2272"/>
    <n v="220.13"/>
    <x v="1864"/>
    <x v="1892"/>
    <x v="1893"/>
    <n v="142628874"/>
    <n v="6.2442607897152669E-3"/>
    <x v="9"/>
  </r>
  <r>
    <x v="2273"/>
    <n v="220.13"/>
    <x v="1543"/>
    <x v="1893"/>
    <x v="1894"/>
    <n v="86291923"/>
    <n v="1.8707793392954764E-3"/>
    <x v="9"/>
  </r>
  <r>
    <x v="2274"/>
    <n v="220.01"/>
    <x v="1865"/>
    <x v="1894"/>
    <x v="1895"/>
    <n v="62988787"/>
    <n v="8.0156669854716915E-3"/>
    <x v="9"/>
  </r>
  <r>
    <x v="2275"/>
    <n v="221.4"/>
    <x v="1866"/>
    <x v="1895"/>
    <x v="1896"/>
    <n v="49632824"/>
    <n v="-1.9879817467131711E-3"/>
    <x v="9"/>
  </r>
  <r>
    <x v="2276"/>
    <n v="221.59"/>
    <x v="1867"/>
    <x v="1896"/>
    <x v="1329"/>
    <n v="50791784"/>
    <n v="-8.6015663905110115E-4"/>
    <x v="9"/>
  </r>
  <r>
    <x v="2277"/>
    <n v="220.71"/>
    <x v="1813"/>
    <x v="1054"/>
    <x v="1897"/>
    <n v="49611867"/>
    <n v="-8.3824195740824399E-3"/>
    <x v="9"/>
  </r>
  <r>
    <x v="2278"/>
    <n v="218.9"/>
    <x v="1868"/>
    <x v="1897"/>
    <x v="1898"/>
    <n v="47328988"/>
    <n v="-4.0210189627598609E-3"/>
    <x v="9"/>
  </r>
  <r>
    <x v="2279"/>
    <n v="217.31"/>
    <x v="1869"/>
    <x v="1898"/>
    <x v="1899"/>
    <n v="43268741"/>
    <n v="-1.9819241179978866E-2"/>
    <x v="9"/>
  </r>
  <r>
    <x v="2280"/>
    <n v="217.13"/>
    <x v="1870"/>
    <x v="1899"/>
    <x v="1900"/>
    <n v="80938892"/>
    <n v="0.21919026445120529"/>
    <x v="9"/>
  </r>
  <r>
    <x v="2281"/>
    <n v="244.68"/>
    <x v="1871"/>
    <x v="1900"/>
    <x v="1901"/>
    <n v="204491903"/>
    <n v="3.3438267813267732E-2"/>
    <x v="9"/>
  </r>
  <r>
    <x v="2282"/>
    <n v="256.01"/>
    <x v="1872"/>
    <x v="1901"/>
    <x v="1902"/>
    <n v="161611931"/>
    <n v="-2.4815186299639684E-2"/>
    <x v="9"/>
  </r>
  <r>
    <x v="2283"/>
    <n v="270"/>
    <x v="1873"/>
    <x v="1902"/>
    <x v="1903"/>
    <n v="107653603"/>
    <n v="-1.1390042284103497E-2"/>
    <x v="9"/>
  </r>
  <r>
    <x v="2284"/>
    <n v="264.51"/>
    <x v="1874"/>
    <x v="1903"/>
    <x v="1904"/>
    <n v="80521751"/>
    <n v="-7.5909371146731294E-3"/>
    <x v="9"/>
  </r>
  <r>
    <x v="2285"/>
    <n v="258.04000000000002"/>
    <x v="1875"/>
    <x v="1904"/>
    <x v="1905"/>
    <n v="53993576"/>
    <n v="-2.9897107357794668E-2"/>
    <x v="9"/>
  </r>
  <r>
    <x v="2286"/>
    <n v="257.99"/>
    <x v="1876"/>
    <x v="1905"/>
    <x v="1906"/>
    <n v="66575292"/>
    <n v="-3.4820892535521496E-3"/>
    <x v="9"/>
  </r>
  <r>
    <x v="2287"/>
    <n v="252.04"/>
    <x v="1877"/>
    <x v="1906"/>
    <x v="1907"/>
    <n v="57544757"/>
    <n v="-2.4660615310466649E-2"/>
    <x v="9"/>
  </r>
  <r>
    <x v="2288"/>
    <n v="244.56"/>
    <x v="1878"/>
    <x v="1907"/>
    <x v="1674"/>
    <n v="68802354"/>
    <n v="3.5414264536320184E-2"/>
    <x v="9"/>
  </r>
  <r>
    <x v="2289"/>
    <n v="247.34"/>
    <x v="1879"/>
    <x v="1908"/>
    <x v="1908"/>
    <n v="69282505"/>
    <n v="0.14751034043907085"/>
    <x v="9"/>
  </r>
  <r>
    <x v="2290"/>
    <n v="284.67"/>
    <x v="1880"/>
    <x v="1909"/>
    <x v="1909"/>
    <n v="165228710"/>
    <n v="2.9043773611063157E-2"/>
    <x v="9"/>
  </r>
  <r>
    <x v="2291"/>
    <n v="288.89"/>
    <x v="1881"/>
    <x v="1910"/>
    <x v="1910"/>
    <n v="117309232"/>
    <n v="8.1876662961840291E-2"/>
    <x v="9"/>
  </r>
  <r>
    <x v="2292"/>
    <n v="299.14"/>
    <x v="1882"/>
    <x v="1911"/>
    <x v="1911"/>
    <n v="204782763"/>
    <n v="8.9595915571882109E-2"/>
    <x v="9"/>
  </r>
  <r>
    <x v="2293"/>
    <n v="346.3"/>
    <x v="1883"/>
    <x v="1912"/>
    <x v="1912"/>
    <n v="210521625"/>
    <n v="-6.1457142857142828E-2"/>
    <x v="9"/>
  </r>
  <r>
    <x v="2294"/>
    <n v="342.74"/>
    <x v="1884"/>
    <x v="1913"/>
    <x v="1913"/>
    <n v="155726016"/>
    <n v="5.3274072270084322E-3"/>
    <x v="9"/>
  </r>
  <r>
    <x v="2295"/>
    <n v="335.85"/>
    <x v="1885"/>
    <x v="1914"/>
    <x v="1914"/>
    <n v="125405599"/>
    <n v="-5.7715600775193804E-2"/>
    <x v="9"/>
  </r>
  <r>
    <x v="2296"/>
    <n v="327.69"/>
    <x v="1886"/>
    <x v="1915"/>
    <x v="1915"/>
    <n v="120726109"/>
    <n v="3.065749726846205E-2"/>
    <x v="9"/>
  </r>
  <r>
    <x v="2297"/>
    <n v="310.57"/>
    <x v="1887"/>
    <x v="1916"/>
    <x v="1916"/>
    <n v="114440286"/>
    <n v="5.6186081317036604E-2"/>
    <x v="9"/>
  </r>
  <r>
    <x v="2298"/>
    <n v="340.73"/>
    <x v="1888"/>
    <x v="1917"/>
    <x v="1917"/>
    <n v="126547455"/>
    <n v="2.1432367007144095E-2"/>
    <x v="9"/>
  </r>
  <r>
    <x v="2299"/>
    <n v="335.76"/>
    <x v="1889"/>
    <x v="1918"/>
    <x v="1918"/>
    <n v="88852452"/>
    <n v="-1.1473988439306438E-2"/>
    <x v="9"/>
  </r>
  <r>
    <x v="2300"/>
    <n v="345"/>
    <x v="1890"/>
    <x v="1919"/>
    <x v="1919"/>
    <n v="66340650"/>
    <n v="-6.9876911382042118E-3"/>
    <x v="9"/>
  </r>
  <r>
    <x v="2301"/>
    <n v="343.81"/>
    <x v="1891"/>
    <x v="1920"/>
    <x v="1920"/>
    <n v="58011719"/>
    <n v="3.8040277941349711E-2"/>
    <x v="9"/>
  </r>
  <r>
    <x v="2302"/>
    <n v="341.09"/>
    <x v="1892"/>
    <x v="1921"/>
    <x v="1921"/>
    <n v="89140722"/>
    <n v="-3.962446108463815E-2"/>
    <x v="9"/>
  </r>
  <r>
    <x v="2303"/>
    <n v="360.14"/>
    <x v="1893"/>
    <x v="1922"/>
    <x v="1922"/>
    <n v="95890899"/>
    <n v="-1.0632328184528687E-3"/>
    <x v="9"/>
  </r>
  <r>
    <x v="2304"/>
    <n v="341"/>
    <x v="1894"/>
    <x v="1923"/>
    <x v="1923"/>
    <n v="62295857"/>
    <n v="-1.5788073204624165E-2"/>
    <x v="9"/>
  </r>
  <r>
    <x v="2305"/>
    <n v="341.8"/>
    <x v="1895"/>
    <x v="1924"/>
    <x v="1924"/>
    <n v="57896439"/>
    <n v="3.6859022499925016E-2"/>
    <x v="9"/>
  </r>
  <r>
    <x v="2306"/>
    <n v="336.08"/>
    <x v="1896"/>
    <x v="1925"/>
    <x v="1925"/>
    <n v="37167621"/>
    <n v="3.4563680611889989E-2"/>
    <x v="9"/>
  </r>
  <r>
    <x v="2307"/>
    <n v="352.38"/>
    <x v="1897"/>
    <x v="1926"/>
    <x v="1926"/>
    <n v="77986478"/>
    <n v="-1.5878349995799266E-2"/>
    <x v="9"/>
  </r>
  <r>
    <x v="2308"/>
    <n v="351.8"/>
    <x v="1898"/>
    <x v="1927"/>
    <x v="1927"/>
    <n v="58267196"/>
    <n v="1.8524842069318738E-2"/>
    <x v="9"/>
  </r>
  <r>
    <x v="2309"/>
    <n v="353"/>
    <x v="1899"/>
    <x v="1928"/>
    <x v="1928"/>
    <n v="50810874"/>
    <n v="3.2296817813538964E-2"/>
    <x v="9"/>
  </r>
  <r>
    <x v="2310"/>
    <n v="359.87"/>
    <x v="1900"/>
    <x v="1929"/>
    <x v="1929"/>
    <n v="81403569"/>
    <n v="5.3397926872175205E-2"/>
    <x v="9"/>
  </r>
  <r>
    <x v="2311"/>
    <n v="377.42"/>
    <x v="1901"/>
    <x v="1930"/>
    <x v="1930"/>
    <n v="81455834"/>
    <n v="1.4644673963311061E-3"/>
    <x v="9"/>
  </r>
  <r>
    <x v="2312"/>
    <n v="397.61"/>
    <x v="1902"/>
    <x v="1931"/>
    <x v="1931"/>
    <n v="96359173"/>
    <n v="2.8733420559788572E-2"/>
    <x v="9"/>
  </r>
  <r>
    <x v="2313"/>
    <n v="392.68"/>
    <x v="1903"/>
    <x v="1932"/>
    <x v="1932"/>
    <n v="97563578"/>
    <n v="5.9303224519314628E-2"/>
    <x v="9"/>
  </r>
  <r>
    <x v="2314"/>
    <n v="409.7"/>
    <x v="1904"/>
    <x v="1933"/>
    <x v="1933"/>
    <n v="104287559"/>
    <n v="-1.5702615533111943E-2"/>
    <x v="9"/>
  </r>
  <r>
    <x v="2315"/>
    <n v="424.84"/>
    <x v="1905"/>
    <x v="1934"/>
    <x v="1934"/>
    <n v="87752225"/>
    <n v="4.3362831858407065E-2"/>
    <x v="9"/>
  </r>
  <r>
    <x v="2316"/>
    <n v="420"/>
    <x v="1906"/>
    <x v="1935"/>
    <x v="1935"/>
    <n v="89000158"/>
    <n v="6.1412557595763619E-2"/>
    <x v="9"/>
  </r>
  <r>
    <x v="2317"/>
    <n v="441.09"/>
    <x v="1907"/>
    <x v="1936"/>
    <x v="1936"/>
    <n v="114083811"/>
    <n v="3.6369919225951432E-2"/>
    <x v="9"/>
  </r>
  <r>
    <x v="2318"/>
    <n v="475.9"/>
    <x v="1908"/>
    <x v="1937"/>
    <x v="1937"/>
    <n v="131222978"/>
    <n v="-8.2794981869712028E-2"/>
    <x v="9"/>
  </r>
  <r>
    <x v="2319"/>
    <n v="466.5"/>
    <x v="1909"/>
    <x v="1938"/>
    <x v="1938"/>
    <n v="149340788"/>
    <n v="-8.997341694499306E-3"/>
    <x v="9"/>
  </r>
  <r>
    <x v="2320"/>
    <n v="451.88"/>
    <x v="1910"/>
    <x v="1939"/>
    <x v="1939"/>
    <n v="118566146"/>
    <n v="-3.4642455923149261E-2"/>
    <x v="9"/>
  </r>
  <r>
    <x v="2321"/>
    <n v="425.51"/>
    <x v="1911"/>
    <x v="1940"/>
    <x v="1940"/>
    <n v="132216176"/>
    <n v="2.2657103500688787E-2"/>
    <x v="9"/>
  </r>
  <r>
    <x v="2322"/>
    <n v="431"/>
    <x v="1912"/>
    <x v="1941"/>
    <x v="1941"/>
    <n v="72698055"/>
    <n v="7.3571760334416966E-2"/>
    <x v="9"/>
  </r>
  <r>
    <x v="2323"/>
    <n v="435.9"/>
    <x v="1913"/>
    <x v="1942"/>
    <x v="1942"/>
    <n v="59551750"/>
    <n v="-1.7630007787488054E-2"/>
    <x v="9"/>
  </r>
  <r>
    <x v="2324"/>
    <n v="465.16"/>
    <x v="1914"/>
    <x v="1943"/>
    <x v="1943"/>
    <n v="76651210"/>
    <n v="-4.9479224010745754E-2"/>
    <x v="9"/>
  </r>
  <r>
    <x v="2325"/>
    <n v="449.52"/>
    <x v="1915"/>
    <x v="1944"/>
    <x v="1944"/>
    <n v="82666821"/>
    <n v="-3.3012092850854838E-2"/>
    <x v="9"/>
  </r>
  <r>
    <x v="2326"/>
    <n v="419.4"/>
    <x v="1916"/>
    <x v="1945"/>
    <x v="1945"/>
    <n v="64941012"/>
    <n v="-3.2510002156153538E-2"/>
    <x v="9"/>
  </r>
  <r>
    <x v="2327"/>
    <n v="423.79"/>
    <x v="1917"/>
    <x v="1946"/>
    <x v="1946"/>
    <n v="76825121"/>
    <n v="-6.081616481774961E-2"/>
    <x v="9"/>
  </r>
  <r>
    <x v="2328"/>
    <n v="390.1"/>
    <x v="1918"/>
    <x v="1947"/>
    <x v="1947"/>
    <n v="109710749"/>
    <n v="8.2155663362159959E-2"/>
    <x v="10"/>
  </r>
  <r>
    <x v="2329"/>
    <n v="381.48"/>
    <x v="1919"/>
    <x v="1948"/>
    <x v="1948"/>
    <n v="95423329"/>
    <n v="1.4862099210603587E-3"/>
    <x v="10"/>
  </r>
  <r>
    <x v="2330"/>
    <n v="423.2"/>
    <x v="1920"/>
    <x v="1949"/>
    <x v="1949"/>
    <n v="85516534"/>
    <n v="-4.060333292786765E-2"/>
    <x v="10"/>
  </r>
  <r>
    <x v="2331"/>
    <n v="405.83"/>
    <x v="1921"/>
    <x v="1950"/>
    <x v="1950"/>
    <n v="75699525"/>
    <n v="1.4707373973019172E-3"/>
    <x v="10"/>
  </r>
  <r>
    <x v="2332"/>
    <n v="392.95"/>
    <x v="1922"/>
    <x v="1951"/>
    <x v="1951"/>
    <n v="73038805"/>
    <n v="-5.0640603635992466E-4"/>
    <x v="10"/>
  </r>
  <r>
    <x v="2333"/>
    <n v="391.4"/>
    <x v="1923"/>
    <x v="1952"/>
    <x v="1952"/>
    <n v="62287333"/>
    <n v="2.1710492982722786E-2"/>
    <x v="10"/>
  </r>
  <r>
    <x v="2334"/>
    <n v="383.21"/>
    <x v="1924"/>
    <x v="1953"/>
    <x v="1953"/>
    <n v="67580494"/>
    <n v="-1.723240187448858E-2"/>
    <x v="10"/>
  </r>
  <r>
    <x v="2335"/>
    <n v="414.34"/>
    <x v="1925"/>
    <x v="1954"/>
    <x v="1954"/>
    <n v="84565022"/>
    <n v="8.0381471389645812E-2"/>
    <x v="10"/>
  </r>
  <r>
    <x v="2336"/>
    <n v="409.9"/>
    <x v="1926"/>
    <x v="1955"/>
    <x v="1955"/>
    <n v="81375460"/>
    <n v="-3.3627574611181245E-2"/>
    <x v="10"/>
  </r>
  <r>
    <x v="2337"/>
    <n v="423.49"/>
    <x v="1927"/>
    <x v="1956"/>
    <x v="1956"/>
    <n v="68335151"/>
    <n v="3.0641341646126353E-2"/>
    <x v="10"/>
  </r>
  <r>
    <x v="2338"/>
    <n v="421.5"/>
    <x v="1928"/>
    <x v="1957"/>
    <x v="1957"/>
    <n v="94991429"/>
    <n v="-5.697538100820649E-3"/>
    <x v="10"/>
  </r>
  <r>
    <x v="2339"/>
    <n v="432.64"/>
    <x v="1929"/>
    <x v="1958"/>
    <x v="1958"/>
    <n v="87320894"/>
    <n v="-2.1128587261536963E-2"/>
    <x v="10"/>
  </r>
  <r>
    <x v="2340"/>
    <n v="416.81"/>
    <x v="1930"/>
    <x v="1959"/>
    <x v="1959"/>
    <n v="60963342"/>
    <n v="-6.5765700657657439E-3"/>
    <x v="10"/>
  </r>
  <r>
    <x v="2341"/>
    <n v="416.06"/>
    <x v="1931"/>
    <x v="1960"/>
    <x v="1960"/>
    <n v="50690592"/>
    <n v="-1.4064697609001434E-2"/>
    <x v="10"/>
  </r>
  <r>
    <x v="2342"/>
    <n v="414.45"/>
    <x v="1932"/>
    <x v="1961"/>
    <x v="1961"/>
    <n v="56427149"/>
    <n v="-2.3193467460278439E-2"/>
    <x v="10"/>
  </r>
  <r>
    <x v="2343"/>
    <n v="394.8"/>
    <x v="1933"/>
    <x v="1962"/>
    <x v="1962"/>
    <n v="58125510"/>
    <n v="2.3668639053254382E-3"/>
    <x v="10"/>
  </r>
  <r>
    <x v="2344"/>
    <n v="396.91"/>
    <x v="1934"/>
    <x v="1963"/>
    <x v="1963"/>
    <n v="48910676"/>
    <n v="-2.2582833027707184E-2"/>
    <x v="10"/>
  </r>
  <r>
    <x v="2345"/>
    <n v="395.21"/>
    <x v="1935"/>
    <x v="1964"/>
    <x v="1964"/>
    <n v="68033648"/>
    <n v="2.8732973528655743E-2"/>
    <x v="10"/>
  </r>
  <r>
    <x v="2346"/>
    <n v="410.78"/>
    <x v="1936"/>
    <x v="1965"/>
    <x v="1965"/>
    <n v="98092879"/>
    <n v="1.0792445288298317E-2"/>
    <x v="10"/>
  </r>
  <r>
    <x v="2347"/>
    <n v="401.53"/>
    <x v="1937"/>
    <x v="1966"/>
    <x v="1966"/>
    <n v="83568219"/>
    <n v="-5.1705388037568002E-2"/>
    <x v="10"/>
  </r>
  <r>
    <x v="2348"/>
    <n v="386.68"/>
    <x v="1938"/>
    <x v="1967"/>
    <x v="1967"/>
    <n v="93732122"/>
    <n v="2.22320683903252E-2"/>
    <x v="10"/>
  </r>
  <r>
    <x v="2349"/>
    <n v="382.63"/>
    <x v="1939"/>
    <x v="1968"/>
    <x v="1968"/>
    <n v="57072235"/>
    <n v="-3.5797149486244524E-2"/>
    <x v="10"/>
  </r>
  <r>
    <x v="2350"/>
    <n v="387.51"/>
    <x v="1940"/>
    <x v="1969"/>
    <x v="1969"/>
    <n v="57614721"/>
    <n v="-1.0180606605494942E-2"/>
    <x v="10"/>
  </r>
  <r>
    <x v="2351"/>
    <n v="373.03"/>
    <x v="1941"/>
    <x v="1970"/>
    <x v="1970"/>
    <n v="77918230"/>
    <n v="-3.3928189784141881E-2"/>
    <x v="10"/>
  </r>
  <r>
    <x v="2352"/>
    <n v="370.19"/>
    <x v="1942"/>
    <x v="1224"/>
    <x v="1971"/>
    <n v="70298258"/>
    <n v="-3.0114484818317532E-2"/>
    <x v="10"/>
  </r>
  <r>
    <x v="2353"/>
    <n v="356.21"/>
    <x v="1943"/>
    <x v="1971"/>
    <x v="1972"/>
    <n v="77514903"/>
    <n v="-6.3382088786245877E-2"/>
    <x v="10"/>
  </r>
  <r>
    <x v="2354"/>
    <n v="345.8"/>
    <x v="1944"/>
    <x v="1297"/>
    <x v="1973"/>
    <n v="118543400"/>
    <n v="2.4383561643835587E-2"/>
    <x v="10"/>
  </r>
  <r>
    <x v="2355"/>
    <n v="329.94"/>
    <x v="1945"/>
    <x v="1972"/>
    <x v="1974"/>
    <n v="105382729"/>
    <n v="5.773974027517758E-2"/>
    <x v="10"/>
  </r>
  <r>
    <x v="2356"/>
    <n v="345"/>
    <x v="1946"/>
    <x v="1973"/>
    <x v="1975"/>
    <n v="89441519"/>
    <n v="-2.8094622689223673E-4"/>
    <x v="10"/>
  </r>
  <r>
    <x v="2357"/>
    <n v="360.62"/>
    <x v="1947"/>
    <x v="1974"/>
    <x v="1976"/>
    <n v="68277279"/>
    <n v="-4.8617356115106831E-3"/>
    <x v="10"/>
  </r>
  <r>
    <x v="2358"/>
    <n v="355.01"/>
    <x v="1948"/>
    <x v="1975"/>
    <x v="1977"/>
    <n v="51631702"/>
    <n v="1.8214679054531044E-2"/>
    <x v="10"/>
  </r>
  <r>
    <x v="2359"/>
    <n v="354"/>
    <x v="1949"/>
    <x v="1976"/>
    <x v="1978"/>
    <n v="67094374"/>
    <n v="-1.7084535167517265E-2"/>
    <x v="10"/>
  </r>
  <r>
    <x v="2360"/>
    <n v="361.51"/>
    <x v="1950"/>
    <x v="1977"/>
    <x v="1979"/>
    <n v="45965354"/>
    <n v="-4.6839729119638733E-2"/>
    <x v="10"/>
  </r>
  <r>
    <x v="2361"/>
    <n v="353.44"/>
    <x v="1951"/>
    <x v="1978"/>
    <x v="1186"/>
    <n v="74058648"/>
    <n v="-2.1521610420367196E-2"/>
    <x v="10"/>
  </r>
  <r>
    <x v="2362"/>
    <n v="338.14"/>
    <x v="1952"/>
    <x v="1979"/>
    <x v="1980"/>
    <n v="76052321"/>
    <n v="-8.3895561673675498E-2"/>
    <x v="10"/>
  </r>
  <r>
    <x v="2363"/>
    <n v="327.02"/>
    <x v="1953"/>
    <x v="1980"/>
    <x v="1981"/>
    <n v="134228777"/>
    <n v="-3.9630118890356669E-2"/>
    <x v="10"/>
  </r>
  <r>
    <x v="2364"/>
    <n v="303.70999999999998"/>
    <x v="1954"/>
    <x v="1981"/>
    <x v="1982"/>
    <n v="100118276"/>
    <n v="-3.0433287482806128E-2"/>
    <x v="10"/>
  </r>
  <r>
    <x v="2365"/>
    <n v="291.16000000000003"/>
    <x v="1955"/>
    <x v="1982"/>
    <x v="1983"/>
    <n v="101748197"/>
    <n v="3.9120411420464726E-2"/>
    <x v="10"/>
  </r>
  <r>
    <x v="2366"/>
    <n v="279.5"/>
    <x v="1956"/>
    <x v="1983"/>
    <x v="1984"/>
    <n v="115696968"/>
    <n v="-2.8431974878831458E-2"/>
    <x v="10"/>
  </r>
  <r>
    <x v="2367"/>
    <n v="300.33999999999997"/>
    <x v="1957"/>
    <x v="1984"/>
    <x v="1985"/>
    <n v="115551414"/>
    <n v="-4.4300017565431081E-2"/>
    <x v="10"/>
  </r>
  <r>
    <x v="2368"/>
    <n v="270.93"/>
    <x v="1958"/>
    <x v="1985"/>
    <x v="1000"/>
    <n v="126706623"/>
    <n v="2.595206587266579E-2"/>
    <x v="10"/>
  </r>
  <r>
    <x v="2369"/>
    <n v="272.92"/>
    <x v="1959"/>
    <x v="1986"/>
    <x v="1986"/>
    <n v="94042913"/>
    <n v="-5.607309208169127E-2"/>
    <x v="10"/>
  </r>
  <r>
    <x v="2370"/>
    <n v="272.06"/>
    <x v="1960"/>
    <x v="1987"/>
    <x v="1987"/>
    <n v="98451566"/>
    <n v="-2.9607136078951329E-3"/>
    <x v="10"/>
  </r>
  <r>
    <x v="2371"/>
    <n v="259.32"/>
    <x v="1961"/>
    <x v="1988"/>
    <x v="1988"/>
    <n v="102369640"/>
    <n v="-0.15426200175124685"/>
    <x v="10"/>
  </r>
  <r>
    <x v="2372"/>
    <n v="252.54"/>
    <x v="1962"/>
    <x v="1848"/>
    <x v="1989"/>
    <n v="189076948"/>
    <n v="3.7947332883187065E-2"/>
    <x v="10"/>
  </r>
  <r>
    <x v="2373"/>
    <n v="225.31"/>
    <x v="1963"/>
    <x v="1989"/>
    <x v="1990"/>
    <n v="174896415"/>
    <n v="7.5938936594674253E-2"/>
    <x v="10"/>
  </r>
  <r>
    <x v="2374"/>
    <n v="247.22"/>
    <x v="1804"/>
    <x v="1990"/>
    <x v="1991"/>
    <n v="142215681"/>
    <n v="-2.9868192994477797E-2"/>
    <x v="10"/>
  </r>
  <r>
    <x v="2375"/>
    <n v="248.13"/>
    <x v="1964"/>
    <x v="1991"/>
    <x v="1992"/>
    <n v="114813525"/>
    <n v="3.8640518530829247E-2"/>
    <x v="10"/>
  </r>
  <r>
    <x v="2376"/>
    <n v="247.31"/>
    <x v="1965"/>
    <x v="1992"/>
    <x v="1993"/>
    <n v="100242264"/>
    <n v="-4.7883830706456514E-2"/>
    <x v="10"/>
  </r>
  <r>
    <x v="2377"/>
    <n v="245.06"/>
    <x v="1966"/>
    <x v="1116"/>
    <x v="1994"/>
    <n v="111900565"/>
    <n v="-5.3359102558715975E-2"/>
    <x v="10"/>
  </r>
  <r>
    <x v="2378"/>
    <n v="228.16"/>
    <x v="1967"/>
    <x v="1993"/>
    <x v="1995"/>
    <n v="111477636"/>
    <n v="4.6824375305135196E-2"/>
    <x v="10"/>
  </r>
  <r>
    <x v="2379"/>
    <n v="231.61"/>
    <x v="1968"/>
    <x v="1994"/>
    <x v="1996"/>
    <n v="111993753"/>
    <n v="1.6959213092511542E-3"/>
    <x v="10"/>
  </r>
  <r>
    <x v="2380"/>
    <n v="233.35"/>
    <x v="1969"/>
    <x v="1995"/>
    <x v="1997"/>
    <n v="99028270"/>
    <n v="5.2696182172183262E-2"/>
    <x v="10"/>
  </r>
  <r>
    <x v="2381"/>
    <n v="234.99"/>
    <x v="1970"/>
    <x v="1996"/>
    <x v="1998"/>
    <n v="132728684"/>
    <n v="0.11933577258654648"/>
    <x v="10"/>
  </r>
  <r>
    <x v="2382"/>
    <n v="258.08"/>
    <x v="1971"/>
    <x v="1997"/>
    <x v="1999"/>
    <n v="169079865"/>
    <n v="3.5022809727360896E-2"/>
    <x v="10"/>
  </r>
  <r>
    <x v="2383"/>
    <n v="283.60000000000002"/>
    <x v="1972"/>
    <x v="1998"/>
    <x v="2000"/>
    <n v="150361538"/>
    <n v="-5.5806205316859807E-2"/>
    <x v="10"/>
  </r>
  <r>
    <x v="2384"/>
    <n v="282.66000000000003"/>
    <x v="1973"/>
    <x v="1999"/>
    <x v="2001"/>
    <n v="156254441"/>
    <n v="3.9329559655957996E-3"/>
    <x v="10"/>
  </r>
  <r>
    <x v="2385"/>
    <n v="272.48"/>
    <x v="1974"/>
    <x v="2000"/>
    <x v="2002"/>
    <n v="162572146"/>
    <n v="-3.5074872771207792E-2"/>
    <x v="10"/>
  </r>
  <r>
    <x v="2386"/>
    <n v="275.58"/>
    <x v="1975"/>
    <x v="2001"/>
    <x v="2003"/>
    <n v="123809389"/>
    <n v="-1.6657180800607043E-2"/>
    <x v="10"/>
  </r>
  <r>
    <x v="2387"/>
    <n v="249.31"/>
    <x v="1976"/>
    <x v="2002"/>
    <x v="2004"/>
    <n v="134008936"/>
    <n v="3.5885167464114652E-2"/>
    <x v="10"/>
  </r>
  <r>
    <x v="2388"/>
    <n v="263.8"/>
    <x v="1977"/>
    <x v="2003"/>
    <x v="2005"/>
    <n v="146486911"/>
    <n v="5.3266780898457919E-2"/>
    <x v="10"/>
  </r>
  <r>
    <x v="2389"/>
    <n v="254.6"/>
    <x v="1978"/>
    <x v="2004"/>
    <x v="2006"/>
    <n v="212787817"/>
    <n v="-5.4746074409393192E-2"/>
    <x v="10"/>
  </r>
  <r>
    <x v="2390"/>
    <n v="265.29000000000002"/>
    <x v="1979"/>
    <x v="2005"/>
    <x v="2007"/>
    <n v="136174291"/>
    <n v="-0.1041978449565997"/>
    <x v="10"/>
  </r>
  <r>
    <x v="2391"/>
    <n v="255.38"/>
    <x v="1980"/>
    <x v="2006"/>
    <x v="2008"/>
    <n v="181229353"/>
    <n v="-2.5644238399532282E-2"/>
    <x v="10"/>
  </r>
  <r>
    <x v="2392"/>
    <n v="223.78"/>
    <x v="1981"/>
    <x v="2007"/>
    <x v="2009"/>
    <n v="183453776"/>
    <n v="-4.899481332247408E-2"/>
    <x v="10"/>
  </r>
  <r>
    <x v="2393"/>
    <n v="245"/>
    <x v="1982"/>
    <x v="2008"/>
    <x v="2010"/>
    <n v="171603472"/>
    <n v="0.22689984675020269"/>
    <x v="10"/>
  </r>
  <r>
    <x v="2394"/>
    <n v="224.69"/>
    <x v="1983"/>
    <x v="1037"/>
    <x v="2011"/>
    <n v="219433373"/>
    <n v="-7.274063188831735E-2"/>
    <x v="10"/>
  </r>
  <r>
    <x v="2395"/>
    <n v="260"/>
    <x v="1984"/>
    <x v="1329"/>
    <x v="2012"/>
    <n v="181722604"/>
    <n v="-3.5657686212362682E-4"/>
    <x v="10"/>
  </r>
  <r>
    <x v="2396"/>
    <n v="251.84"/>
    <x v="1985"/>
    <x v="2009"/>
    <x v="2013"/>
    <n v="128948085"/>
    <n v="1.5853513534934026E-4"/>
    <x v="10"/>
  </r>
  <r>
    <x v="2397"/>
    <n v="258.36"/>
    <x v="1986"/>
    <x v="2010"/>
    <x v="2014"/>
    <n v="100135241"/>
    <n v="6.9744402615415863E-3"/>
    <x v="10"/>
  </r>
  <r>
    <x v="2398"/>
    <n v="249.91"/>
    <x v="1987"/>
    <x v="2011"/>
    <x v="1040"/>
    <n v="79594318"/>
    <n v="-4.9427413324938024E-2"/>
    <x v="10"/>
  </r>
  <r>
    <x v="2399"/>
    <n v="247.61"/>
    <x v="1988"/>
    <x v="2012"/>
    <x v="2015"/>
    <n v="112378737"/>
    <n v="-7.4518733181538736E-4"/>
    <x v="10"/>
  </r>
  <r>
    <x v="2400"/>
    <n v="243.47"/>
    <x v="1989"/>
    <x v="2013"/>
    <x v="2016"/>
    <n v="83404775"/>
    <n v="-5.7463645026308179E-2"/>
    <x v="10"/>
  </r>
  <r>
    <x v="2401"/>
    <n v="230.26"/>
    <x v="1990"/>
    <x v="970"/>
    <x v="2017"/>
    <n v="97768007"/>
    <n v="4.6021978021978015E-2"/>
    <x v="10"/>
  </r>
  <r>
    <x v="2402"/>
    <n v="230.96"/>
    <x v="1863"/>
    <x v="2014"/>
    <x v="2018"/>
    <n v="120858452"/>
    <n v="5.3662226331050174E-2"/>
    <x v="10"/>
  </r>
  <r>
    <x v="2403"/>
    <n v="254.86"/>
    <x v="1991"/>
    <x v="2015"/>
    <x v="2019"/>
    <n v="150381903"/>
    <n v="3.497646964983641E-2"/>
    <x v="10"/>
  </r>
  <r>
    <x v="2404"/>
    <n v="250.5"/>
    <x v="1992"/>
    <x v="1147"/>
    <x v="2020"/>
    <n v="94464195"/>
    <n v="9.8030904396747706E-2"/>
    <x v="10"/>
  </r>
  <r>
    <x v="2405"/>
    <n v="261.69"/>
    <x v="1244"/>
    <x v="2016"/>
    <x v="2021"/>
    <n v="167560688"/>
    <n v="3.2637304790314333E-3"/>
    <x v="10"/>
  </r>
  <r>
    <x v="2406"/>
    <n v="288.98"/>
    <x v="1993"/>
    <x v="2017"/>
    <x v="2022"/>
    <n v="151731771"/>
    <n v="2.1512522736812568E-2"/>
    <x v="10"/>
  </r>
  <r>
    <x v="2407"/>
    <n v="285.5"/>
    <x v="1994"/>
    <x v="2018"/>
    <x v="2023"/>
    <n v="108906553"/>
    <n v="-3.3797897476286504E-2"/>
    <x v="10"/>
  </r>
  <r>
    <x v="2408"/>
    <n v="279.89999999999998"/>
    <x v="1995"/>
    <x v="2019"/>
    <x v="2024"/>
    <n v="128961057"/>
    <n v="-5.8123050751348283E-3"/>
    <x v="10"/>
  </r>
  <r>
    <x v="2409"/>
    <n v="280.01"/>
    <x v="1996"/>
    <x v="2020"/>
    <x v="2025"/>
    <n v="99658974"/>
    <n v="2.3848566947098238E-2"/>
    <x v="10"/>
  </r>
  <r>
    <x v="2410"/>
    <n v="284.89999999999998"/>
    <x v="1997"/>
    <x v="2020"/>
    <x v="2026"/>
    <n v="114454683"/>
    <n v="-2.4198321785453114E-2"/>
    <x v="10"/>
  </r>
  <r>
    <x v="2411"/>
    <n v="284.57"/>
    <x v="1998"/>
    <x v="2021"/>
    <x v="2027"/>
    <n v="94618882"/>
    <n v="-1.7519446228501993E-2"/>
    <x v="10"/>
  </r>
  <r>
    <x v="2412"/>
    <n v="273.11"/>
    <x v="1999"/>
    <x v="2022"/>
    <x v="2028"/>
    <n v="76715792"/>
    <n v="3.1596150354094949E-3"/>
    <x v="10"/>
  </r>
  <r>
    <x v="2413"/>
    <n v="276.88"/>
    <x v="2000"/>
    <x v="1638"/>
    <x v="2029"/>
    <n v="71882408"/>
    <n v="3.1134602852798367E-2"/>
    <x v="10"/>
  </r>
  <r>
    <x v="2414"/>
    <n v="279.63"/>
    <x v="2001"/>
    <x v="2023"/>
    <x v="1376"/>
    <n v="97539448"/>
    <n v="4.7187697493153567E-2"/>
    <x v="10"/>
  </r>
  <r>
    <x v="2415"/>
    <n v="290.20999999999998"/>
    <x v="2002"/>
    <x v="1301"/>
    <x v="2030"/>
    <n v="132387835"/>
    <n v="6.7457922617850219E-2"/>
    <x v="10"/>
  </r>
  <r>
    <x v="2416"/>
    <n v="321.99"/>
    <x v="2003"/>
    <x v="2024"/>
    <x v="2031"/>
    <n v="112826661"/>
    <n v="4.9280733714429294E-2"/>
    <x v="10"/>
  </r>
  <r>
    <x v="2417"/>
    <n v="320"/>
    <x v="2004"/>
    <x v="2025"/>
    <x v="2032"/>
    <n v="136992574"/>
    <n v="4.0739964678061527E-2"/>
    <x v="10"/>
  </r>
  <r>
    <x v="2418"/>
    <n v="342.5"/>
    <x v="2005"/>
    <x v="2026"/>
    <x v="2033"/>
    <n v="136997264"/>
    <n v="-1.3978370915784669E-2"/>
    <x v="10"/>
  </r>
  <r>
    <x v="2419"/>
    <n v="340.34"/>
    <x v="2006"/>
    <x v="2027"/>
    <x v="2034"/>
    <n v="97882596"/>
    <n v="2.0885595939560193E-2"/>
    <x v="10"/>
  </r>
  <r>
    <x v="2420"/>
    <n v="346.24"/>
    <x v="2007"/>
    <x v="2028"/>
    <x v="2035"/>
    <n v="95895665"/>
    <n v="-2.2544145379736109E-2"/>
    <x v="10"/>
  </r>
  <r>
    <x v="2421"/>
    <n v="336.3"/>
    <x v="2008"/>
    <x v="2029"/>
    <x v="2036"/>
    <n v="88869853"/>
    <n v="5.0571487035575968E-3"/>
    <x v="10"/>
  </r>
  <r>
    <x v="2422"/>
    <n v="347.87"/>
    <x v="2009"/>
    <x v="2030"/>
    <x v="2037"/>
    <n v="131715548"/>
    <n v="-2.6758187423651877E-2"/>
    <x v="10"/>
  </r>
  <r>
    <x v="2423"/>
    <n v="344.43"/>
    <x v="2010"/>
    <x v="2031"/>
    <x v="2038"/>
    <n v="102354844"/>
    <n v="0"/>
    <x v="10"/>
  </r>
  <r>
    <x v="2424"/>
    <n v="344.43"/>
    <x v="2010"/>
    <x v="2031"/>
    <x v="2038"/>
    <n v="5462213"/>
    <n v="1.4105552567090941E-2"/>
    <x v="10"/>
  </r>
  <r>
    <x v="2425"/>
    <n v="337.92"/>
    <x v="2011"/>
    <x v="2032"/>
    <x v="2039"/>
    <n v="84654818"/>
    <n v="6.9399422408204195E-2"/>
    <x v="10"/>
  </r>
  <r>
    <x v="2426"/>
    <n v="347.35"/>
    <x v="2012"/>
    <x v="2033"/>
    <x v="2040"/>
    <n v="120146414"/>
    <n v="-1.6506379343602769E-2"/>
    <x v="10"/>
  </r>
  <r>
    <x v="2427"/>
    <n v="364.84"/>
    <x v="2013"/>
    <x v="2034"/>
    <x v="2041"/>
    <n v="91404309"/>
    <n v="4.2869151022696264E-3"/>
    <x v="10"/>
  </r>
  <r>
    <x v="2428"/>
    <n v="365.29"/>
    <x v="1259"/>
    <x v="2035"/>
    <x v="2042"/>
    <n v="88545666"/>
    <n v="-3.3395642105850588E-2"/>
    <x v="10"/>
  </r>
  <r>
    <x v="2429"/>
    <n v="355.52"/>
    <x v="2014"/>
    <x v="2036"/>
    <x v="2043"/>
    <n v="123474938"/>
    <n v="-1.0881487040350926E-2"/>
    <x v="10"/>
  </r>
  <r>
    <x v="2430"/>
    <n v="343.5"/>
    <x v="2015"/>
    <x v="2037"/>
    <x v="2044"/>
    <n v="81873829"/>
    <n v="4.6105809915666755E-3"/>
    <x v="10"/>
  </r>
  <r>
    <x v="2431"/>
    <n v="346.6"/>
    <x v="2016"/>
    <x v="2038"/>
    <x v="2045"/>
    <n v="99324544"/>
    <n v="-3.5495396055421534E-2"/>
    <x v="10"/>
  </r>
  <r>
    <x v="2432"/>
    <n v="345.1"/>
    <x v="2017"/>
    <x v="2039"/>
    <x v="2046"/>
    <n v="98912075"/>
    <n v="-0.14259900617376908"/>
    <x v="10"/>
  </r>
  <r>
    <x v="2433"/>
    <n v="322.49"/>
    <x v="2018"/>
    <x v="2040"/>
    <x v="2047"/>
    <n v="292818655"/>
    <n v="3.6670179135932554E-2"/>
    <x v="10"/>
  </r>
  <r>
    <x v="2434"/>
    <n v="298.83"/>
    <x v="2019"/>
    <x v="2041"/>
    <x v="2048"/>
    <n v="164747685"/>
    <n v="4.5537710916853012E-2"/>
    <x v="10"/>
  </r>
  <r>
    <x v="2435"/>
    <n v="285.95999999999998"/>
    <x v="2020"/>
    <x v="2042"/>
    <x v="2049"/>
    <n v="140908876"/>
    <n v="5.6743794153866073E-2"/>
    <x v="10"/>
  </r>
  <r>
    <x v="2436"/>
    <n v="314.94"/>
    <x v="2021"/>
    <x v="2043"/>
    <x v="2050"/>
    <n v="151256520"/>
    <n v="1.0426569352020359E-3"/>
    <x v="10"/>
  </r>
  <r>
    <x v="2437"/>
    <n v="334.4"/>
    <x v="2022"/>
    <x v="1914"/>
    <x v="2051"/>
    <n v="122611360"/>
    <n v="-2.2424409521183693E-2"/>
    <x v="10"/>
  </r>
  <r>
    <x v="2438"/>
    <n v="323.08"/>
    <x v="2023"/>
    <x v="2044"/>
    <x v="2052"/>
    <n v="105127536"/>
    <n v="1.9429037009181749E-2"/>
    <x v="10"/>
  </r>
  <r>
    <x v="2439"/>
    <n v="313.97000000000003"/>
    <x v="2024"/>
    <x v="2045"/>
    <x v="1285"/>
    <n v="128964279"/>
    <n v="1.1742645476622278E-2"/>
    <x v="10"/>
  </r>
  <r>
    <x v="2440"/>
    <n v="331.29"/>
    <x v="2025"/>
    <x v="2046"/>
    <x v="2053"/>
    <n v="83925858"/>
    <n v="-3.8829641782882063E-2"/>
    <x v="10"/>
  </r>
  <r>
    <x v="2441"/>
    <n v="326.08999999999997"/>
    <x v="2026"/>
    <x v="2047"/>
    <x v="2054"/>
    <n v="88282669"/>
    <n v="1.801801801801798E-2"/>
    <x v="10"/>
  </r>
  <r>
    <x v="2442"/>
    <n v="317.31"/>
    <x v="2027"/>
    <x v="2048"/>
    <x v="2055"/>
    <n v="95137686"/>
    <n v="3.4156186927499963E-4"/>
    <x v="10"/>
  </r>
  <r>
    <x v="2443"/>
    <n v="327.95"/>
    <x v="2028"/>
    <x v="2049"/>
    <x v="2056"/>
    <n v="108688008"/>
    <n v="8.2319344425130309E-2"/>
    <x v="10"/>
  </r>
  <r>
    <x v="2444"/>
    <n v="327.54000000000002"/>
    <x v="2029"/>
    <x v="2050"/>
    <x v="2057"/>
    <n v="190716815"/>
    <n v="-2.3545944705747331E-2"/>
    <x v="10"/>
  </r>
  <r>
    <x v="2445"/>
    <n v="356.17"/>
    <x v="2030"/>
    <x v="2051"/>
    <x v="2058"/>
    <n v="114736245"/>
    <n v="-3.7947543102182318E-2"/>
    <x v="10"/>
  </r>
  <r>
    <x v="2446"/>
    <n v="342.7"/>
    <x v="2008"/>
    <x v="2052"/>
    <x v="2059"/>
    <n v="119845050"/>
    <n v="-5.403755151885326E-3"/>
    <x v="10"/>
  </r>
  <r>
    <x v="2447"/>
    <n v="324.61"/>
    <x v="2031"/>
    <x v="2053"/>
    <x v="2060"/>
    <n v="80440907"/>
    <n v="-6.5995457056908877E-3"/>
    <x v="10"/>
  </r>
  <r>
    <x v="2448"/>
    <n v="324.51"/>
    <x v="2032"/>
    <x v="2054"/>
    <x v="2061"/>
    <n v="89067049"/>
    <n v="-1.8446991935234591E-2"/>
    <x v="10"/>
  </r>
  <r>
    <x v="2449"/>
    <n v="319.89999999999998"/>
    <x v="2033"/>
    <x v="2055"/>
    <x v="2062"/>
    <n v="76695081"/>
    <n v="-5.3358937228483422E-2"/>
    <x v="10"/>
  </r>
  <r>
    <x v="2450"/>
    <n v="298.45999999999998"/>
    <x v="2034"/>
    <x v="2056"/>
    <x v="2063"/>
    <n v="145085665"/>
    <n v="4.9682418276745036E-2"/>
    <x v="10"/>
  </r>
  <r>
    <x v="2451"/>
    <n v="312.63"/>
    <x v="2035"/>
    <x v="2057"/>
    <x v="2064"/>
    <n v="119483730"/>
    <n v="-9.504197687310456E-4"/>
    <x v="10"/>
  </r>
  <r>
    <x v="2452"/>
    <n v="317.99"/>
    <x v="2036"/>
    <x v="2058"/>
    <x v="2065"/>
    <n v="58042302"/>
    <n v="-6.7892817504360312E-2"/>
    <x v="10"/>
  </r>
  <r>
    <x v="2453"/>
    <n v="291.37"/>
    <x v="2037"/>
    <x v="2059"/>
    <x v="2066"/>
    <n v="131177949"/>
    <n v="1.3165952235150047E-2"/>
    <x v="10"/>
  </r>
  <r>
    <x v="2454"/>
    <n v="297"/>
    <x v="2038"/>
    <x v="2060"/>
    <x v="2067"/>
    <n v="103246742"/>
    <n v="-6.4806420200799394E-3"/>
    <x v="10"/>
  </r>
  <r>
    <x v="2455"/>
    <n v="297.55"/>
    <x v="2039"/>
    <x v="2061"/>
    <x v="2068"/>
    <n v="75586771"/>
    <n v="4.7282682168446701E-2"/>
    <x v="10"/>
  </r>
  <r>
    <x v="2456"/>
    <n v="300.05"/>
    <x v="2040"/>
    <x v="2062"/>
    <x v="2069"/>
    <n v="104365271"/>
    <n v="1.1746861587117133E-2"/>
    <x v="10"/>
  </r>
  <r>
    <x v="2457"/>
    <n v="307.89"/>
    <x v="2041"/>
    <x v="2063"/>
    <x v="2070"/>
    <n v="79236442"/>
    <n v="1.08130522152403E-2"/>
    <x v="10"/>
  </r>
  <r>
    <x v="2458"/>
    <n v="317.73"/>
    <x v="2042"/>
    <x v="2064"/>
    <x v="2071"/>
    <n v="78043430"/>
    <n v="-1.93120858314926E-2"/>
    <x v="10"/>
  </r>
  <r>
    <x v="2459"/>
    <n v="319.68"/>
    <x v="2043"/>
    <x v="2065"/>
    <x v="2072"/>
    <n v="77556346"/>
    <n v="3.5040864920522698E-2"/>
    <x v="10"/>
  </r>
  <r>
    <x v="2460"/>
    <n v="312.8"/>
    <x v="2044"/>
    <x v="2066"/>
    <x v="2073"/>
    <n v="97284786"/>
    <n v="-7.025833929182052E-3"/>
    <x v="10"/>
  </r>
  <r>
    <x v="2461"/>
    <n v="323.14999999999998"/>
    <x v="2045"/>
    <x v="2067"/>
    <x v="2074"/>
    <n v="73922870"/>
    <n v="3.2059108982185752E-2"/>
    <x v="10"/>
  </r>
  <r>
    <x v="2462"/>
    <n v="321.66000000000003"/>
    <x v="2046"/>
    <x v="2068"/>
    <x v="2075"/>
    <n v="94254993"/>
    <n v="-3.5188836644925474E-3"/>
    <x v="10"/>
  </r>
  <r>
    <x v="2463"/>
    <n v="334.4"/>
    <x v="2047"/>
    <x v="2069"/>
    <x v="1913"/>
    <n v="75768797"/>
    <n v="1.10201223781546E-2"/>
    <x v="10"/>
  </r>
  <r>
    <x v="2464"/>
    <n v="329.74"/>
    <x v="2048"/>
    <x v="2070"/>
    <x v="2076"/>
    <n v="77370371"/>
    <n v="1.354972749992438E-3"/>
    <x v="10"/>
  </r>
  <r>
    <x v="2465"/>
    <n v="330.9"/>
    <x v="2049"/>
    <x v="2071"/>
    <x v="2077"/>
    <n v="92553756"/>
    <n v="-8.1970170796247271E-2"/>
    <x v="10"/>
  </r>
  <r>
    <x v="2466"/>
    <n v="310"/>
    <x v="2050"/>
    <x v="2072"/>
    <x v="2078"/>
    <n v="156966023"/>
    <n v="3.5244022273173893E-2"/>
    <x v="10"/>
  </r>
  <r>
    <x v="2467"/>
    <n v="308.74"/>
    <x v="2051"/>
    <x v="2073"/>
    <x v="2079"/>
    <n v="148227027"/>
    <n v="3.0152502689362693E-2"/>
    <x v="10"/>
  </r>
  <r>
    <x v="2468"/>
    <n v="318.45"/>
    <x v="2052"/>
    <x v="2074"/>
    <x v="2080"/>
    <n v="112673755"/>
    <n v="-1.3483215086458389E-2"/>
    <x v="10"/>
  </r>
  <r>
    <x v="2469"/>
    <n v="325.55"/>
    <x v="1188"/>
    <x v="2075"/>
    <x v="2081"/>
    <n v="87358861"/>
    <n v="-6.7247820672477216E-3"/>
    <x v="10"/>
  </r>
  <r>
    <x v="2470"/>
    <n v="322.18"/>
    <x v="2053"/>
    <x v="2076"/>
    <x v="2082"/>
    <n v="83931942"/>
    <n v="-3.375752256770323E-2"/>
    <x v="10"/>
  </r>
  <r>
    <x v="2471"/>
    <n v="319.61"/>
    <x v="2054"/>
    <x v="2077"/>
    <x v="2083"/>
    <n v="85270919"/>
    <n v="-1.8295649917280263E-2"/>
    <x v="10"/>
  </r>
  <r>
    <x v="2472"/>
    <n v="306.20999999999998"/>
    <x v="2055"/>
    <x v="2078"/>
    <x v="2084"/>
    <n v="89121446"/>
    <n v="2.1907940389254189E-2"/>
    <x v="10"/>
  </r>
  <r>
    <x v="2473"/>
    <n v="309.08"/>
    <x v="2056"/>
    <x v="2079"/>
    <x v="2085"/>
    <n v="78683905"/>
    <n v="-1.7461036021469431E-3"/>
    <x v="10"/>
  </r>
  <r>
    <x v="2474"/>
    <n v="308.95"/>
    <x v="2057"/>
    <x v="2080"/>
    <x v="2086"/>
    <n v="57961278"/>
    <n v="3.624643690075148E-2"/>
    <x v="10"/>
  </r>
  <r>
    <x v="2475"/>
    <n v="307.89"/>
    <x v="2058"/>
    <x v="2081"/>
    <x v="2087"/>
    <n v="78523579"/>
    <n v="7.3770748022880077E-3"/>
    <x v="10"/>
  </r>
  <r>
    <x v="2476"/>
    <n v="319.79000000000002"/>
    <x v="2059"/>
    <x v="2082"/>
    <x v="2088"/>
    <n v="66658672"/>
    <n v="2.2900052750799007E-2"/>
    <x v="10"/>
  </r>
  <r>
    <x v="2477"/>
    <n v="321.43"/>
    <x v="2060"/>
    <x v="2083"/>
    <x v="2075"/>
    <n v="91200319"/>
    <n v="2.8454421355983608E-2"/>
    <x v="10"/>
  </r>
  <r>
    <x v="2478"/>
    <n v="335"/>
    <x v="2061"/>
    <x v="2084"/>
    <x v="2089"/>
    <n v="105320174"/>
    <n v="5.3387605816594477E-3"/>
    <x v="10"/>
  </r>
  <r>
    <x v="2479"/>
    <n v="345"/>
    <x v="2062"/>
    <x v="2085"/>
    <x v="2090"/>
    <n v="80690111"/>
    <n v="-4.2835347963853408E-3"/>
    <x v="10"/>
  </r>
  <r>
    <x v="2480"/>
    <n v="341.5"/>
    <x v="2063"/>
    <x v="1922"/>
    <x v="2091"/>
    <n v="67838892"/>
    <n v="-1.1196888443632541E-2"/>
    <x v="10"/>
  </r>
  <r>
    <x v="2481"/>
    <n v="335.76"/>
    <x v="2064"/>
    <x v="2086"/>
    <x v="2092"/>
    <n v="75000662"/>
    <n v="-1.4959175159425419E-2"/>
    <x v="10"/>
  </r>
  <r>
    <x v="2482"/>
    <n v="337.66"/>
    <x v="2065"/>
    <x v="2087"/>
    <x v="2093"/>
    <n v="74319792"/>
    <n v="1.3915779283639953E-2"/>
    <x v="10"/>
  </r>
  <r>
    <x v="2483"/>
    <n v="329.62"/>
    <x v="2066"/>
    <x v="2088"/>
    <x v="2094"/>
    <n v="56956552"/>
    <n v="-1.7454350161117144E-2"/>
    <x v="10"/>
  </r>
  <r>
    <x v="2484"/>
    <n v="335.79"/>
    <x v="1181"/>
    <x v="2089"/>
    <x v="2095"/>
    <n v="75956002"/>
    <n v="-1.6428289453706311E-2"/>
    <x v="10"/>
  </r>
  <r>
    <x v="2485"/>
    <n v="329.22"/>
    <x v="2067"/>
    <x v="2090"/>
    <x v="2096"/>
    <n v="77481768"/>
    <n v="-1.1701142327878864E-2"/>
    <x v="10"/>
  </r>
  <r>
    <x v="2486"/>
    <n v="322.08"/>
    <x v="2068"/>
    <x v="2091"/>
    <x v="2097"/>
    <n v="55744445"/>
    <n v="6.2166130392677446E-2"/>
    <x v="10"/>
  </r>
  <r>
    <x v="2487"/>
    <n v="321.66000000000003"/>
    <x v="2069"/>
    <x v="2092"/>
    <x v="2098"/>
    <n v="94016347"/>
    <n v="1.9381782888738659E-2"/>
    <x v="10"/>
  </r>
  <r>
    <x v="2488"/>
    <n v="338.9"/>
    <x v="2070"/>
    <x v="2093"/>
    <x v="2099"/>
    <n v="86670037"/>
    <n v="1.4627813040969396E-2"/>
    <x v="10"/>
  </r>
  <r>
    <x v="2489"/>
    <n v="344.93"/>
    <x v="2071"/>
    <x v="2094"/>
    <x v="2100"/>
    <n v="76651550"/>
    <n v="-5.8862001308044275E-3"/>
    <x v="10"/>
  </r>
  <r>
    <x v="2490"/>
    <n v="351.94"/>
    <x v="2072"/>
    <x v="2095"/>
    <x v="2101"/>
    <n v="65519012"/>
    <n v="-1.0354691075514887E-2"/>
    <x v="10"/>
  </r>
  <r>
    <x v="2491"/>
    <n v="350.91"/>
    <x v="2073"/>
    <x v="2096"/>
    <x v="2102"/>
    <n v="67903224"/>
    <n v="-3.5002023238337517E-2"/>
    <x v="10"/>
  </r>
  <r>
    <x v="2492"/>
    <n v="347.23"/>
    <x v="2074"/>
    <x v="2097"/>
    <x v="2103"/>
    <n v="81145660"/>
    <n v="-1.3508251714739242E-2"/>
    <x v="10"/>
  </r>
  <r>
    <x v="2493"/>
    <n v="328.23"/>
    <x v="1276"/>
    <x v="2098"/>
    <x v="2104"/>
    <n v="58391952"/>
    <n v="1.4361185329123029E-2"/>
    <x v="10"/>
  </r>
  <r>
    <x v="2494"/>
    <n v="335.2"/>
    <x v="2075"/>
    <x v="2099"/>
    <x v="2105"/>
    <n v="88733288"/>
    <n v="1.3289832081175726E-2"/>
    <x v="10"/>
  </r>
  <r>
    <x v="2495"/>
    <n v="336.15"/>
    <x v="2076"/>
    <x v="2100"/>
    <x v="2106"/>
    <n v="60711033"/>
    <n v="3.6363099282190656E-2"/>
    <x v="10"/>
  </r>
  <r>
    <x v="2496"/>
    <n v="348"/>
    <x v="2077"/>
    <x v="2101"/>
    <x v="2107"/>
    <n v="108989785"/>
    <n v="-1.2655341466195411E-2"/>
    <x v="10"/>
  </r>
  <r>
    <x v="2497"/>
    <n v="354.64"/>
    <x v="2078"/>
    <x v="2102"/>
    <x v="2108"/>
    <n v="75208290"/>
    <n v="1.6454965357969112E-3"/>
    <x v="10"/>
  </r>
  <r>
    <x v="2498"/>
    <n v="348.44"/>
    <x v="2079"/>
    <x v="2103"/>
    <x v="2109"/>
    <n v="53815991"/>
    <n v="2.3633167132604926E-3"/>
    <x v="10"/>
  </r>
  <r>
    <x v="2499"/>
    <n v="350.55"/>
    <x v="2080"/>
    <x v="2104"/>
    <x v="2110"/>
    <n v="72121679"/>
    <n v="6.0438770522441648E-2"/>
    <x v="10"/>
  </r>
  <r>
    <x v="2500"/>
    <n v="350.17"/>
    <x v="2081"/>
    <x v="2105"/>
    <x v="2111"/>
    <n v="103756010"/>
    <n v="7.3560912122773228E-2"/>
    <x v="10"/>
  </r>
  <r>
    <x v="2501"/>
    <n v="370.94"/>
    <x v="2082"/>
    <x v="2106"/>
    <x v="2112"/>
    <n v="168156391"/>
    <n v="3.561145628125479E-2"/>
    <x v="10"/>
  </r>
  <r>
    <x v="2502"/>
    <n v="423.13"/>
    <x v="2083"/>
    <x v="2107"/>
    <x v="2113"/>
    <n v="163823667"/>
    <n v="2.8241147205150675E-2"/>
    <x v="10"/>
  </r>
  <r>
    <x v="2503"/>
    <n v="414.5"/>
    <x v="2084"/>
    <x v="2108"/>
    <x v="2114"/>
    <n v="104285721"/>
    <n v="1.0056448935060028E-2"/>
    <x v="10"/>
  </r>
  <r>
    <x v="2504"/>
    <n v="415.75"/>
    <x v="2085"/>
    <x v="2109"/>
    <x v="2115"/>
    <n v="106133532"/>
    <n v="-2.1157187808199855E-2"/>
    <x v="10"/>
  </r>
  <r>
    <x v="2505"/>
    <n v="428.87"/>
    <x v="2086"/>
    <x v="2110"/>
    <x v="2116"/>
    <n v="90454509"/>
    <n v="2.2118267962096604E-2"/>
    <x v="10"/>
  </r>
  <r>
    <x v="2506"/>
    <n v="421.82"/>
    <x v="2087"/>
    <x v="2111"/>
    <x v="2117"/>
    <n v="93131034"/>
    <n v="1.9104841927382793E-2"/>
    <x v="10"/>
  </r>
  <r>
    <x v="2507"/>
    <n v="431.11"/>
    <x v="2088"/>
    <x v="2112"/>
    <x v="2118"/>
    <n v="97108777"/>
    <n v="-1.9253356670735258E-2"/>
    <x v="10"/>
  </r>
  <r>
    <x v="2508"/>
    <n v="439.88"/>
    <x v="2089"/>
    <x v="2113"/>
    <x v="2119"/>
    <n v="83422691"/>
    <n v="0"/>
    <x v="10"/>
  </r>
  <r>
    <x v="2509"/>
    <n v="439.88"/>
    <x v="2089"/>
    <x v="2113"/>
    <x v="2119"/>
    <n v="1669878"/>
    <n v="3.4166960197252447E-2"/>
    <x v="10"/>
  </r>
  <r>
    <x v="2510"/>
    <n v="428.3"/>
    <x v="2090"/>
    <x v="2114"/>
    <x v="2120"/>
    <n v="101628160"/>
    <n v="6.38056312443234E-3"/>
    <x v="10"/>
  </r>
  <r>
    <x v="2511"/>
    <n v="444.35"/>
    <x v="2091"/>
    <x v="2115"/>
    <x v="2121"/>
    <n v="79491510"/>
    <n v="3.4069628392862251E-3"/>
    <x v="10"/>
  </r>
  <r>
    <x v="2512"/>
    <n v="441.52"/>
    <x v="2092"/>
    <x v="2116"/>
    <x v="2122"/>
    <n v="74357960"/>
    <n v="-1"/>
    <x v="10"/>
  </r>
</pivotCacheRecords>
</file>

<file path=xl/pivotCache/pivotCacheRecords2.xml><?xml version="1.0" encoding="utf-8"?>
<pivotCacheRecords xmlns="http://schemas.openxmlformats.org/spreadsheetml/2006/main" xmlns:r="http://schemas.openxmlformats.org/officeDocument/2006/relationships" count="2513">
  <r>
    <d v="2015-10-01T00:00:00"/>
    <n v="16.5"/>
    <n v="16.57"/>
    <n v="15.81"/>
    <n v="15.99"/>
    <n v="4572964"/>
    <x v="0"/>
    <x v="0"/>
    <n v="-3.0909090909090896E-2"/>
  </r>
  <r>
    <d v="2015-10-02T00:00:00"/>
    <n v="15.71"/>
    <n v="16.510000000000002"/>
    <n v="15.66"/>
    <n v="16.5"/>
    <n v="4423982"/>
    <x v="1"/>
    <x v="0"/>
    <n v="5.0286441756842722E-2"/>
  </r>
  <r>
    <d v="2015-10-05T00:00:00"/>
    <n v="16.59"/>
    <n v="16.66"/>
    <n v="16.28"/>
    <n v="16.41"/>
    <n v="3689865"/>
    <x v="2"/>
    <x v="0"/>
    <n v="-1.0849909584086782E-2"/>
  </r>
  <r>
    <d v="2015-10-06T00:00:00"/>
    <n v="16"/>
    <n v="16.2"/>
    <n v="15.71"/>
    <n v="16.100000000000001"/>
    <n v="5235897"/>
    <x v="3"/>
    <x v="0"/>
    <n v="6.2500000000000888E-3"/>
  </r>
  <r>
    <d v="2015-10-07T00:00:00"/>
    <n v="15.78"/>
    <n v="15.85"/>
    <n v="15.27"/>
    <n v="15.46"/>
    <n v="6813959"/>
    <x v="4"/>
    <x v="0"/>
    <n v="-2.02788339670468E-2"/>
  </r>
  <r>
    <d v="2015-10-08T00:00:00"/>
    <n v="15.34"/>
    <n v="15.38"/>
    <n v="14.75"/>
    <n v="15.11"/>
    <n v="6133216"/>
    <x v="5"/>
    <x v="0"/>
    <n v="-1.4993481095176038E-2"/>
  </r>
  <r>
    <d v="2015-10-09T00:00:00"/>
    <n v="14.73"/>
    <n v="14.96"/>
    <n v="14.56"/>
    <n v="14.71"/>
    <n v="6158370"/>
    <x v="6"/>
    <x v="0"/>
    <n v="-1.3577732518669093E-3"/>
  </r>
  <r>
    <d v="2015-10-12T00:00:00"/>
    <n v="14.87"/>
    <n v="14.87"/>
    <n v="14.35"/>
    <n v="14.37"/>
    <n v="3836303"/>
    <x v="7"/>
    <x v="0"/>
    <n v="-3.3624747814391391E-2"/>
  </r>
  <r>
    <d v="2015-10-13T00:00:00"/>
    <n v="14.22"/>
    <n v="14.83"/>
    <n v="14.08"/>
    <n v="14.62"/>
    <n v="5171535"/>
    <x v="8"/>
    <x v="0"/>
    <n v="2.8129395218002711E-2"/>
  </r>
  <r>
    <d v="2015-10-14T00:00:00"/>
    <n v="14.71"/>
    <n v="14.73"/>
    <n v="14.36"/>
    <n v="14.46"/>
    <n v="3104446"/>
    <x v="9"/>
    <x v="0"/>
    <n v="-1.6995241332426921E-2"/>
  </r>
  <r>
    <d v="2015-10-15T00:00:00"/>
    <n v="14.43"/>
    <n v="14.78"/>
    <n v="14.25"/>
    <n v="14.75"/>
    <n v="2844233"/>
    <x v="10"/>
    <x v="0"/>
    <n v="2.2176022176022197E-2"/>
  </r>
  <r>
    <d v="2015-10-16T00:00:00"/>
    <n v="14.87"/>
    <n v="15.37"/>
    <n v="14.86"/>
    <n v="15.13"/>
    <n v="4334493"/>
    <x v="11"/>
    <x v="0"/>
    <n v="1.7484868863483629E-2"/>
  </r>
  <r>
    <d v="2015-10-19T00:00:00"/>
    <n v="15.1"/>
    <n v="15.41"/>
    <n v="15"/>
    <n v="15.21"/>
    <n v="2507895"/>
    <x v="12"/>
    <x v="0"/>
    <n v="7.28476821192061E-3"/>
  </r>
  <r>
    <d v="2015-10-20T00:00:00"/>
    <n v="15.18"/>
    <n v="15.24"/>
    <n v="13.47"/>
    <n v="14.2"/>
    <n v="14900047"/>
    <x v="13"/>
    <x v="0"/>
    <n v="-6.4558629776021115E-2"/>
  </r>
  <r>
    <d v="2015-10-21T00:00:00"/>
    <n v="14.13"/>
    <n v="14.32"/>
    <n v="13.92"/>
    <n v="14.01"/>
    <n v="4183471"/>
    <x v="14"/>
    <x v="0"/>
    <n v="-8.4925690021232115E-3"/>
  </r>
  <r>
    <d v="2015-10-22T00:00:00"/>
    <n v="14.1"/>
    <n v="14.38"/>
    <n v="13.96"/>
    <n v="14.11"/>
    <n v="2825159"/>
    <x v="15"/>
    <x v="0"/>
    <n v="7.0921985815601324E-4"/>
  </r>
  <r>
    <d v="2015-10-23T00:00:00"/>
    <n v="14.33"/>
    <n v="14.36"/>
    <n v="13.85"/>
    <n v="13.94"/>
    <n v="4235462"/>
    <x v="16"/>
    <x v="0"/>
    <n v="-2.7215631542219159E-2"/>
  </r>
  <r>
    <d v="2015-10-26T00:00:00"/>
    <n v="14.09"/>
    <n v="14.39"/>
    <n v="14"/>
    <n v="14.35"/>
    <n v="3391438"/>
    <x v="17"/>
    <x v="0"/>
    <n v="1.8452803406671384E-2"/>
  </r>
  <r>
    <d v="2015-10-27T00:00:00"/>
    <n v="14.32"/>
    <n v="14.47"/>
    <n v="13.83"/>
    <n v="14.02"/>
    <n v="3519449"/>
    <x v="18"/>
    <x v="0"/>
    <n v="-2.0949720670391112E-2"/>
  </r>
  <r>
    <d v="2015-10-28T00:00:00"/>
    <n v="14.09"/>
    <n v="14.23"/>
    <n v="13.89"/>
    <n v="14.2"/>
    <n v="2728593"/>
    <x v="19"/>
    <x v="0"/>
    <n v="7.8069552874378591E-3"/>
  </r>
  <r>
    <d v="2015-10-29T00:00:00"/>
    <n v="14.12"/>
    <n v="14.25"/>
    <n v="14.04"/>
    <n v="14.11"/>
    <n v="1805032"/>
    <x v="20"/>
    <x v="0"/>
    <n v="-7.0821529745040989E-4"/>
  </r>
  <r>
    <d v="2015-10-30T00:00:00"/>
    <n v="14.03"/>
    <n v="14.11"/>
    <n v="13.59"/>
    <n v="13.8"/>
    <n v="4438901"/>
    <x v="21"/>
    <x v="0"/>
    <n v="-1.6393442622950723E-2"/>
  </r>
  <r>
    <d v="2015-11-02T00:00:00"/>
    <n v="13.93"/>
    <n v="14.39"/>
    <n v="13.81"/>
    <n v="14.25"/>
    <n v="3927944"/>
    <x v="22"/>
    <x v="0"/>
    <n v="2.2972002871500381E-2"/>
  </r>
  <r>
    <d v="2015-11-03T00:00:00"/>
    <n v="14.26"/>
    <n v="14.3"/>
    <n v="13.85"/>
    <n v="13.89"/>
    <n v="8332486"/>
    <x v="23"/>
    <x v="0"/>
    <n v="-2.5946704067321125E-2"/>
  </r>
  <r>
    <d v="2015-11-04T00:00:00"/>
    <n v="15.13"/>
    <n v="15.52"/>
    <n v="15.01"/>
    <n v="15.44"/>
    <n v="12726366"/>
    <x v="24"/>
    <x v="0"/>
    <n v="2.0489094514210094E-2"/>
  </r>
  <r>
    <d v="2015-11-05T00:00:00"/>
    <n v="15.37"/>
    <n v="15.64"/>
    <n v="15.28"/>
    <n v="15.45"/>
    <n v="4496843"/>
    <x v="25"/>
    <x v="0"/>
    <n v="5.2049446974625942E-3"/>
  </r>
  <r>
    <d v="2015-11-06T00:00:00"/>
    <n v="15.38"/>
    <n v="15.56"/>
    <n v="15.3"/>
    <n v="15.49"/>
    <n v="2445293"/>
    <x v="26"/>
    <x v="0"/>
    <n v="7.1521456436930706E-3"/>
  </r>
  <r>
    <d v="2015-11-09T00:00:00"/>
    <n v="15.53"/>
    <n v="15.53"/>
    <n v="14.95"/>
    <n v="15.02"/>
    <n v="3850860"/>
    <x v="27"/>
    <x v="0"/>
    <n v="-3.2839665164198312E-2"/>
  </r>
  <r>
    <d v="2015-11-10T00:00:00"/>
    <n v="14.9"/>
    <n v="14.91"/>
    <n v="14.41"/>
    <n v="14.43"/>
    <n v="4617007"/>
    <x v="28"/>
    <x v="0"/>
    <n v="-3.1543624161073869E-2"/>
  </r>
  <r>
    <d v="2015-11-11T00:00:00"/>
    <n v="14.52"/>
    <n v="14.63"/>
    <n v="14.24"/>
    <n v="14.61"/>
    <n v="3347806"/>
    <x v="29"/>
    <x v="0"/>
    <n v="6.1983471074380072E-3"/>
  </r>
  <r>
    <d v="2015-11-12T00:00:00"/>
    <n v="14.52"/>
    <n v="14.6"/>
    <n v="14.18"/>
    <n v="14.2"/>
    <n v="2915900"/>
    <x v="30"/>
    <x v="0"/>
    <n v="-2.2038567493112969E-2"/>
  </r>
  <r>
    <d v="2015-11-13T00:00:00"/>
    <n v="14.2"/>
    <n v="14.2"/>
    <n v="13.77"/>
    <n v="13.81"/>
    <n v="3430327"/>
    <x v="31"/>
    <x v="0"/>
    <n v="-2.7464788732394281E-2"/>
  </r>
  <r>
    <d v="2015-11-16T00:00:00"/>
    <n v="13.74"/>
    <n v="14.33"/>
    <n v="13.72"/>
    <n v="14.29"/>
    <n v="2925395"/>
    <x v="32"/>
    <x v="0"/>
    <n v="4.0029112081513753E-2"/>
  </r>
  <r>
    <d v="2015-11-17T00:00:00"/>
    <n v="14.35"/>
    <n v="14.4"/>
    <n v="14.09"/>
    <n v="14.27"/>
    <n v="2148679"/>
    <x v="33"/>
    <x v="0"/>
    <n v="-5.5749128919860679E-3"/>
  </r>
  <r>
    <d v="2015-11-18T00:00:00"/>
    <n v="14.3"/>
    <n v="14.76"/>
    <n v="14.17"/>
    <n v="14.74"/>
    <n v="2811900"/>
    <x v="34"/>
    <x v="0"/>
    <n v="3.0769230769230733E-2"/>
  </r>
  <r>
    <d v="2015-11-19T00:00:00"/>
    <n v="14.7"/>
    <n v="15.08"/>
    <n v="14.69"/>
    <n v="14.79"/>
    <n v="2504375"/>
    <x v="35"/>
    <x v="0"/>
    <n v="6.1224489795918277E-3"/>
  </r>
  <r>
    <d v="2015-11-20T00:00:00"/>
    <n v="14.9"/>
    <n v="15"/>
    <n v="14.24"/>
    <n v="14.67"/>
    <n v="4400722"/>
    <x v="36"/>
    <x v="0"/>
    <n v="-1.5436241610738283E-2"/>
  </r>
  <r>
    <d v="2015-11-23T00:00:00"/>
    <n v="14.49"/>
    <n v="14.61"/>
    <n v="14.31"/>
    <n v="14.52"/>
    <n v="2526199"/>
    <x v="37"/>
    <x v="0"/>
    <n v="2.0703933747411567E-3"/>
  </r>
  <r>
    <d v="2015-11-24T00:00:00"/>
    <n v="14.36"/>
    <n v="14.73"/>
    <n v="14.33"/>
    <n v="14.55"/>
    <n v="2480293"/>
    <x v="38"/>
    <x v="0"/>
    <n v="1.3231197771587834E-2"/>
  </r>
  <r>
    <d v="2015-11-25T00:00:00"/>
    <n v="14.76"/>
    <n v="15.39"/>
    <n v="14.69"/>
    <n v="15.31"/>
    <n v="3990779"/>
    <x v="39"/>
    <x v="0"/>
    <n v="3.7262872628726337E-2"/>
  </r>
  <r>
    <d v="2015-11-27T00:00:00"/>
    <n v="15.4"/>
    <n v="15.48"/>
    <n v="15.13"/>
    <n v="15.44"/>
    <n v="1949353"/>
    <x v="40"/>
    <x v="0"/>
    <n v="2.5974025974025419E-3"/>
  </r>
  <r>
    <d v="2015-11-30T00:00:00"/>
    <n v="15.45"/>
    <n v="15.62"/>
    <n v="15.27"/>
    <n v="15.35"/>
    <n v="2659813"/>
    <x v="41"/>
    <x v="0"/>
    <n v="-6.4724919093850902E-3"/>
  </r>
  <r>
    <d v="2015-12-01T00:00:00"/>
    <n v="15.4"/>
    <n v="15.87"/>
    <n v="15.4"/>
    <n v="15.81"/>
    <n v="3733955"/>
    <x v="42"/>
    <x v="0"/>
    <n v="2.6623376623376632E-2"/>
  </r>
  <r>
    <d v="2015-12-02T00:00:00"/>
    <n v="15.8"/>
    <n v="15.91"/>
    <n v="15.42"/>
    <n v="15.47"/>
    <n v="2981468"/>
    <x v="43"/>
    <x v="0"/>
    <n v="-2.0886075949367092E-2"/>
  </r>
  <r>
    <d v="2015-12-03T00:00:00"/>
    <n v="15.7"/>
    <n v="15.83"/>
    <n v="15.33"/>
    <n v="15.51"/>
    <n v="2939564"/>
    <x v="44"/>
    <x v="0"/>
    <n v="-1.2101910828025447E-2"/>
  </r>
  <r>
    <d v="2015-12-04T00:00:00"/>
    <n v="15.5"/>
    <n v="15.55"/>
    <n v="15.18"/>
    <n v="15.36"/>
    <n v="2573603"/>
    <x v="45"/>
    <x v="0"/>
    <n v="-9.0322580645161663E-3"/>
  </r>
  <r>
    <d v="2015-12-07T00:00:00"/>
    <n v="15.18"/>
    <n v="15.71"/>
    <n v="15.08"/>
    <n v="15.41"/>
    <n v="3144223"/>
    <x v="46"/>
    <x v="0"/>
    <n v="1.515151515151518E-2"/>
  </r>
  <r>
    <d v="2015-12-08T00:00:00"/>
    <n v="15.17"/>
    <n v="15.25"/>
    <n v="14.95"/>
    <n v="15.11"/>
    <n v="2687636"/>
    <x v="47"/>
    <x v="0"/>
    <n v="-3.955174686882037E-3"/>
  </r>
  <r>
    <d v="2015-12-09T00:00:00"/>
    <n v="15.11"/>
    <n v="15.17"/>
    <n v="14.71"/>
    <n v="14.97"/>
    <n v="3057753"/>
    <x v="48"/>
    <x v="0"/>
    <n v="-9.2653871608205686E-3"/>
  </r>
  <r>
    <d v="2015-12-10T00:00:00"/>
    <n v="14.98"/>
    <n v="15.23"/>
    <n v="14.91"/>
    <n v="15.14"/>
    <n v="2071692"/>
    <x v="49"/>
    <x v="0"/>
    <n v="1.0680907877169568E-2"/>
  </r>
  <r>
    <d v="2015-12-11T00:00:00"/>
    <n v="15.02"/>
    <n v="15.05"/>
    <n v="14.44"/>
    <n v="14.47"/>
    <n v="3268726"/>
    <x v="50"/>
    <x v="0"/>
    <n v="-3.6617842876165041E-2"/>
  </r>
  <r>
    <d v="2015-12-14T00:00:00"/>
    <n v="14.5"/>
    <n v="14.73"/>
    <n v="14.32"/>
    <n v="14.57"/>
    <n v="2831518"/>
    <x v="51"/>
    <x v="0"/>
    <n v="4.8275862068965711E-3"/>
  </r>
  <r>
    <d v="2015-12-15T00:00:00"/>
    <n v="14.79"/>
    <n v="14.81"/>
    <n v="14.53"/>
    <n v="14.74"/>
    <n v="2244424"/>
    <x v="52"/>
    <x v="0"/>
    <n v="-3.3806626098714628E-3"/>
  </r>
  <r>
    <d v="2015-12-16T00:00:00"/>
    <n v="14.81"/>
    <n v="15.66"/>
    <n v="14.72"/>
    <n v="15.63"/>
    <n v="5104341"/>
    <x v="53"/>
    <x v="0"/>
    <n v="5.5367994598244444E-2"/>
  </r>
  <r>
    <d v="2015-12-17T00:00:00"/>
    <n v="15.6"/>
    <n v="15.85"/>
    <n v="15.32"/>
    <n v="15.56"/>
    <n v="3298638"/>
    <x v="54"/>
    <x v="0"/>
    <n v="-2.5641025641025095E-3"/>
  </r>
  <r>
    <d v="2015-12-18T00:00:00"/>
    <n v="15.53"/>
    <n v="15.73"/>
    <n v="15.29"/>
    <n v="15.36"/>
    <n v="3014170"/>
    <x v="55"/>
    <x v="0"/>
    <n v="-1.0946555054732771E-2"/>
  </r>
  <r>
    <d v="2015-12-21T00:00:00"/>
    <n v="15.45"/>
    <n v="15.72"/>
    <n v="15.41"/>
    <n v="15.5"/>
    <n v="1953174"/>
    <x v="56"/>
    <x v="0"/>
    <n v="3.2362459546926028E-3"/>
  </r>
  <r>
    <d v="2015-12-22T00:00:00"/>
    <n v="15.67"/>
    <n v="15.77"/>
    <n v="15.31"/>
    <n v="15.33"/>
    <n v="1961495"/>
    <x v="57"/>
    <x v="0"/>
    <n v="-2.1697511167836622E-2"/>
  </r>
  <r>
    <d v="2015-12-23T00:00:00"/>
    <n v="15.48"/>
    <n v="15.56"/>
    <n v="15.21"/>
    <n v="15.31"/>
    <n v="1554979"/>
    <x v="58"/>
    <x v="0"/>
    <n v="-1.0981912144702838E-2"/>
  </r>
  <r>
    <d v="2015-12-24T00:00:00"/>
    <n v="15.37"/>
    <n v="15.46"/>
    <n v="15.22"/>
    <n v="15.37"/>
    <n v="710277"/>
    <x v="59"/>
    <x v="0"/>
    <n v="0"/>
  </r>
  <r>
    <d v="2015-12-28T00:00:00"/>
    <n v="15.43"/>
    <n v="15.47"/>
    <n v="15.04"/>
    <n v="15.26"/>
    <n v="1901304"/>
    <x v="60"/>
    <x v="0"/>
    <n v="-1.1017498379779646E-2"/>
  </r>
  <r>
    <d v="2015-12-29T00:00:00"/>
    <n v="15.34"/>
    <n v="15.85"/>
    <n v="15.3"/>
    <n v="15.81"/>
    <n v="2406290"/>
    <x v="61"/>
    <x v="0"/>
    <n v="3.0638852672751019E-2"/>
  </r>
  <r>
    <d v="2015-12-30T00:00:00"/>
    <n v="15.77"/>
    <n v="16.239999999999998"/>
    <n v="15.71"/>
    <n v="15.87"/>
    <n v="3697921"/>
    <x v="62"/>
    <x v="0"/>
    <n v="6.3411540900443659E-3"/>
  </r>
  <r>
    <d v="2015-12-31T00:00:00"/>
    <n v="15.9"/>
    <n v="16.23"/>
    <n v="15.89"/>
    <n v="16"/>
    <n v="2715038"/>
    <x v="63"/>
    <x v="0"/>
    <n v="6.2893081761006067E-3"/>
  </r>
  <r>
    <d v="2016-01-04T00:00:00"/>
    <n v="15.38"/>
    <n v="15.43"/>
    <n v="14.6"/>
    <n v="14.89"/>
    <n v="6827146"/>
    <x v="64"/>
    <x v="1"/>
    <n v="-3.1859557867360222E-2"/>
  </r>
  <r>
    <d v="2016-01-05T00:00:00"/>
    <n v="15.09"/>
    <n v="15.13"/>
    <n v="14.67"/>
    <n v="14.9"/>
    <n v="3186752"/>
    <x v="65"/>
    <x v="1"/>
    <n v="-1.2591119946984725E-2"/>
  </r>
  <r>
    <d v="2016-01-06T00:00:00"/>
    <n v="14.67"/>
    <n v="14.67"/>
    <n v="14.4"/>
    <n v="14.6"/>
    <n v="3779128"/>
    <x v="66"/>
    <x v="1"/>
    <n v="-4.7716428084526438E-3"/>
  </r>
  <r>
    <d v="2016-01-07T00:00:00"/>
    <n v="14.28"/>
    <n v="14.56"/>
    <n v="14.24"/>
    <n v="14.38"/>
    <n v="3554251"/>
    <x v="67"/>
    <x v="1"/>
    <n v="7.0028011204482793E-3"/>
  </r>
  <r>
    <d v="2016-01-08T00:00:00"/>
    <n v="14.52"/>
    <n v="14.7"/>
    <n v="14.05"/>
    <n v="14.07"/>
    <n v="3628058"/>
    <x v="68"/>
    <x v="1"/>
    <n v="-3.0991735537190035E-2"/>
  </r>
  <r>
    <d v="2016-01-11T00:00:00"/>
    <n v="14.27"/>
    <n v="14.3"/>
    <n v="13.53"/>
    <n v="13.86"/>
    <n v="4091422"/>
    <x v="69"/>
    <x v="1"/>
    <n v="-2.8731604765241777E-2"/>
  </r>
  <r>
    <d v="2016-01-12T00:00:00"/>
    <n v="14.11"/>
    <n v="14.25"/>
    <n v="13.69"/>
    <n v="14"/>
    <n v="3091917"/>
    <x v="70"/>
    <x v="1"/>
    <n v="-7.7958894401133549E-3"/>
  </r>
  <r>
    <d v="2016-01-13T00:00:00"/>
    <n v="14.13"/>
    <n v="14.18"/>
    <n v="13.33"/>
    <n v="13.35"/>
    <n v="4126416"/>
    <x v="71"/>
    <x v="1"/>
    <n v="-5.5201698513800503E-2"/>
  </r>
  <r>
    <d v="2016-01-14T00:00:00"/>
    <n v="13.48"/>
    <n v="14"/>
    <n v="12.89"/>
    <n v="13.75"/>
    <n v="6490741"/>
    <x v="72"/>
    <x v="1"/>
    <n v="2.0029673590504418E-2"/>
  </r>
  <r>
    <d v="2016-01-15T00:00:00"/>
    <n v="13.26"/>
    <n v="13.67"/>
    <n v="13.15"/>
    <n v="13.67"/>
    <n v="5578640"/>
    <x v="73"/>
    <x v="1"/>
    <n v="3.0920060331825049E-2"/>
  </r>
  <r>
    <d v="2016-01-19T00:00:00"/>
    <n v="13.91"/>
    <n v="14.03"/>
    <n v="13.39"/>
    <n v="13.65"/>
    <n v="4038676"/>
    <x v="74"/>
    <x v="1"/>
    <n v="-1.8691588785046714E-2"/>
  </r>
  <r>
    <d v="2016-01-20T00:00:00"/>
    <n v="13.29"/>
    <n v="13.42"/>
    <n v="12.75"/>
    <n v="13.25"/>
    <n v="5838608"/>
    <x v="75"/>
    <x v="1"/>
    <n v="-3.0097817908201017E-3"/>
  </r>
  <r>
    <d v="2016-01-21T00:00:00"/>
    <n v="13.44"/>
    <n v="13.55"/>
    <n v="13"/>
    <n v="13.33"/>
    <n v="3166159"/>
    <x v="76"/>
    <x v="1"/>
    <n v="-8.1845238095237683E-3"/>
  </r>
  <r>
    <d v="2016-01-22T00:00:00"/>
    <n v="13.65"/>
    <n v="13.7"/>
    <n v="13.27"/>
    <n v="13.5"/>
    <n v="3124055"/>
    <x v="77"/>
    <x v="1"/>
    <n v="-1.0989010989011014E-2"/>
  </r>
  <r>
    <d v="2016-01-25T00:00:00"/>
    <n v="13.34"/>
    <n v="13.57"/>
    <n v="13.06"/>
    <n v="13.09"/>
    <n v="2698739"/>
    <x v="78"/>
    <x v="1"/>
    <n v="-1.8740629685157422E-2"/>
  </r>
  <r>
    <d v="2016-01-26T00:00:00"/>
    <n v="13.11"/>
    <n v="13.19"/>
    <n v="12.59"/>
    <n v="12.9"/>
    <n v="4964180"/>
    <x v="79"/>
    <x v="1"/>
    <n v="-1.6018306636155537E-2"/>
  </r>
  <r>
    <d v="2016-01-27T00:00:00"/>
    <n v="12.83"/>
    <n v="12.88"/>
    <n v="12.38"/>
    <n v="12.54"/>
    <n v="3617221"/>
    <x v="80"/>
    <x v="1"/>
    <n v="-2.2603273577552683E-2"/>
  </r>
  <r>
    <d v="2016-01-28T00:00:00"/>
    <n v="12.72"/>
    <n v="12.75"/>
    <n v="12.16"/>
    <n v="12.65"/>
    <n v="4592754"/>
    <x v="81"/>
    <x v="1"/>
    <n v="-5.5031446540880725E-3"/>
  </r>
  <r>
    <d v="2016-01-29T00:00:00"/>
    <n v="12.66"/>
    <n v="12.92"/>
    <n v="12.54"/>
    <n v="12.75"/>
    <n v="2852289"/>
    <x v="82"/>
    <x v="1"/>
    <n v="7.1090047393364813E-3"/>
  </r>
  <r>
    <d v="2016-02-01T00:00:00"/>
    <n v="12.58"/>
    <n v="13.3"/>
    <n v="12.18"/>
    <n v="13.13"/>
    <n v="5297639"/>
    <x v="83"/>
    <x v="1"/>
    <n v="4.3720190779014366E-2"/>
  </r>
  <r>
    <d v="2016-02-02T00:00:00"/>
    <n v="12.83"/>
    <n v="12.87"/>
    <n v="12.02"/>
    <n v="12.19"/>
    <n v="5773637"/>
    <x v="84"/>
    <x v="1"/>
    <n v="-4.9883086515978219E-2"/>
  </r>
  <r>
    <d v="2016-02-03T00:00:00"/>
    <n v="12.24"/>
    <n v="12.26"/>
    <n v="11.35"/>
    <n v="11.57"/>
    <n v="7931362"/>
    <x v="85"/>
    <x v="1"/>
    <n v="-5.4738562091503261E-2"/>
  </r>
  <r>
    <d v="2016-02-04T00:00:00"/>
    <n v="11.38"/>
    <n v="11.73"/>
    <n v="11.13"/>
    <n v="11.69"/>
    <n v="4385366"/>
    <x v="86"/>
    <x v="1"/>
    <n v="2.7240773286467374E-2"/>
  </r>
  <r>
    <d v="2016-02-05T00:00:00"/>
    <n v="11.42"/>
    <n v="11.53"/>
    <n v="10.52"/>
    <n v="10.84"/>
    <n v="9437591"/>
    <x v="87"/>
    <x v="1"/>
    <n v="-5.0788091068301233E-2"/>
  </r>
  <r>
    <d v="2016-02-08T00:00:00"/>
    <n v="10.47"/>
    <n v="10.48"/>
    <n v="9.73"/>
    <n v="9.8699999999999992"/>
    <n v="9312988"/>
    <x v="88"/>
    <x v="1"/>
    <n v="-5.7306590257879791E-2"/>
  </r>
  <r>
    <d v="2016-02-09T00:00:00"/>
    <n v="9.49"/>
    <n v="10.65"/>
    <n v="9.4"/>
    <n v="9.8800000000000008"/>
    <n v="8651648"/>
    <x v="89"/>
    <x v="1"/>
    <n v="4.1095890410958964E-2"/>
  </r>
  <r>
    <d v="2016-02-10T00:00:00"/>
    <n v="10.029999999999999"/>
    <n v="10.33"/>
    <n v="9.4499999999999993"/>
    <n v="9.58"/>
    <n v="10406513"/>
    <x v="90"/>
    <x v="1"/>
    <n v="-4.4865403788634031E-2"/>
  </r>
  <r>
    <d v="2016-02-11T00:00:00"/>
    <n v="10.130000000000001"/>
    <n v="10.88"/>
    <n v="9.8000000000000007"/>
    <n v="10.029999999999999"/>
    <n v="14252364"/>
    <x v="91"/>
    <x v="1"/>
    <n v="-9.8716683119448589E-3"/>
  </r>
  <r>
    <d v="2016-02-12T00:00:00"/>
    <n v="10.33"/>
    <n v="10.47"/>
    <n v="9.58"/>
    <n v="10.07"/>
    <n v="7235783"/>
    <x v="92"/>
    <x v="1"/>
    <n v="-2.5169409486931249E-2"/>
  </r>
  <r>
    <d v="2016-02-16T00:00:00"/>
    <n v="10.58"/>
    <n v="10.86"/>
    <n v="10.27"/>
    <n v="10.34"/>
    <n v="5593794"/>
    <x v="93"/>
    <x v="1"/>
    <n v="-2.2684310018903611E-2"/>
  </r>
  <r>
    <d v="2016-02-17T00:00:00"/>
    <n v="10.6"/>
    <n v="11.29"/>
    <n v="10.45"/>
    <n v="11.25"/>
    <n v="5825159"/>
    <x v="94"/>
    <x v="1"/>
    <n v="6.1320754716981167E-2"/>
  </r>
  <r>
    <d v="2016-02-18T00:00:00"/>
    <n v="11.49"/>
    <n v="11.53"/>
    <n v="10.98"/>
    <n v="11.12"/>
    <n v="3887574"/>
    <x v="95"/>
    <x v="1"/>
    <n v="-3.2201914708442213E-2"/>
  </r>
  <r>
    <d v="2016-02-19T00:00:00"/>
    <n v="10.91"/>
    <n v="11.17"/>
    <n v="10.83"/>
    <n v="11.11"/>
    <n v="2959390"/>
    <x v="96"/>
    <x v="1"/>
    <n v="1.8331805682859695E-2"/>
  </r>
  <r>
    <d v="2016-02-22T00:00:00"/>
    <n v="11.34"/>
    <n v="11.93"/>
    <n v="11.32"/>
    <n v="11.85"/>
    <n v="5060051"/>
    <x v="97"/>
    <x v="1"/>
    <n v="4.4973544973544957E-2"/>
  </r>
  <r>
    <d v="2016-02-23T00:00:00"/>
    <n v="11.74"/>
    <n v="12.12"/>
    <n v="11.58"/>
    <n v="11.81"/>
    <n v="5984374"/>
    <x v="98"/>
    <x v="1"/>
    <n v="5.9625212947189334E-3"/>
  </r>
  <r>
    <d v="2016-02-24T00:00:00"/>
    <n v="11.52"/>
    <n v="11.97"/>
    <n v="11.19"/>
    <n v="11.93"/>
    <n v="5395609"/>
    <x v="99"/>
    <x v="1"/>
    <n v="3.559027777777779E-2"/>
  </r>
  <r>
    <d v="2016-02-25T00:00:00"/>
    <n v="11.91"/>
    <n v="12.57"/>
    <n v="11.68"/>
    <n v="12.5"/>
    <n v="5750741"/>
    <x v="100"/>
    <x v="1"/>
    <n v="4.9538203190596125E-2"/>
  </r>
  <r>
    <d v="2016-02-26T00:00:00"/>
    <n v="12.58"/>
    <n v="12.8"/>
    <n v="12.33"/>
    <n v="12.69"/>
    <n v="6065117"/>
    <x v="101"/>
    <x v="1"/>
    <n v="8.7440381558028159E-3"/>
  </r>
  <r>
    <d v="2016-02-29T00:00:00"/>
    <n v="12.83"/>
    <n v="13.09"/>
    <n v="12.61"/>
    <n v="12.8"/>
    <n v="4498997"/>
    <x v="102"/>
    <x v="1"/>
    <n v="-2.3382696804364273E-3"/>
  </r>
  <r>
    <d v="2016-03-01T00:00:00"/>
    <n v="12.95"/>
    <n v="13.06"/>
    <n v="12.18"/>
    <n v="12.42"/>
    <n v="6712159"/>
    <x v="103"/>
    <x v="1"/>
    <n v="-4.0926640926640882E-2"/>
  </r>
  <r>
    <d v="2016-03-02T00:00:00"/>
    <n v="12.25"/>
    <n v="12.57"/>
    <n v="12.1"/>
    <n v="12.56"/>
    <n v="4862396"/>
    <x v="104"/>
    <x v="1"/>
    <n v="2.5306122448979632E-2"/>
  </r>
  <r>
    <d v="2016-03-03T00:00:00"/>
    <n v="12.55"/>
    <n v="13.16"/>
    <n v="12.28"/>
    <n v="13.05"/>
    <n v="4829018"/>
    <x v="105"/>
    <x v="1"/>
    <n v="3.9840637450199202E-2"/>
  </r>
  <r>
    <d v="2016-03-04T00:00:00"/>
    <n v="13.2"/>
    <n v="13.6"/>
    <n v="13.17"/>
    <n v="13.4"/>
    <n v="6489058"/>
    <x v="106"/>
    <x v="1"/>
    <n v="1.5151515151515233E-2"/>
  </r>
  <r>
    <d v="2016-03-07T00:00:00"/>
    <n v="13.18"/>
    <n v="13.98"/>
    <n v="13.16"/>
    <n v="13.69"/>
    <n v="5337072"/>
    <x v="107"/>
    <x v="1"/>
    <n v="3.8694992412746571E-2"/>
  </r>
  <r>
    <d v="2016-03-08T00:00:00"/>
    <n v="13.57"/>
    <n v="13.83"/>
    <n v="13.48"/>
    <n v="13.51"/>
    <n v="4178693"/>
    <x v="108"/>
    <x v="1"/>
    <n v="-4.4215180545320925E-3"/>
  </r>
  <r>
    <d v="2016-03-09T00:00:00"/>
    <n v="13.63"/>
    <n v="13.96"/>
    <n v="13.52"/>
    <n v="13.91"/>
    <n v="3208554"/>
    <x v="109"/>
    <x v="1"/>
    <n v="2.0542920029346979E-2"/>
  </r>
  <r>
    <d v="2016-03-10T00:00:00"/>
    <n v="14"/>
    <n v="14.22"/>
    <n v="13.38"/>
    <n v="13.68"/>
    <n v="5192523"/>
    <x v="110"/>
    <x v="1"/>
    <n v="-2.2857142857142878E-2"/>
  </r>
  <r>
    <d v="2016-03-11T00:00:00"/>
    <n v="13.86"/>
    <n v="13.96"/>
    <n v="13.69"/>
    <n v="13.83"/>
    <n v="3343077"/>
    <x v="111"/>
    <x v="1"/>
    <n v="-2.1645021645021185E-3"/>
  </r>
  <r>
    <d v="2016-03-14T00:00:00"/>
    <n v="14.18"/>
    <n v="14.45"/>
    <n v="14.04"/>
    <n v="14.34"/>
    <n v="4065706"/>
    <x v="112"/>
    <x v="1"/>
    <n v="1.1283497884344157E-2"/>
  </r>
  <r>
    <d v="2016-03-15T00:00:00"/>
    <n v="14.28"/>
    <n v="14.6"/>
    <n v="14.1"/>
    <n v="14.56"/>
    <n v="3180452"/>
    <x v="113"/>
    <x v="1"/>
    <n v="1.9607843137254981E-2"/>
  </r>
  <r>
    <d v="2016-03-16T00:00:00"/>
    <n v="14.53"/>
    <n v="14.84"/>
    <n v="14.47"/>
    <n v="14.8"/>
    <n v="3516703"/>
    <x v="114"/>
    <x v="1"/>
    <n v="1.858224363386107E-2"/>
  </r>
  <r>
    <d v="2016-03-17T00:00:00"/>
    <n v="14.76"/>
    <n v="15.23"/>
    <n v="14.67"/>
    <n v="15.09"/>
    <n v="1094018"/>
    <x v="115"/>
    <x v="1"/>
    <n v="2.2357723577235776E-2"/>
  </r>
  <r>
    <d v="2016-03-18T00:00:00"/>
    <n v="15.27"/>
    <n v="15.63"/>
    <n v="15.2"/>
    <n v="15.52"/>
    <n v="4711793"/>
    <x v="116"/>
    <x v="1"/>
    <n v="1.6371971185330715E-2"/>
  </r>
  <r>
    <d v="2016-03-21T00:00:00"/>
    <n v="15.69"/>
    <n v="15.99"/>
    <n v="15.67"/>
    <n v="15.89"/>
    <n v="5307822"/>
    <x v="117"/>
    <x v="1"/>
    <n v="1.2746972594008992E-2"/>
  </r>
  <r>
    <d v="2016-03-22T00:00:00"/>
    <n v="15.81"/>
    <n v="15.93"/>
    <n v="15.5"/>
    <n v="15.62"/>
    <n v="4315988"/>
    <x v="118"/>
    <x v="1"/>
    <n v="-1.2017710309930504E-2"/>
  </r>
  <r>
    <d v="2016-03-23T00:00:00"/>
    <n v="15.49"/>
    <n v="15.65"/>
    <n v="14.8"/>
    <n v="14.84"/>
    <n v="4948841"/>
    <x v="119"/>
    <x v="1"/>
    <n v="-4.1962556488056836E-2"/>
  </r>
  <r>
    <d v="2016-03-24T00:00:00"/>
    <n v="14.39"/>
    <n v="15.26"/>
    <n v="14.33"/>
    <n v="15.18"/>
    <n v="4960900"/>
    <x v="120"/>
    <x v="1"/>
    <n v="5.4899235580264008E-2"/>
  </r>
  <r>
    <d v="2016-03-28T00:00:00"/>
    <n v="15.44"/>
    <n v="15.65"/>
    <n v="15"/>
    <n v="15.35"/>
    <n v="3925685"/>
    <x v="121"/>
    <x v="1"/>
    <n v="-5.829015544041442E-3"/>
  </r>
  <r>
    <d v="2016-03-29T00:00:00"/>
    <n v="15.33"/>
    <n v="15.49"/>
    <n v="15.02"/>
    <n v="15.34"/>
    <n v="4014330"/>
    <x v="122"/>
    <x v="1"/>
    <n v="6.5231572080885758E-4"/>
  </r>
  <r>
    <d v="2016-03-30T00:00:00"/>
    <n v="15.67"/>
    <n v="15.7"/>
    <n v="15.1"/>
    <n v="15.13"/>
    <n v="4032982"/>
    <x v="123"/>
    <x v="1"/>
    <n v="-3.4460753031269886E-2"/>
  </r>
  <r>
    <d v="2016-03-31T00:00:00"/>
    <n v="15.29"/>
    <n v="15.83"/>
    <n v="15"/>
    <n v="15.32"/>
    <n v="8012872"/>
    <x v="124"/>
    <x v="1"/>
    <n v="1.9620667102682237E-3"/>
  </r>
  <r>
    <d v="2016-04-01T00:00:00"/>
    <n v="16.32"/>
    <n v="16.53"/>
    <n v="15.55"/>
    <n v="15.84"/>
    <n v="15997509"/>
    <x v="125"/>
    <x v="1"/>
    <n v="-2.9411764705882377E-2"/>
  </r>
  <r>
    <d v="2016-04-04T00:00:00"/>
    <n v="16.61"/>
    <n v="16.809999999999999"/>
    <n v="16.239999999999998"/>
    <n v="16.47"/>
    <n v="13475327"/>
    <x v="126"/>
    <x v="1"/>
    <n v="-8.4286574352799865E-3"/>
  </r>
  <r>
    <d v="2016-04-05T00:00:00"/>
    <n v="16.03"/>
    <n v="17.100000000000001"/>
    <n v="16"/>
    <n v="17.03"/>
    <n v="9948699"/>
    <x v="127"/>
    <x v="1"/>
    <n v="6.238303181534622E-2"/>
  </r>
  <r>
    <d v="2016-04-06T00:00:00"/>
    <n v="16.93"/>
    <n v="17.850000000000001"/>
    <n v="16.899999999999999"/>
    <n v="17.690000000000001"/>
    <n v="11705479"/>
    <x v="128"/>
    <x v="1"/>
    <n v="4.4890726520968788E-2"/>
  </r>
  <r>
    <d v="2016-04-07T00:00:00"/>
    <n v="17.760000000000002"/>
    <n v="17.96"/>
    <n v="16.97"/>
    <n v="17.149999999999999"/>
    <n v="8856171"/>
    <x v="129"/>
    <x v="1"/>
    <n v="-3.434684684684701E-2"/>
  </r>
  <r>
    <d v="2016-04-08T00:00:00"/>
    <n v="17.37"/>
    <n v="17.39"/>
    <n v="16.53"/>
    <n v="16.670000000000002"/>
    <n v="7363935"/>
    <x v="130"/>
    <x v="1"/>
    <n v="-4.0299366724237146E-2"/>
  </r>
  <r>
    <d v="2016-04-11T00:00:00"/>
    <n v="16.73"/>
    <n v="17.27"/>
    <n v="16.350000000000001"/>
    <n v="16.66"/>
    <n v="9161693"/>
    <x v="131"/>
    <x v="1"/>
    <n v="-4.1841004184100588E-3"/>
  </r>
  <r>
    <d v="2016-04-12T00:00:00"/>
    <n v="16.63"/>
    <n v="16.79"/>
    <n v="16.239999999999998"/>
    <n v="16.52"/>
    <n v="5763208"/>
    <x v="132"/>
    <x v="1"/>
    <n v="-6.6145520144317163E-3"/>
  </r>
  <r>
    <d v="2016-04-13T00:00:00"/>
    <n v="16.57"/>
    <n v="17.03"/>
    <n v="16.489999999999998"/>
    <n v="16.97"/>
    <n v="4925595"/>
    <x v="133"/>
    <x v="1"/>
    <n v="2.4140012070005948E-2"/>
  </r>
  <r>
    <d v="2016-04-14T00:00:00"/>
    <n v="16.87"/>
    <n v="17.12"/>
    <n v="16.739999999999998"/>
    <n v="16.79"/>
    <n v="4132185"/>
    <x v="134"/>
    <x v="1"/>
    <n v="-4.7421458209841042E-3"/>
  </r>
  <r>
    <d v="2016-04-15T00:00:00"/>
    <n v="16.75"/>
    <n v="16.97"/>
    <n v="16.61"/>
    <n v="16.97"/>
    <n v="3752366"/>
    <x v="135"/>
    <x v="1"/>
    <n v="1.3134328358208887E-2"/>
  </r>
  <r>
    <d v="2016-04-18T00:00:00"/>
    <n v="16.82"/>
    <n v="17.22"/>
    <n v="16.78"/>
    <n v="16.93"/>
    <n v="4271362"/>
    <x v="136"/>
    <x v="1"/>
    <n v="6.539833531510073E-3"/>
  </r>
  <r>
    <d v="2016-04-19T00:00:00"/>
    <n v="16.87"/>
    <n v="16.96"/>
    <n v="16.079999999999998"/>
    <n v="16.489999999999998"/>
    <n v="6357526"/>
    <x v="137"/>
    <x v="1"/>
    <n v="-2.2525192649674126E-2"/>
  </r>
  <r>
    <d v="2016-04-20T00:00:00"/>
    <n v="16.420000000000002"/>
    <n v="16.91"/>
    <n v="16.100000000000001"/>
    <n v="16.66"/>
    <n v="5194051"/>
    <x v="138"/>
    <x v="1"/>
    <n v="1.4616321559074203E-2"/>
  </r>
  <r>
    <d v="2016-04-21T00:00:00"/>
    <n v="16.600000000000001"/>
    <n v="16.73"/>
    <n v="16.46"/>
    <n v="16.55"/>
    <n v="2783059"/>
    <x v="139"/>
    <x v="1"/>
    <n v="-3.012048192771127E-3"/>
  </r>
  <r>
    <d v="2016-04-22T00:00:00"/>
    <n v="16.59"/>
    <n v="16.93"/>
    <n v="16.38"/>
    <n v="16.920000000000002"/>
    <n v="3786327"/>
    <x v="140"/>
    <x v="1"/>
    <n v="1.9891500904159243E-2"/>
  </r>
  <r>
    <d v="2016-04-25T00:00:00"/>
    <n v="16.87"/>
    <n v="17.16"/>
    <n v="16.72"/>
    <n v="16.79"/>
    <n v="3670348"/>
    <x v="141"/>
    <x v="1"/>
    <n v="-4.7421458209841042E-3"/>
  </r>
  <r>
    <d v="2016-04-26T00:00:00"/>
    <n v="16.8"/>
    <n v="17.05"/>
    <n v="16.63"/>
    <n v="16.920000000000002"/>
    <n v="3223839"/>
    <x v="142"/>
    <x v="1"/>
    <n v="7.1428571428572016E-3"/>
  </r>
  <r>
    <d v="2016-04-27T00:00:00"/>
    <n v="16.850000000000001"/>
    <n v="17"/>
    <n v="16.63"/>
    <n v="16.760000000000002"/>
    <n v="3205808"/>
    <x v="143"/>
    <x v="1"/>
    <n v="-5.3412462908011783E-3"/>
  </r>
  <r>
    <d v="2016-04-28T00:00:00"/>
    <n v="16.66"/>
    <n v="16.899999999999999"/>
    <n v="16.5"/>
    <n v="16.510000000000002"/>
    <n v="2518990"/>
    <x v="144"/>
    <x v="1"/>
    <n v="-9.003601440576145E-3"/>
  </r>
  <r>
    <d v="2016-04-29T00:00:00"/>
    <n v="16.54"/>
    <n v="16.559999999999999"/>
    <n v="15.85"/>
    <n v="16.05"/>
    <n v="5413787"/>
    <x v="145"/>
    <x v="1"/>
    <n v="-2.9625151148730256E-2"/>
  </r>
  <r>
    <d v="2016-05-02T00:00:00"/>
    <n v="16.100000000000001"/>
    <n v="16.21"/>
    <n v="15.65"/>
    <n v="16.12"/>
    <n v="3843935"/>
    <x v="146"/>
    <x v="1"/>
    <n v="1.2422360248446939E-3"/>
  </r>
  <r>
    <d v="2016-05-03T00:00:00"/>
    <n v="15.82"/>
    <n v="15.93"/>
    <n v="15.44"/>
    <n v="15.49"/>
    <n v="4302222"/>
    <x v="147"/>
    <x v="1"/>
    <n v="-2.0859671302149184E-2"/>
  </r>
  <r>
    <d v="2016-05-04T00:00:00"/>
    <n v="15.35"/>
    <n v="15.63"/>
    <n v="14.69"/>
    <n v="14.84"/>
    <n v="8700459"/>
    <x v="148"/>
    <x v="1"/>
    <n v="-3.3224755700325723E-2"/>
  </r>
  <r>
    <d v="2016-05-05T00:00:00"/>
    <n v="15.23"/>
    <n v="15.24"/>
    <n v="13.99"/>
    <n v="14.1"/>
    <n v="11254827"/>
    <x v="149"/>
    <x v="1"/>
    <n v="-7.4195666447800443E-2"/>
  </r>
  <r>
    <d v="2016-05-06T00:00:00"/>
    <n v="14.06"/>
    <n v="14.42"/>
    <n v="13.87"/>
    <n v="14.33"/>
    <n v="5685237"/>
    <x v="150"/>
    <x v="1"/>
    <n v="1.9203413940256014E-2"/>
  </r>
  <r>
    <d v="2016-05-09T00:00:00"/>
    <n v="14.38"/>
    <n v="14.41"/>
    <n v="13.79"/>
    <n v="13.93"/>
    <n v="4776383"/>
    <x v="151"/>
    <x v="1"/>
    <n v="-3.1293463143254589E-2"/>
  </r>
  <r>
    <d v="2016-05-10T00:00:00"/>
    <n v="13.84"/>
    <n v="13.96"/>
    <n v="13.67"/>
    <n v="13.91"/>
    <n v="4070617"/>
    <x v="152"/>
    <x v="1"/>
    <n v="5.0578034682081134E-3"/>
  </r>
  <r>
    <d v="2016-05-11T00:00:00"/>
    <n v="13.84"/>
    <n v="14.37"/>
    <n v="13.74"/>
    <n v="13.93"/>
    <n v="5161864"/>
    <x v="153"/>
    <x v="1"/>
    <n v="6.5028901734103944E-3"/>
  </r>
  <r>
    <d v="2016-05-12T00:00:00"/>
    <n v="14.1"/>
    <n v="14.11"/>
    <n v="13.58"/>
    <n v="13.82"/>
    <n v="3650475"/>
    <x v="154"/>
    <x v="1"/>
    <n v="-1.985815602836875E-2"/>
  </r>
  <r>
    <d v="2016-05-13T00:00:00"/>
    <n v="13.85"/>
    <n v="14.08"/>
    <n v="13.78"/>
    <n v="13.84"/>
    <n v="2822781"/>
    <x v="155"/>
    <x v="1"/>
    <n v="-7.2202166064980417E-4"/>
  </r>
  <r>
    <d v="2016-05-16T00:00:00"/>
    <n v="13.88"/>
    <n v="14.21"/>
    <n v="13.86"/>
    <n v="13.89"/>
    <n v="2949396"/>
    <x v="156"/>
    <x v="1"/>
    <n v="7.2046109510084911E-4"/>
  </r>
  <r>
    <d v="2016-05-17T00:00:00"/>
    <n v="13.94"/>
    <n v="13.99"/>
    <n v="13.6"/>
    <n v="13.64"/>
    <n v="2843597"/>
    <x v="157"/>
    <x v="1"/>
    <n v="-2.1520803443328476E-2"/>
  </r>
  <r>
    <d v="2016-05-18T00:00:00"/>
    <n v="13.94"/>
    <n v="14.35"/>
    <n v="13.85"/>
    <n v="14.08"/>
    <n v="5617519"/>
    <x v="158"/>
    <x v="1"/>
    <n v="1.0043041606886698E-2"/>
  </r>
  <r>
    <d v="2016-05-19T00:00:00"/>
    <n v="14.24"/>
    <n v="14.45"/>
    <n v="13.82"/>
    <n v="14.35"/>
    <n v="6866321"/>
    <x v="159"/>
    <x v="1"/>
    <n v="7.7247191011235554E-3"/>
  </r>
  <r>
    <d v="2016-05-20T00:00:00"/>
    <n v="14.47"/>
    <n v="14.7"/>
    <n v="14.42"/>
    <n v="14.69"/>
    <n v="9007076"/>
    <x v="160"/>
    <x v="1"/>
    <n v="1.520387007601927E-2"/>
  </r>
  <r>
    <d v="2016-05-23T00:00:00"/>
    <n v="14.66"/>
    <n v="14.84"/>
    <n v="14.39"/>
    <n v="14.41"/>
    <n v="5102479"/>
    <x v="161"/>
    <x v="1"/>
    <n v="-1.7053206002728513E-2"/>
  </r>
  <r>
    <d v="2016-05-24T00:00:00"/>
    <n v="14.44"/>
    <n v="14.58"/>
    <n v="14.35"/>
    <n v="14.53"/>
    <n v="3013843"/>
    <x v="162"/>
    <x v="1"/>
    <n v="6.2326869806094091E-3"/>
  </r>
  <r>
    <d v="2016-05-25T00:00:00"/>
    <n v="14.53"/>
    <n v="14.76"/>
    <n v="14.43"/>
    <n v="14.64"/>
    <n v="3132615"/>
    <x v="163"/>
    <x v="1"/>
    <n v="7.570543702684185E-3"/>
  </r>
  <r>
    <d v="2016-05-26T00:00:00"/>
    <n v="14.7"/>
    <n v="15.02"/>
    <n v="14.6"/>
    <n v="15.01"/>
    <n v="4072424"/>
    <x v="164"/>
    <x v="1"/>
    <n v="2.1088435374149693E-2"/>
  </r>
  <r>
    <d v="2016-05-27T00:00:00"/>
    <n v="15"/>
    <n v="15.06"/>
    <n v="14.72"/>
    <n v="14.87"/>
    <n v="3650272"/>
    <x v="165"/>
    <x v="1"/>
    <n v="-8.6666666666667183E-3"/>
  </r>
  <r>
    <d v="2016-05-31T00:00:00"/>
    <n v="14.87"/>
    <n v="14.98"/>
    <n v="14.77"/>
    <n v="14.88"/>
    <n v="2789002"/>
    <x v="166"/>
    <x v="1"/>
    <n v="6.72494956287933E-4"/>
  </r>
  <r>
    <d v="2016-06-01T00:00:00"/>
    <n v="14.77"/>
    <n v="14.83"/>
    <n v="14.46"/>
    <n v="14.64"/>
    <n v="2982695"/>
    <x v="167"/>
    <x v="1"/>
    <n v="-8.801624915368924E-3"/>
  </r>
  <r>
    <d v="2016-06-02T00:00:00"/>
    <n v="14.64"/>
    <n v="14.66"/>
    <n v="14.47"/>
    <n v="14.6"/>
    <n v="2032832"/>
    <x v="168"/>
    <x v="1"/>
    <n v="-2.7322404371585328E-3"/>
  </r>
  <r>
    <d v="2016-06-03T00:00:00"/>
    <n v="14.67"/>
    <n v="14.8"/>
    <n v="14.53"/>
    <n v="14.6"/>
    <n v="2228970"/>
    <x v="169"/>
    <x v="1"/>
    <n v="-4.7716428084526438E-3"/>
  </r>
  <r>
    <d v="2016-06-06T00:00:00"/>
    <n v="14.53"/>
    <n v="14.73"/>
    <n v="14.36"/>
    <n v="14.71"/>
    <n v="2249508"/>
    <x v="170"/>
    <x v="1"/>
    <n v="1.2388162422574088E-2"/>
  </r>
  <r>
    <d v="2016-06-07T00:00:00"/>
    <n v="14.82"/>
    <n v="15.63"/>
    <n v="14.77"/>
    <n v="15.49"/>
    <n v="6213573"/>
    <x v="171"/>
    <x v="1"/>
    <n v="4.5209176788124153E-2"/>
  </r>
  <r>
    <d v="2016-06-08T00:00:00"/>
    <n v="15.59"/>
    <n v="16.059999999999999"/>
    <n v="15.51"/>
    <n v="15.7"/>
    <n v="5971995"/>
    <x v="172"/>
    <x v="1"/>
    <n v="7.0558050032071473E-3"/>
  </r>
  <r>
    <d v="2016-06-09T00:00:00"/>
    <n v="15.67"/>
    <n v="15.69"/>
    <n v="15.14"/>
    <n v="15.29"/>
    <n v="4492075"/>
    <x v="173"/>
    <x v="1"/>
    <n v="-2.4250159540523342E-2"/>
  </r>
  <r>
    <d v="2016-06-10T00:00:00"/>
    <n v="15.16"/>
    <n v="15.2"/>
    <n v="14.56"/>
    <n v="14.59"/>
    <n v="6026603"/>
    <x v="174"/>
    <x v="1"/>
    <n v="-3.759894459102904E-2"/>
  </r>
  <r>
    <d v="2016-06-13T00:00:00"/>
    <n v="14.63"/>
    <n v="15.05"/>
    <n v="14.51"/>
    <n v="14.52"/>
    <n v="4193022"/>
    <x v="175"/>
    <x v="1"/>
    <n v="-7.518796992481285E-3"/>
  </r>
  <r>
    <d v="2016-06-14T00:00:00"/>
    <n v="14.59"/>
    <n v="14.81"/>
    <n v="14.17"/>
    <n v="14.33"/>
    <n v="3580167"/>
    <x v="176"/>
    <x v="1"/>
    <n v="-1.7820424948594912E-2"/>
  </r>
  <r>
    <d v="2016-06-15T00:00:00"/>
    <n v="14.46"/>
    <n v="14.79"/>
    <n v="14.34"/>
    <n v="14.51"/>
    <n v="2908522"/>
    <x v="177"/>
    <x v="1"/>
    <n v="3.4578146611340893E-3"/>
  </r>
  <r>
    <d v="2016-06-16T00:00:00"/>
    <n v="14.49"/>
    <n v="14.54"/>
    <n v="14.23"/>
    <n v="14.53"/>
    <n v="2440259"/>
    <x v="178"/>
    <x v="1"/>
    <n v="2.7605244996548755E-3"/>
  </r>
  <r>
    <d v="2016-06-17T00:00:00"/>
    <n v="14.52"/>
    <n v="14.67"/>
    <n v="14.3"/>
    <n v="14.36"/>
    <n v="3112620"/>
    <x v="179"/>
    <x v="1"/>
    <n v="-1.1019283746556485E-2"/>
  </r>
  <r>
    <d v="2016-06-20T00:00:00"/>
    <n v="14.63"/>
    <n v="14.92"/>
    <n v="14.55"/>
    <n v="14.65"/>
    <n v="3555471"/>
    <x v="180"/>
    <x v="1"/>
    <n v="1.3670539986329168E-3"/>
  </r>
  <r>
    <d v="2016-06-21T00:00:00"/>
    <n v="14.71"/>
    <n v="14.84"/>
    <n v="14.59"/>
    <n v="14.64"/>
    <n v="4529005"/>
    <x v="181"/>
    <x v="1"/>
    <n v="-4.7586675730795572E-3"/>
  </r>
  <r>
    <d v="2016-06-22T00:00:00"/>
    <n v="13.3"/>
    <n v="13.73"/>
    <n v="13.05"/>
    <n v="13.11"/>
    <n v="23742414"/>
    <x v="182"/>
    <x v="1"/>
    <n v="-1.4285714285714381E-2"/>
  </r>
  <r>
    <d v="2016-06-23T00:00:00"/>
    <n v="13.05"/>
    <n v="13.17"/>
    <n v="12.81"/>
    <n v="13.09"/>
    <n v="10130748"/>
    <x v="183"/>
    <x v="1"/>
    <n v="3.0651340996167929E-3"/>
  </r>
  <r>
    <d v="2016-06-24T00:00:00"/>
    <n v="12.67"/>
    <n v="13.01"/>
    <n v="12.65"/>
    <n v="12.88"/>
    <n v="7026516"/>
    <x v="184"/>
    <x v="1"/>
    <n v="1.6574585635359185E-2"/>
  </r>
  <r>
    <d v="2016-06-27T00:00:00"/>
    <n v="12.72"/>
    <n v="13.25"/>
    <n v="12.52"/>
    <n v="13.24"/>
    <n v="7220323"/>
    <x v="185"/>
    <x v="1"/>
    <n v="4.0880503144654051E-2"/>
  </r>
  <r>
    <d v="2016-06-28T00:00:00"/>
    <n v="13.46"/>
    <n v="13.6"/>
    <n v="13.29"/>
    <n v="13.45"/>
    <n v="6212422"/>
    <x v="186"/>
    <x v="1"/>
    <n v="-7.4294205052017552E-4"/>
  </r>
  <r>
    <d v="2016-06-29T00:00:00"/>
    <n v="13.68"/>
    <n v="14.12"/>
    <n v="13.53"/>
    <n v="14.01"/>
    <n v="5994908"/>
    <x v="187"/>
    <x v="1"/>
    <n v="2.4122807017543865E-2"/>
  </r>
  <r>
    <d v="2016-06-30T00:00:00"/>
    <n v="14.2"/>
    <n v="14.23"/>
    <n v="13.93"/>
    <n v="14.15"/>
    <n v="4843111"/>
    <x v="188"/>
    <x v="1"/>
    <n v="-3.5211267605633053E-3"/>
  </r>
  <r>
    <d v="2016-07-01T00:00:00"/>
    <n v="13.74"/>
    <n v="14.55"/>
    <n v="13.73"/>
    <n v="14.43"/>
    <n v="5399951"/>
    <x v="189"/>
    <x v="1"/>
    <n v="5.0218340611353676E-2"/>
  </r>
  <r>
    <d v="2016-07-05T00:00:00"/>
    <n v="13.98"/>
    <n v="14.3"/>
    <n v="13.87"/>
    <n v="14.27"/>
    <n v="5175345"/>
    <x v="190"/>
    <x v="1"/>
    <n v="2.0743919885550726E-2"/>
  </r>
  <r>
    <d v="2016-07-06T00:00:00"/>
    <n v="14"/>
    <n v="14.35"/>
    <n v="13.93"/>
    <n v="14.3"/>
    <n v="4919855"/>
    <x v="191"/>
    <x v="1"/>
    <n v="2.1428571428571481E-2"/>
  </r>
  <r>
    <d v="2016-07-07T00:00:00"/>
    <n v="14.21"/>
    <n v="14.54"/>
    <n v="14.2"/>
    <n v="14.4"/>
    <n v="3612022"/>
    <x v="192"/>
    <x v="1"/>
    <n v="1.3370865587614321E-2"/>
  </r>
  <r>
    <d v="2016-07-08T00:00:00"/>
    <n v="14.52"/>
    <n v="14.65"/>
    <n v="14.3"/>
    <n v="14.45"/>
    <n v="4074785"/>
    <x v="193"/>
    <x v="1"/>
    <n v="-4.8209366391184774E-3"/>
  </r>
  <r>
    <d v="2016-07-11T00:00:00"/>
    <n v="14.66"/>
    <n v="15.12"/>
    <n v="14.63"/>
    <n v="14.99"/>
    <n v="5429823"/>
    <x v="194"/>
    <x v="1"/>
    <n v="2.2510231923601642E-2"/>
  </r>
  <r>
    <d v="2016-07-12T00:00:00"/>
    <n v="14.94"/>
    <n v="15.17"/>
    <n v="14.88"/>
    <n v="14.98"/>
    <n v="4576165"/>
    <x v="195"/>
    <x v="1"/>
    <n v="2.6773761713521369E-3"/>
  </r>
  <r>
    <d v="2016-07-13T00:00:00"/>
    <n v="15.03"/>
    <n v="15.04"/>
    <n v="14.69"/>
    <n v="14.84"/>
    <n v="3567062"/>
    <x v="196"/>
    <x v="1"/>
    <n v="-1.2641383898868897E-2"/>
  </r>
  <r>
    <d v="2016-07-14T00:00:00"/>
    <n v="14.87"/>
    <n v="15"/>
    <n v="14.74"/>
    <n v="14.77"/>
    <n v="2675834"/>
    <x v="197"/>
    <x v="1"/>
    <n v="-6.7249495628782545E-3"/>
  </r>
  <r>
    <d v="2016-07-15T00:00:00"/>
    <n v="14.83"/>
    <n v="14.85"/>
    <n v="14.64"/>
    <n v="14.69"/>
    <n v="2234247"/>
    <x v="198"/>
    <x v="1"/>
    <n v="-9.4403236682400922E-3"/>
  </r>
  <r>
    <d v="2016-07-18T00:00:00"/>
    <n v="14.64"/>
    <n v="15.14"/>
    <n v="14.55"/>
    <n v="15.08"/>
    <n v="3412055"/>
    <x v="199"/>
    <x v="1"/>
    <n v="3.0054644808743133E-2"/>
  </r>
  <r>
    <d v="2016-07-19T00:00:00"/>
    <n v="15"/>
    <n v="15.27"/>
    <n v="14.98"/>
    <n v="15.02"/>
    <n v="3115065"/>
    <x v="200"/>
    <x v="1"/>
    <n v="1.3333333333333049E-3"/>
  </r>
  <r>
    <d v="2016-07-20T00:00:00"/>
    <n v="15.1"/>
    <n v="15.32"/>
    <n v="15"/>
    <n v="15.22"/>
    <n v="2568498"/>
    <x v="201"/>
    <x v="1"/>
    <n v="7.9470198675497348E-3"/>
  </r>
  <r>
    <d v="2016-07-21T00:00:00"/>
    <n v="15.07"/>
    <n v="15.19"/>
    <n v="14.61"/>
    <n v="14.7"/>
    <n v="4428651"/>
    <x v="202"/>
    <x v="1"/>
    <n v="-2.4552090245520967E-2"/>
  </r>
  <r>
    <d v="2016-07-22T00:00:00"/>
    <n v="14.8"/>
    <n v="14.97"/>
    <n v="14.59"/>
    <n v="14.82"/>
    <n v="2579692"/>
    <x v="203"/>
    <x v="1"/>
    <n v="1.3513513513513226E-3"/>
  </r>
  <r>
    <d v="2016-07-25T00:00:00"/>
    <n v="14.82"/>
    <n v="15.43"/>
    <n v="14.76"/>
    <n v="15.33"/>
    <n v="4490683"/>
    <x v="204"/>
    <x v="1"/>
    <n v="3.4412955465587029E-2"/>
  </r>
  <r>
    <d v="2016-07-26T00:00:00"/>
    <n v="15.18"/>
    <n v="15.33"/>
    <n v="15.02"/>
    <n v="15.3"/>
    <n v="3430042"/>
    <x v="205"/>
    <x v="1"/>
    <n v="7.905138339921014E-3"/>
  </r>
  <r>
    <d v="2016-07-27T00:00:00"/>
    <n v="15.29"/>
    <n v="15.56"/>
    <n v="15.13"/>
    <n v="15.23"/>
    <n v="2889007"/>
    <x v="206"/>
    <x v="1"/>
    <n v="-3.924133420536215E-3"/>
  </r>
  <r>
    <d v="2016-07-28T00:00:00"/>
    <n v="15.2"/>
    <n v="15.38"/>
    <n v="15.11"/>
    <n v="15.37"/>
    <n v="2419059"/>
    <x v="207"/>
    <x v="1"/>
    <n v="1.1184210526315786E-2"/>
  </r>
  <r>
    <d v="2016-07-29T00:00:00"/>
    <n v="15.38"/>
    <n v="15.69"/>
    <n v="15.35"/>
    <n v="15.65"/>
    <n v="3070813"/>
    <x v="208"/>
    <x v="1"/>
    <n v="1.7555266579973965E-2"/>
  </r>
  <r>
    <d v="2016-08-01T00:00:00"/>
    <n v="15.7"/>
    <n v="15.78"/>
    <n v="15.29"/>
    <n v="15.33"/>
    <n v="4016284"/>
    <x v="209"/>
    <x v="1"/>
    <n v="-2.3566878980891669E-2"/>
  </r>
  <r>
    <d v="2016-08-02T00:00:00"/>
    <n v="15.29"/>
    <n v="15.32"/>
    <n v="14.76"/>
    <n v="15.15"/>
    <n v="3934432"/>
    <x v="210"/>
    <x v="1"/>
    <n v="-9.1563113145846173E-3"/>
  </r>
  <r>
    <d v="2016-08-03T00:00:00"/>
    <n v="15.16"/>
    <n v="15.31"/>
    <n v="14.95"/>
    <n v="15.05"/>
    <n v="3887759"/>
    <x v="211"/>
    <x v="1"/>
    <n v="-7.2559366754617041E-3"/>
  </r>
  <r>
    <d v="2016-08-04T00:00:00"/>
    <n v="15.05"/>
    <n v="15.39"/>
    <n v="14.8"/>
    <n v="15.37"/>
    <n v="4146997"/>
    <x v="212"/>
    <x v="1"/>
    <n v="2.1262458471760698E-2"/>
  </r>
  <r>
    <d v="2016-08-05T00:00:00"/>
    <n v="15.33"/>
    <n v="15.47"/>
    <n v="15.16"/>
    <n v="15.34"/>
    <n v="3205215"/>
    <x v="213"/>
    <x v="1"/>
    <n v="6.5231572080885758E-4"/>
  </r>
  <r>
    <d v="2016-08-08T00:00:00"/>
    <n v="15.2"/>
    <n v="15.31"/>
    <n v="15.07"/>
    <n v="15.08"/>
    <n v="2263584"/>
    <x v="214"/>
    <x v="1"/>
    <n v="-7.8947368421052114E-3"/>
  </r>
  <r>
    <d v="2016-08-09T00:00:00"/>
    <n v="15.12"/>
    <n v="15.44"/>
    <n v="15.11"/>
    <n v="15.27"/>
    <n v="2207833"/>
    <x v="215"/>
    <x v="1"/>
    <n v="9.9206349206349444E-3"/>
  </r>
  <r>
    <d v="2016-08-10T00:00:00"/>
    <n v="15.22"/>
    <n v="15.32"/>
    <n v="14.97"/>
    <n v="15.04"/>
    <n v="2338301"/>
    <x v="216"/>
    <x v="1"/>
    <n v="-1.1826544021025065E-2"/>
  </r>
  <r>
    <d v="2016-08-11T00:00:00"/>
    <n v="15.08"/>
    <n v="15.17"/>
    <n v="14.89"/>
    <n v="14.99"/>
    <n v="1880936"/>
    <x v="217"/>
    <x v="1"/>
    <n v="-5.9681697612732005E-3"/>
  </r>
  <r>
    <d v="2016-08-12T00:00:00"/>
    <n v="15.03"/>
    <n v="15.11"/>
    <n v="14.94"/>
    <n v="15.04"/>
    <n v="1813540"/>
    <x v="168"/>
    <x v="1"/>
    <n v="6.6533599467729786E-4"/>
  </r>
  <r>
    <d v="2016-08-15T00:00:00"/>
    <n v="15.07"/>
    <n v="15.3"/>
    <n v="15"/>
    <n v="15.04"/>
    <n v="2034328"/>
    <x v="218"/>
    <x v="1"/>
    <n v="-1.9907100199071754E-3"/>
  </r>
  <r>
    <d v="2016-08-16T00:00:00"/>
    <n v="15.03"/>
    <n v="15.15"/>
    <n v="14.89"/>
    <n v="14.91"/>
    <n v="2267147"/>
    <x v="219"/>
    <x v="1"/>
    <n v="-7.9840319361276935E-3"/>
  </r>
  <r>
    <d v="2016-08-17T00:00:00"/>
    <n v="14.96"/>
    <n v="14.99"/>
    <n v="14.85"/>
    <n v="14.88"/>
    <n v="1787127"/>
    <x v="220"/>
    <x v="1"/>
    <n v="-5.3475935828877046E-3"/>
  </r>
  <r>
    <d v="2016-08-18T00:00:00"/>
    <n v="14.92"/>
    <n v="15.04"/>
    <n v="14.82"/>
    <n v="14.9"/>
    <n v="1714467"/>
    <x v="221"/>
    <x v="1"/>
    <n v="-1.340482573726513E-3"/>
  </r>
  <r>
    <d v="2016-08-19T00:00:00"/>
    <n v="14.9"/>
    <n v="15.01"/>
    <n v="14.84"/>
    <n v="15"/>
    <n v="1659530"/>
    <x v="222"/>
    <x v="1"/>
    <n v="6.7114093959731299E-3"/>
  </r>
  <r>
    <d v="2016-08-22T00:00:00"/>
    <n v="14.94"/>
    <n v="15.01"/>
    <n v="14.85"/>
    <n v="14.86"/>
    <n v="2065493"/>
    <x v="223"/>
    <x v="1"/>
    <n v="-5.3547523427041549E-3"/>
  </r>
  <r>
    <d v="2016-08-23T00:00:00"/>
    <n v="14.95"/>
    <n v="15.23"/>
    <n v="14.85"/>
    <n v="14.99"/>
    <n v="4784418"/>
    <x v="224"/>
    <x v="1"/>
    <n v="2.6755852842809983E-3"/>
  </r>
  <r>
    <d v="2016-08-24T00:00:00"/>
    <n v="15.14"/>
    <n v="15.14"/>
    <n v="14.81"/>
    <n v="14.84"/>
    <n v="2570693"/>
    <x v="225"/>
    <x v="1"/>
    <n v="-1.9815059445178383E-2"/>
  </r>
  <r>
    <d v="2016-08-25T00:00:00"/>
    <n v="14.87"/>
    <n v="14.92"/>
    <n v="14.72"/>
    <n v="14.73"/>
    <n v="1762519"/>
    <x v="226"/>
    <x v="1"/>
    <n v="-9.4149293880295085E-3"/>
  </r>
  <r>
    <d v="2016-08-26T00:00:00"/>
    <n v="14.81"/>
    <n v="14.86"/>
    <n v="14.59"/>
    <n v="14.67"/>
    <n v="2238992"/>
    <x v="227"/>
    <x v="1"/>
    <n v="-9.4530722484807948E-3"/>
  </r>
  <r>
    <d v="2016-08-29T00:00:00"/>
    <n v="14.68"/>
    <n v="14.69"/>
    <n v="14.33"/>
    <n v="14.35"/>
    <n v="3266334"/>
    <x v="228"/>
    <x v="1"/>
    <n v="-2.2479564032697553E-2"/>
  </r>
  <r>
    <d v="2016-08-30T00:00:00"/>
    <n v="14.41"/>
    <n v="14.41"/>
    <n v="14.03"/>
    <n v="14.09"/>
    <n v="3168862"/>
    <x v="229"/>
    <x v="1"/>
    <n v="-2.2206800832755051E-2"/>
  </r>
  <r>
    <d v="2016-08-31T00:00:00"/>
    <n v="14.03"/>
    <n v="14.17"/>
    <n v="13.91"/>
    <n v="14.13"/>
    <n v="3276548"/>
    <x v="230"/>
    <x v="1"/>
    <n v="7.1275837491091539E-3"/>
  </r>
  <r>
    <d v="2016-09-01T00:00:00"/>
    <n v="13.93"/>
    <n v="14.07"/>
    <n v="13.37"/>
    <n v="13.38"/>
    <n v="7943138"/>
    <x v="231"/>
    <x v="1"/>
    <n v="-3.9483129935391166E-2"/>
  </r>
  <r>
    <d v="2016-09-02T00:00:00"/>
    <n v="13.49"/>
    <n v="13.55"/>
    <n v="13.08"/>
    <n v="13.19"/>
    <n v="5977413"/>
    <x v="232"/>
    <x v="1"/>
    <n v="-2.2238695329874034E-2"/>
  </r>
  <r>
    <d v="2016-09-06T00:00:00"/>
    <n v="13.27"/>
    <n v="13.55"/>
    <n v="13.27"/>
    <n v="13.52"/>
    <n v="4390572"/>
    <x v="233"/>
    <x v="1"/>
    <n v="1.8839487565938208E-2"/>
  </r>
  <r>
    <d v="2016-09-07T00:00:00"/>
    <n v="13.7"/>
    <n v="13.77"/>
    <n v="13.38"/>
    <n v="13.45"/>
    <n v="3640923"/>
    <x v="234"/>
    <x v="1"/>
    <n v="-1.8248175182481754E-2"/>
  </r>
  <r>
    <d v="2016-09-08T00:00:00"/>
    <n v="13.3"/>
    <n v="13.33"/>
    <n v="13.09"/>
    <n v="13.16"/>
    <n v="3377946"/>
    <x v="235"/>
    <x v="1"/>
    <n v="-1.0526315789473726E-2"/>
  </r>
  <r>
    <d v="2016-09-09T00:00:00"/>
    <n v="13.27"/>
    <n v="13.33"/>
    <n v="12.91"/>
    <n v="12.96"/>
    <n v="3756992"/>
    <x v="236"/>
    <x v="1"/>
    <n v="-2.3360964581763281E-2"/>
  </r>
  <r>
    <d v="2016-09-12T00:00:00"/>
    <n v="13"/>
    <n v="13.42"/>
    <n v="12.94"/>
    <n v="13.22"/>
    <n v="3715161"/>
    <x v="237"/>
    <x v="1"/>
    <n v="1.6923076923076971E-2"/>
  </r>
  <r>
    <d v="2016-09-13T00:00:00"/>
    <n v="13.14"/>
    <n v="13.23"/>
    <n v="12.9"/>
    <n v="13.07"/>
    <n v="3589379"/>
    <x v="238"/>
    <x v="1"/>
    <n v="-5.3272450532724719E-3"/>
  </r>
  <r>
    <d v="2016-09-14T00:00:00"/>
    <n v="13.05"/>
    <n v="13.19"/>
    <n v="12.99"/>
    <n v="13.09"/>
    <n v="2259231"/>
    <x v="239"/>
    <x v="1"/>
    <n v="3.0651340996167929E-3"/>
  </r>
  <r>
    <d v="2016-09-15T00:00:00"/>
    <n v="13.1"/>
    <n v="13.5"/>
    <n v="13.09"/>
    <n v="13.36"/>
    <n v="3085115"/>
    <x v="240"/>
    <x v="1"/>
    <n v="1.9847328244274792E-2"/>
  </r>
  <r>
    <d v="2016-09-16T00:00:00"/>
    <n v="13.36"/>
    <n v="13.71"/>
    <n v="13.27"/>
    <n v="13.69"/>
    <n v="3107808"/>
    <x v="241"/>
    <x v="1"/>
    <n v="2.4700598802395217E-2"/>
  </r>
  <r>
    <d v="2016-09-19T00:00:00"/>
    <n v="13.8"/>
    <n v="13.96"/>
    <n v="13.67"/>
    <n v="13.76"/>
    <n v="2299498"/>
    <x v="242"/>
    <x v="1"/>
    <n v="-2.898550724637748E-3"/>
  </r>
  <r>
    <d v="2016-09-20T00:00:00"/>
    <n v="13.79"/>
    <n v="13.85"/>
    <n v="13.59"/>
    <n v="13.64"/>
    <n v="2410488"/>
    <x v="243"/>
    <x v="1"/>
    <n v="-1.0877447425670674E-2"/>
  </r>
  <r>
    <d v="2016-09-21T00:00:00"/>
    <n v="13.76"/>
    <n v="13.8"/>
    <n v="13.44"/>
    <n v="13.68"/>
    <n v="2633503"/>
    <x v="244"/>
    <x v="1"/>
    <n v="-5.8139534883720981E-3"/>
  </r>
  <r>
    <d v="2016-09-22T00:00:00"/>
    <n v="13.76"/>
    <n v="13.82"/>
    <n v="13.53"/>
    <n v="13.76"/>
    <n v="2382902"/>
    <x v="245"/>
    <x v="1"/>
    <n v="0"/>
  </r>
  <r>
    <d v="2016-09-23T00:00:00"/>
    <n v="13.73"/>
    <n v="14.01"/>
    <n v="13.71"/>
    <n v="13.83"/>
    <n v="2905229"/>
    <x v="246"/>
    <x v="1"/>
    <n v="7.2833211944646498E-3"/>
  </r>
  <r>
    <d v="2016-09-26T00:00:00"/>
    <n v="13.77"/>
    <n v="14.07"/>
    <n v="13.77"/>
    <n v="13.93"/>
    <n v="2394358"/>
    <x v="247"/>
    <x v="1"/>
    <n v="1.1619462599854767E-2"/>
  </r>
  <r>
    <d v="2016-09-27T00:00:00"/>
    <n v="13.98"/>
    <n v="14"/>
    <n v="13.64"/>
    <n v="13.72"/>
    <n v="3373180"/>
    <x v="248"/>
    <x v="1"/>
    <n v="-1.8597997138769654E-2"/>
  </r>
  <r>
    <d v="2016-09-28T00:00:00"/>
    <n v="13.83"/>
    <n v="13.88"/>
    <n v="13.68"/>
    <n v="13.75"/>
    <n v="2088374"/>
    <x v="249"/>
    <x v="1"/>
    <n v="-5.7845263919016681E-3"/>
  </r>
  <r>
    <d v="2016-09-29T00:00:00"/>
    <n v="13.71"/>
    <n v="13.82"/>
    <n v="13.37"/>
    <n v="13.38"/>
    <n v="2727029"/>
    <x v="250"/>
    <x v="1"/>
    <n v="-2.4070021881838079E-2"/>
  </r>
  <r>
    <d v="2016-09-30T00:00:00"/>
    <n v="13.48"/>
    <n v="13.67"/>
    <n v="13.3"/>
    <n v="13.6"/>
    <n v="2586273"/>
    <x v="251"/>
    <x v="1"/>
    <n v="8.9020771513352529E-3"/>
  </r>
  <r>
    <d v="2016-10-03T00:00:00"/>
    <n v="14.15"/>
    <n v="14.38"/>
    <n v="13.88"/>
    <n v="14.25"/>
    <n v="5999892"/>
    <x v="252"/>
    <x v="1"/>
    <n v="7.0671378091872539E-3"/>
  </r>
  <r>
    <d v="2016-10-04T00:00:00"/>
    <n v="14.21"/>
    <n v="14.22"/>
    <n v="13.92"/>
    <n v="14.09"/>
    <n v="3541481"/>
    <x v="253"/>
    <x v="1"/>
    <n v="-8.4447572132301894E-3"/>
  </r>
  <r>
    <d v="2016-10-05T00:00:00"/>
    <n v="14.15"/>
    <n v="14.21"/>
    <n v="13.87"/>
    <n v="13.9"/>
    <n v="1877534"/>
    <x v="254"/>
    <x v="1"/>
    <n v="-1.7667844522968199E-2"/>
  </r>
  <r>
    <d v="2016-10-06T00:00:00"/>
    <n v="13.5"/>
    <n v="13.61"/>
    <n v="13.35"/>
    <n v="13.4"/>
    <n v="4703402"/>
    <x v="255"/>
    <x v="1"/>
    <n v="-7.4074074074073808E-3"/>
  </r>
  <r>
    <d v="2016-10-07T00:00:00"/>
    <n v="13.4"/>
    <n v="13.42"/>
    <n v="13.05"/>
    <n v="13.11"/>
    <n v="3493018"/>
    <x v="256"/>
    <x v="1"/>
    <n v="-2.1641791044776187E-2"/>
  </r>
  <r>
    <d v="2016-10-10T00:00:00"/>
    <n v="13.42"/>
    <n v="13.61"/>
    <n v="13.31"/>
    <n v="13.4"/>
    <n v="3316297"/>
    <x v="257"/>
    <x v="1"/>
    <n v="-1.4903129657227701E-3"/>
  </r>
  <r>
    <d v="2016-10-11T00:00:00"/>
    <n v="13.46"/>
    <n v="13.48"/>
    <n v="13.22"/>
    <n v="13.34"/>
    <n v="2328422"/>
    <x v="258"/>
    <x v="1"/>
    <n v="-8.9153046062407874E-3"/>
  </r>
  <r>
    <d v="2016-10-12T00:00:00"/>
    <n v="13.4"/>
    <n v="13.59"/>
    <n v="13.36"/>
    <n v="13.43"/>
    <n v="1970689"/>
    <x v="259"/>
    <x v="1"/>
    <n v="2.2388059701492062E-3"/>
  </r>
  <r>
    <d v="2016-10-13T00:00:00"/>
    <n v="13.37"/>
    <n v="13.39"/>
    <n v="13.14"/>
    <n v="13.35"/>
    <n v="2495413"/>
    <x v="260"/>
    <x v="1"/>
    <n v="-1.4958863126402077E-3"/>
  </r>
  <r>
    <d v="2016-10-14T00:00:00"/>
    <n v="13.38"/>
    <n v="13.43"/>
    <n v="13.09"/>
    <n v="13.1"/>
    <n v="4269850"/>
    <x v="261"/>
    <x v="1"/>
    <n v="-2.0926756352765405E-2"/>
  </r>
  <r>
    <d v="2016-10-17T00:00:00"/>
    <n v="13.14"/>
    <n v="13.23"/>
    <n v="12.8"/>
    <n v="12.93"/>
    <n v="4554080"/>
    <x v="262"/>
    <x v="1"/>
    <n v="-1.5981735159817417E-2"/>
  </r>
  <r>
    <d v="2016-10-18T00:00:00"/>
    <n v="13.07"/>
    <n v="13.3"/>
    <n v="12.88"/>
    <n v="13.27"/>
    <n v="5680475"/>
    <x v="263"/>
    <x v="1"/>
    <n v="1.5302218821729096E-2"/>
  </r>
  <r>
    <d v="2016-10-19T00:00:00"/>
    <n v="13.32"/>
    <n v="13.78"/>
    <n v="13.2"/>
    <n v="13.57"/>
    <n v="6991183"/>
    <x v="264"/>
    <x v="1"/>
    <n v="1.8768768768768769E-2"/>
  </r>
  <r>
    <d v="2016-10-20T00:00:00"/>
    <n v="13.47"/>
    <n v="13.53"/>
    <n v="13.14"/>
    <n v="13.27"/>
    <n v="5072877"/>
    <x v="265"/>
    <x v="1"/>
    <n v="-1.4847809948032744E-2"/>
  </r>
  <r>
    <d v="2016-10-21T00:00:00"/>
    <n v="13.24"/>
    <n v="13.44"/>
    <n v="13.16"/>
    <n v="13.34"/>
    <n v="2943402"/>
    <x v="266"/>
    <x v="1"/>
    <n v="7.5528700906344138E-3"/>
  </r>
  <r>
    <d v="2016-10-24T00:00:00"/>
    <n v="13.4"/>
    <n v="13.6"/>
    <n v="13.35"/>
    <n v="13.52"/>
    <n v="2751562"/>
    <x v="267"/>
    <x v="1"/>
    <n v="8.9552238805969565E-3"/>
  </r>
  <r>
    <d v="2016-10-25T00:00:00"/>
    <n v="13.53"/>
    <n v="13.65"/>
    <n v="13.41"/>
    <n v="13.49"/>
    <n v="2445014"/>
    <x v="268"/>
    <x v="1"/>
    <n v="-2.9563932002955764E-3"/>
  </r>
  <r>
    <d v="2016-10-26T00:00:00"/>
    <n v="13.4"/>
    <n v="13.55"/>
    <n v="13.34"/>
    <n v="13.48"/>
    <n v="5632841"/>
    <x v="269"/>
    <x v="1"/>
    <n v="5.9701492537313485E-3"/>
  </r>
  <r>
    <d v="2016-10-27T00:00:00"/>
    <n v="14.09"/>
    <n v="14.25"/>
    <n v="13.44"/>
    <n v="13.6"/>
    <n v="13093744"/>
    <x v="270"/>
    <x v="1"/>
    <n v="-3.4776437189496114E-2"/>
  </r>
  <r>
    <d v="2016-10-28T00:00:00"/>
    <n v="13.6"/>
    <n v="13.69"/>
    <n v="13.32"/>
    <n v="13.33"/>
    <n v="4280141"/>
    <x v="271"/>
    <x v="1"/>
    <n v="-1.9852941176470556E-2"/>
  </r>
  <r>
    <d v="2016-10-31T00:00:00"/>
    <n v="13.5"/>
    <n v="13.5"/>
    <n v="13.05"/>
    <n v="13.18"/>
    <n v="4692273"/>
    <x v="272"/>
    <x v="1"/>
    <n v="-2.3703703703703723E-2"/>
  </r>
  <r>
    <d v="2016-11-01T00:00:00"/>
    <n v="13.2"/>
    <n v="13.23"/>
    <n v="12.54"/>
    <n v="12.72"/>
    <n v="7060036"/>
    <x v="273"/>
    <x v="1"/>
    <n v="-3.6363636363636265E-2"/>
  </r>
  <r>
    <d v="2016-11-02T00:00:00"/>
    <n v="12.67"/>
    <n v="12.85"/>
    <n v="12.5"/>
    <n v="12.53"/>
    <n v="4253382"/>
    <x v="274"/>
    <x v="1"/>
    <n v="-1.1049723756906122E-2"/>
  </r>
  <r>
    <d v="2016-11-03T00:00:00"/>
    <n v="12.6"/>
    <n v="12.76"/>
    <n v="12.47"/>
    <n v="12.49"/>
    <n v="2653023"/>
    <x v="275"/>
    <x v="1"/>
    <n v="-8.7301587301586853E-3"/>
  </r>
  <r>
    <d v="2016-11-04T00:00:00"/>
    <n v="12.6"/>
    <n v="12.9"/>
    <n v="12.4"/>
    <n v="12.7"/>
    <n v="5146043"/>
    <x v="276"/>
    <x v="1"/>
    <n v="7.9365079365079083E-3"/>
  </r>
  <r>
    <d v="2016-11-07T00:00:00"/>
    <n v="12.91"/>
    <n v="12.95"/>
    <n v="12.67"/>
    <n v="12.88"/>
    <n v="3870112"/>
    <x v="277"/>
    <x v="1"/>
    <n v="-2.3237800154918171E-3"/>
  </r>
  <r>
    <d v="2016-11-08T00:00:00"/>
    <n v="12.92"/>
    <n v="13.17"/>
    <n v="12.75"/>
    <n v="13"/>
    <n v="3267580"/>
    <x v="278"/>
    <x v="1"/>
    <n v="6.1919504643962904E-3"/>
  </r>
  <r>
    <d v="2016-11-09T00:00:00"/>
    <n v="12.46"/>
    <n v="12.8"/>
    <n v="12.26"/>
    <n v="12.67"/>
    <n v="8173065"/>
    <x v="279"/>
    <x v="1"/>
    <n v="1.6853932584269586E-2"/>
  </r>
  <r>
    <d v="2016-11-10T00:00:00"/>
    <n v="12.74"/>
    <n v="12.77"/>
    <n v="12.03"/>
    <n v="12.36"/>
    <n v="6750341"/>
    <x v="280"/>
    <x v="1"/>
    <n v="-2.9827315541601316E-2"/>
  </r>
  <r>
    <d v="2016-11-11T00:00:00"/>
    <n v="12.28"/>
    <n v="12.59"/>
    <n v="12.2"/>
    <n v="12.57"/>
    <n v="3988504"/>
    <x v="281"/>
    <x v="1"/>
    <n v="2.3615635179153171E-2"/>
  </r>
  <r>
    <d v="2016-11-14T00:00:00"/>
    <n v="12.53"/>
    <n v="12.55"/>
    <n v="11.88"/>
    <n v="12.1"/>
    <n v="6552205"/>
    <x v="282"/>
    <x v="1"/>
    <n v="-3.4317637669592956E-2"/>
  </r>
  <r>
    <d v="2016-11-15T00:00:00"/>
    <n v="12.19"/>
    <n v="12.43"/>
    <n v="12.14"/>
    <n v="12.25"/>
    <n v="3902018"/>
    <x v="283"/>
    <x v="1"/>
    <n v="4.922067268252707E-3"/>
  </r>
  <r>
    <d v="2016-11-16T00:00:00"/>
    <n v="12.18"/>
    <n v="12.32"/>
    <n v="12.08"/>
    <n v="12.26"/>
    <n v="3434437"/>
    <x v="284"/>
    <x v="1"/>
    <n v="6.5681444991789878E-3"/>
  </r>
  <r>
    <d v="2016-11-17T00:00:00"/>
    <n v="12.23"/>
    <n v="12.63"/>
    <n v="12.14"/>
    <n v="12.58"/>
    <n v="4887067"/>
    <x v="285"/>
    <x v="1"/>
    <n v="2.8618152085036763E-2"/>
  </r>
  <r>
    <d v="2016-11-18T00:00:00"/>
    <n v="12.71"/>
    <n v="12.87"/>
    <n v="12.33"/>
    <n v="12.33"/>
    <n v="5210347"/>
    <x v="286"/>
    <x v="1"/>
    <n v="-2.9897718332022091E-2"/>
  </r>
  <r>
    <d v="2016-11-21T00:00:00"/>
    <n v="12.34"/>
    <n v="12.59"/>
    <n v="12.29"/>
    <n v="12.3"/>
    <n v="4361043"/>
    <x v="287"/>
    <x v="1"/>
    <n v="-3.2414910858994447E-3"/>
  </r>
  <r>
    <d v="2016-11-22T00:00:00"/>
    <n v="12.39"/>
    <n v="12.76"/>
    <n v="12.25"/>
    <n v="12.74"/>
    <n v="5603361"/>
    <x v="288"/>
    <x v="1"/>
    <n v="2.8248587570621438E-2"/>
  </r>
  <r>
    <d v="2016-11-23T00:00:00"/>
    <n v="12.71"/>
    <n v="13.04"/>
    <n v="12.6"/>
    <n v="12.88"/>
    <n v="4891893"/>
    <x v="289"/>
    <x v="1"/>
    <n v="1.3375295043273007E-2"/>
  </r>
  <r>
    <d v="2016-11-25T00:00:00"/>
    <n v="12.91"/>
    <n v="13.15"/>
    <n v="12.91"/>
    <n v="13.11"/>
    <n v="2366098"/>
    <x v="290"/>
    <x v="1"/>
    <n v="1.5491866769945723E-2"/>
  </r>
  <r>
    <d v="2016-11-28T00:00:00"/>
    <n v="13.03"/>
    <n v="13.29"/>
    <n v="12.97"/>
    <n v="13.07"/>
    <n v="4529182"/>
    <x v="291"/>
    <x v="1"/>
    <n v="3.0698388334613144E-3"/>
  </r>
  <r>
    <d v="2016-11-29T00:00:00"/>
    <n v="13.04"/>
    <n v="13.12"/>
    <n v="12.63"/>
    <n v="12.64"/>
    <n v="4439256"/>
    <x v="292"/>
    <x v="1"/>
    <n v="-3.0674846625766763E-2"/>
  </r>
  <r>
    <d v="2016-11-30T00:00:00"/>
    <n v="12.73"/>
    <n v="12.79"/>
    <n v="12.5"/>
    <n v="12.63"/>
    <n v="3547104"/>
    <x v="293"/>
    <x v="1"/>
    <n v="-7.8554595443833183E-3"/>
  </r>
  <r>
    <d v="2016-12-01T00:00:00"/>
    <n v="12.55"/>
    <n v="12.57"/>
    <n v="12.07"/>
    <n v="12.13"/>
    <n v="5126401"/>
    <x v="294"/>
    <x v="1"/>
    <n v="-3.3466135458167325E-2"/>
  </r>
  <r>
    <d v="2016-12-02T00:00:00"/>
    <n v="12.19"/>
    <n v="12.33"/>
    <n v="12"/>
    <n v="12.1"/>
    <n v="4042324"/>
    <x v="295"/>
    <x v="1"/>
    <n v="-7.3831009023789876E-3"/>
  </r>
  <r>
    <d v="2016-12-05T00:00:00"/>
    <n v="12.17"/>
    <n v="12.59"/>
    <n v="12.17"/>
    <n v="12.45"/>
    <n v="4072239"/>
    <x v="296"/>
    <x v="1"/>
    <n v="2.3007395234182364E-2"/>
  </r>
  <r>
    <d v="2016-12-06T00:00:00"/>
    <n v="12.37"/>
    <n v="12.44"/>
    <n v="12.18"/>
    <n v="12.39"/>
    <n v="3391622"/>
    <x v="297"/>
    <x v="1"/>
    <n v="1.6168148746969564E-3"/>
  </r>
  <r>
    <d v="2016-12-07T00:00:00"/>
    <n v="12.41"/>
    <n v="12.89"/>
    <n v="12.33"/>
    <n v="12.88"/>
    <n v="5461851"/>
    <x v="298"/>
    <x v="1"/>
    <n v="3.7872683319903358E-2"/>
  </r>
  <r>
    <d v="2016-12-08T00:00:00"/>
    <n v="12.8"/>
    <n v="12.83"/>
    <n v="12.64"/>
    <n v="12.82"/>
    <n v="3194148"/>
    <x v="299"/>
    <x v="1"/>
    <n v="1.5624999999999667E-3"/>
  </r>
  <r>
    <d v="2016-12-09T00:00:00"/>
    <n v="12.72"/>
    <n v="12.92"/>
    <n v="12.72"/>
    <n v="12.81"/>
    <n v="2722505"/>
    <x v="300"/>
    <x v="1"/>
    <n v="7.0754716981131964E-3"/>
  </r>
  <r>
    <d v="2016-12-12T00:00:00"/>
    <n v="12.85"/>
    <n v="12.96"/>
    <n v="12.74"/>
    <n v="12.83"/>
    <n v="2438876"/>
    <x v="301"/>
    <x v="1"/>
    <n v="-1.556420233463002E-3"/>
  </r>
  <r>
    <d v="2016-12-13T00:00:00"/>
    <n v="12.88"/>
    <n v="13.42"/>
    <n v="12.87"/>
    <n v="13.21"/>
    <n v="6823884"/>
    <x v="302"/>
    <x v="1"/>
    <n v="2.5621118012422364E-2"/>
  </r>
  <r>
    <d v="2016-12-14T00:00:00"/>
    <n v="13.25"/>
    <n v="13.53"/>
    <n v="13.12"/>
    <n v="13.25"/>
    <n v="4150927"/>
    <x v="303"/>
    <x v="1"/>
    <n v="0"/>
  </r>
  <r>
    <d v="2016-12-15T00:00:00"/>
    <n v="13.23"/>
    <n v="13.38"/>
    <n v="13.16"/>
    <n v="13.17"/>
    <n v="3219567"/>
    <x v="304"/>
    <x v="1"/>
    <n v="-4.5351473922902868E-3"/>
  </r>
  <r>
    <d v="2016-12-16T00:00:00"/>
    <n v="13.21"/>
    <n v="13.51"/>
    <n v="13.17"/>
    <n v="13.5"/>
    <n v="3796889"/>
    <x v="305"/>
    <x v="1"/>
    <n v="2.1953065859197513E-2"/>
  </r>
  <r>
    <d v="2016-12-19T00:00:00"/>
    <n v="13.5"/>
    <n v="13.63"/>
    <n v="13.32"/>
    <n v="13.52"/>
    <n v="3488071"/>
    <x v="306"/>
    <x v="1"/>
    <n v="1.48148148148145E-3"/>
  </r>
  <r>
    <d v="2016-12-20T00:00:00"/>
    <n v="13.54"/>
    <n v="13.93"/>
    <n v="13.5"/>
    <n v="13.92"/>
    <n v="4689071"/>
    <x v="307"/>
    <x v="1"/>
    <n v="2.8064992614475686E-2"/>
  </r>
  <r>
    <d v="2016-12-21T00:00:00"/>
    <n v="13.9"/>
    <n v="14.15"/>
    <n v="13.83"/>
    <n v="13.85"/>
    <n v="5207622"/>
    <x v="308"/>
    <x v="1"/>
    <n v="-3.5971223021583243E-3"/>
  </r>
  <r>
    <d v="2016-12-22T00:00:00"/>
    <n v="13.88"/>
    <n v="14"/>
    <n v="13.77"/>
    <n v="13.9"/>
    <n v="3111108"/>
    <x v="309"/>
    <x v="1"/>
    <n v="1.4409221902016982E-3"/>
  </r>
  <r>
    <d v="2016-12-23T00:00:00"/>
    <n v="13.87"/>
    <n v="14.23"/>
    <n v="13.85"/>
    <n v="14.22"/>
    <n v="4670464"/>
    <x v="310"/>
    <x v="1"/>
    <n v="2.5234318673395921E-2"/>
  </r>
  <r>
    <d v="2016-12-27T00:00:00"/>
    <n v="14.33"/>
    <n v="14.82"/>
    <n v="14.29"/>
    <n v="14.64"/>
    <n v="5915732"/>
    <x v="311"/>
    <x v="1"/>
    <n v="2.1632937892533181E-2"/>
  </r>
  <r>
    <d v="2016-12-28T00:00:00"/>
    <n v="14.77"/>
    <n v="14.92"/>
    <n v="14.48"/>
    <n v="14.65"/>
    <n v="3782456"/>
    <x v="312"/>
    <x v="1"/>
    <n v="-8.12457684495594E-3"/>
  </r>
  <r>
    <d v="2016-12-29T00:00:00"/>
    <n v="14.57"/>
    <n v="14.61"/>
    <n v="14.27"/>
    <n v="14.31"/>
    <n v="4044968"/>
    <x v="313"/>
    <x v="1"/>
    <n v="-1.7844886753603278E-2"/>
  </r>
  <r>
    <d v="2016-12-30T00:00:00"/>
    <n v="14.42"/>
    <n v="14.5"/>
    <n v="14.11"/>
    <n v="14.25"/>
    <n v="4642620"/>
    <x v="314"/>
    <x v="1"/>
    <n v="-1.1789181692094308E-2"/>
  </r>
  <r>
    <d v="2017-01-03T00:00:00"/>
    <n v="14.32"/>
    <n v="14.69"/>
    <n v="14.06"/>
    <n v="14.47"/>
    <n v="5923254"/>
    <x v="315"/>
    <x v="2"/>
    <n v="1.0474860335195556E-2"/>
  </r>
  <r>
    <d v="2017-01-04T00:00:00"/>
    <n v="14.32"/>
    <n v="15.2"/>
    <n v="14.29"/>
    <n v="15.13"/>
    <n v="11213471"/>
    <x v="316"/>
    <x v="2"/>
    <n v="5.6564245810055896E-2"/>
  </r>
  <r>
    <d v="2017-01-05T00:00:00"/>
    <n v="15.09"/>
    <n v="15.17"/>
    <n v="14.8"/>
    <n v="15.12"/>
    <n v="5911695"/>
    <x v="317"/>
    <x v="2"/>
    <n v="1.9880715705764985E-3"/>
  </r>
  <r>
    <d v="2017-01-06T00:00:00"/>
    <n v="15.13"/>
    <n v="15.35"/>
    <n v="15.03"/>
    <n v="15.27"/>
    <n v="5527893"/>
    <x v="318"/>
    <x v="2"/>
    <n v="9.2531394580303225E-3"/>
  </r>
  <r>
    <d v="2017-01-09T00:00:00"/>
    <n v="15.26"/>
    <n v="15.46"/>
    <n v="15.2"/>
    <n v="15.42"/>
    <n v="3979484"/>
    <x v="319"/>
    <x v="2"/>
    <n v="1.0484927916120585E-2"/>
  </r>
  <r>
    <d v="2017-01-10T00:00:00"/>
    <n v="15.47"/>
    <n v="15.47"/>
    <n v="15.13"/>
    <n v="15.32"/>
    <n v="3659955"/>
    <x v="168"/>
    <x v="2"/>
    <n v="-9.6961861667744249E-3"/>
  </r>
  <r>
    <d v="2017-01-11T00:00:00"/>
    <n v="15.27"/>
    <n v="15.33"/>
    <n v="15.11"/>
    <n v="15.32"/>
    <n v="3650825"/>
    <x v="320"/>
    <x v="2"/>
    <n v="3.2743942370661895E-3"/>
  </r>
  <r>
    <d v="2017-01-12T00:00:00"/>
    <n v="15.27"/>
    <n v="15.38"/>
    <n v="15.04"/>
    <n v="15.31"/>
    <n v="3790229"/>
    <x v="321"/>
    <x v="2"/>
    <n v="2.6195153896529746E-3"/>
  </r>
  <r>
    <d v="2017-01-13T00:00:00"/>
    <n v="15.33"/>
    <n v="15.86"/>
    <n v="15.31"/>
    <n v="15.85"/>
    <n v="6092960"/>
    <x v="322"/>
    <x v="2"/>
    <n v="3.3920417482061288E-2"/>
  </r>
  <r>
    <d v="2017-01-17T00:00:00"/>
    <n v="15.78"/>
    <n v="16"/>
    <n v="15.62"/>
    <n v="15.71"/>
    <n v="4617522"/>
    <x v="323"/>
    <x v="2"/>
    <n v="-4.4359949302914137E-3"/>
  </r>
  <r>
    <d v="2017-01-18T00:00:00"/>
    <n v="15.78"/>
    <n v="15.98"/>
    <n v="15.71"/>
    <n v="15.89"/>
    <n v="3768967"/>
    <x v="324"/>
    <x v="2"/>
    <n v="6.9708491761724467E-3"/>
  </r>
  <r>
    <d v="2017-01-19T00:00:00"/>
    <n v="16.48"/>
    <n v="16.579999999999998"/>
    <n v="16.05"/>
    <n v="16.25"/>
    <n v="7732303"/>
    <x v="325"/>
    <x v="2"/>
    <n v="-1.3956310679611676E-2"/>
  </r>
  <r>
    <d v="2017-01-20T00:00:00"/>
    <n v="16.36"/>
    <n v="16.399999999999999"/>
    <n v="16.2"/>
    <n v="16.32"/>
    <n v="4204275"/>
    <x v="326"/>
    <x v="2"/>
    <n v="-2.4449877750610726E-3"/>
  </r>
  <r>
    <d v="2017-01-23T00:00:00"/>
    <n v="16.39"/>
    <n v="16.73"/>
    <n v="16.37"/>
    <n v="16.59"/>
    <n v="6262938"/>
    <x v="327"/>
    <x v="2"/>
    <n v="1.2202562538132964E-2"/>
  </r>
  <r>
    <d v="2017-01-24T00:00:00"/>
    <n v="16.670000000000002"/>
    <n v="16.989999999999998"/>
    <n v="16.64"/>
    <n v="16.97"/>
    <n v="4965451"/>
    <x v="328"/>
    <x v="2"/>
    <n v="1.7996400719855858E-2"/>
  </r>
  <r>
    <d v="2017-01-25T00:00:00"/>
    <n v="17.149999999999999"/>
    <n v="17.23"/>
    <n v="16.79"/>
    <n v="16.96"/>
    <n v="5146361"/>
    <x v="329"/>
    <x v="2"/>
    <n v="-1.1078717201166049E-2"/>
  </r>
  <r>
    <d v="2017-01-26T00:00:00"/>
    <n v="16.95"/>
    <n v="17.05"/>
    <n v="16.72"/>
    <n v="16.829999999999998"/>
    <n v="3152123"/>
    <x v="330"/>
    <x v="2"/>
    <n v="-7.0796460176991739E-3"/>
  </r>
  <r>
    <d v="2017-01-27T00:00:00"/>
    <n v="16.760000000000002"/>
    <n v="16.87"/>
    <n v="16.57"/>
    <n v="16.86"/>
    <n v="3166336"/>
    <x v="331"/>
    <x v="2"/>
    <n v="5.96658711217171E-3"/>
  </r>
  <r>
    <d v="2017-01-30T00:00:00"/>
    <n v="16.84"/>
    <n v="17.02"/>
    <n v="16.47"/>
    <n v="16.71"/>
    <n v="3801074"/>
    <x v="332"/>
    <x v="2"/>
    <n v="-7.719714964370487E-3"/>
  </r>
  <r>
    <d v="2017-01-31T00:00:00"/>
    <n v="16.62"/>
    <n v="17.059999999999999"/>
    <n v="16.510000000000002"/>
    <n v="16.8"/>
    <n v="4116104"/>
    <x v="333"/>
    <x v="2"/>
    <n v="1.0830324909747275E-2"/>
  </r>
  <r>
    <d v="2017-02-01T00:00:00"/>
    <n v="16.87"/>
    <n v="16.88"/>
    <n v="16.600000000000001"/>
    <n v="16.62"/>
    <n v="3958829"/>
    <x v="334"/>
    <x v="2"/>
    <n v="-1.4819205690574985E-2"/>
  </r>
  <r>
    <d v="2017-02-02T00:00:00"/>
    <n v="16.559999999999999"/>
    <n v="16.829999999999998"/>
    <n v="16.510000000000002"/>
    <n v="16.77"/>
    <n v="2499775"/>
    <x v="335"/>
    <x v="2"/>
    <n v="1.2681159420289908E-2"/>
  </r>
  <r>
    <d v="2017-02-03T00:00:00"/>
    <n v="16.79"/>
    <n v="16.809999999999999"/>
    <n v="16.649999999999999"/>
    <n v="16.760000000000002"/>
    <n v="2186723"/>
    <x v="336"/>
    <x v="2"/>
    <n v="-1.7867778439545911E-3"/>
  </r>
  <r>
    <d v="2017-02-06T00:00:00"/>
    <n v="16.73"/>
    <n v="17.190000000000001"/>
    <n v="16.71"/>
    <n v="17.18"/>
    <n v="3562517"/>
    <x v="337"/>
    <x v="2"/>
    <n v="2.689778840406451E-2"/>
  </r>
  <r>
    <d v="2017-02-07T00:00:00"/>
    <n v="17.21"/>
    <n v="17.329999999999998"/>
    <n v="17.09"/>
    <n v="17.170000000000002"/>
    <n v="4244775"/>
    <x v="338"/>
    <x v="2"/>
    <n v="-2.3242300987797297E-3"/>
  </r>
  <r>
    <d v="2017-02-08T00:00:00"/>
    <n v="17.16"/>
    <n v="17.559999999999999"/>
    <n v="17.079999999999998"/>
    <n v="17.47"/>
    <n v="3933014"/>
    <x v="339"/>
    <x v="2"/>
    <n v="1.8065268065267991E-2"/>
  </r>
  <r>
    <d v="2017-02-09T00:00:00"/>
    <n v="17.75"/>
    <n v="18.079999999999998"/>
    <n v="17.739999999999998"/>
    <n v="17.95"/>
    <n v="7820222"/>
    <x v="168"/>
    <x v="2"/>
    <n v="1.1267605633802778E-2"/>
  </r>
  <r>
    <d v="2017-02-10T00:00:00"/>
    <n v="17.989999999999998"/>
    <n v="18.059999999999999"/>
    <n v="17.739999999999998"/>
    <n v="17.95"/>
    <n v="3619739"/>
    <x v="340"/>
    <x v="2"/>
    <n v="-2.2234574763757169E-3"/>
  </r>
  <r>
    <d v="2017-02-13T00:00:00"/>
    <n v="18.05"/>
    <n v="18.72"/>
    <n v="18.03"/>
    <n v="18.71"/>
    <n v="7029605"/>
    <x v="341"/>
    <x v="2"/>
    <n v="3.6565096952908591E-2"/>
  </r>
  <r>
    <d v="2017-02-14T00:00:00"/>
    <n v="18.600000000000001"/>
    <n v="19.16"/>
    <n v="18.57"/>
    <n v="18.73"/>
    <n v="7345224"/>
    <x v="342"/>
    <x v="2"/>
    <n v="6.9892473118279026E-3"/>
  </r>
  <r>
    <d v="2017-02-15T00:00:00"/>
    <n v="18.670000000000002"/>
    <n v="18.82"/>
    <n v="18.43"/>
    <n v="18.649999999999999"/>
    <n v="4947856"/>
    <x v="343"/>
    <x v="2"/>
    <n v="-1.0712372790574786E-3"/>
  </r>
  <r>
    <d v="2017-02-16T00:00:00"/>
    <n v="18.510000000000002"/>
    <n v="18.670000000000002"/>
    <n v="17.899999999999999"/>
    <n v="17.93"/>
    <n v="7077322"/>
    <x v="344"/>
    <x v="2"/>
    <n v="-3.1334413830362062E-2"/>
  </r>
  <r>
    <d v="2017-02-17T00:00:00"/>
    <n v="17.72"/>
    <n v="18.190000000000001"/>
    <n v="17.61"/>
    <n v="18.149999999999999"/>
    <n v="6257149"/>
    <x v="345"/>
    <x v="2"/>
    <n v="2.4266365688487571E-2"/>
  </r>
  <r>
    <d v="2017-02-21T00:00:00"/>
    <n v="18.36"/>
    <n v="18.760000000000002"/>
    <n v="18.27"/>
    <n v="18.489999999999998"/>
    <n v="5676747"/>
    <x v="346"/>
    <x v="2"/>
    <n v="7.0806100217864383E-3"/>
  </r>
  <r>
    <d v="2017-02-22T00:00:00"/>
    <n v="18.690000000000001"/>
    <n v="18.899999999999999"/>
    <n v="18.170000000000002"/>
    <n v="18.23"/>
    <n v="8754975"/>
    <x v="347"/>
    <x v="2"/>
    <n v="-2.461209202782241E-2"/>
  </r>
  <r>
    <d v="2017-02-23T00:00:00"/>
    <n v="17.600000000000001"/>
    <n v="17.64"/>
    <n v="17.04"/>
    <n v="17.07"/>
    <n v="14915249"/>
    <x v="348"/>
    <x v="2"/>
    <n v="-3.0113636363636426E-2"/>
  </r>
  <r>
    <d v="2017-02-24T00:00:00"/>
    <n v="16.84"/>
    <n v="17.22"/>
    <n v="16.68"/>
    <n v="17.13"/>
    <n v="8171626"/>
    <x v="349"/>
    <x v="2"/>
    <n v="1.7220902612826553E-2"/>
  </r>
  <r>
    <d v="2017-02-27T00:00:00"/>
    <n v="16.54"/>
    <n v="16.559999999999999"/>
    <n v="16.13"/>
    <n v="16.420000000000002"/>
    <n v="11460810"/>
    <x v="350"/>
    <x v="2"/>
    <n v="-7.2551390568317683E-3"/>
  </r>
  <r>
    <d v="2017-02-28T00:00:00"/>
    <n v="16.28"/>
    <n v="16.73"/>
    <n v="16.260000000000002"/>
    <n v="16.670000000000002"/>
    <n v="6078145"/>
    <x v="168"/>
    <x v="2"/>
    <n v="2.3955773955773987E-2"/>
  </r>
  <r>
    <d v="2017-03-01T00:00:00"/>
    <n v="16.95"/>
    <n v="16.989999999999998"/>
    <n v="16.61"/>
    <n v="16.670000000000002"/>
    <n v="4809488"/>
    <x v="351"/>
    <x v="2"/>
    <n v="-1.6519174041297793E-2"/>
  </r>
  <r>
    <d v="2017-03-02T00:00:00"/>
    <n v="16.649999999999999"/>
    <n v="16.89"/>
    <n v="16.55"/>
    <n v="16.7"/>
    <n v="3351833"/>
    <x v="352"/>
    <x v="2"/>
    <n v="3.0030030030030459E-3"/>
  </r>
  <r>
    <d v="2017-03-03T00:00:00"/>
    <n v="16.72"/>
    <n v="16.79"/>
    <n v="16.600000000000001"/>
    <n v="16.77"/>
    <n v="2929234"/>
    <x v="353"/>
    <x v="2"/>
    <n v="2.9904306220096119E-3"/>
  </r>
  <r>
    <d v="2017-03-06T00:00:00"/>
    <n v="16.53"/>
    <n v="16.78"/>
    <n v="16.5"/>
    <n v="16.75"/>
    <n v="3355500"/>
    <x v="354"/>
    <x v="2"/>
    <n v="1.3309134906231024E-2"/>
  </r>
  <r>
    <d v="2017-03-07T00:00:00"/>
    <n v="16.79"/>
    <n v="16.93"/>
    <n v="16.55"/>
    <n v="16.57"/>
    <n v="3459470"/>
    <x v="355"/>
    <x v="2"/>
    <n v="-1.3103037522334656E-2"/>
  </r>
  <r>
    <d v="2017-03-08T00:00:00"/>
    <n v="16.47"/>
    <n v="16.670000000000002"/>
    <n v="16.350000000000001"/>
    <n v="16.46"/>
    <n v="3728649"/>
    <x v="356"/>
    <x v="2"/>
    <n v="-6.0716454159065035E-4"/>
  </r>
  <r>
    <d v="2017-03-09T00:00:00"/>
    <n v="16.510000000000002"/>
    <n v="16.579999999999998"/>
    <n v="16.2"/>
    <n v="16.329999999999998"/>
    <n v="3879293"/>
    <x v="357"/>
    <x v="2"/>
    <n v="-1.0902483343428422E-2"/>
  </r>
  <r>
    <d v="2017-03-10T00:00:00"/>
    <n v="16.41"/>
    <n v="16.43"/>
    <n v="16.2"/>
    <n v="16.25"/>
    <n v="3066272"/>
    <x v="358"/>
    <x v="2"/>
    <n v="-9.7501523461304175E-3"/>
  </r>
  <r>
    <d v="2017-03-13T00:00:00"/>
    <n v="16.29"/>
    <n v="16.46"/>
    <n v="16.190000000000001"/>
    <n v="16.41"/>
    <n v="3022625"/>
    <x v="359"/>
    <x v="2"/>
    <n v="7.3664825046041134E-3"/>
  </r>
  <r>
    <d v="2017-03-14T00:00:00"/>
    <n v="16.41"/>
    <n v="17.21"/>
    <n v="16.399999999999999"/>
    <n v="17.2"/>
    <n v="7598446"/>
    <x v="360"/>
    <x v="2"/>
    <n v="4.8141377209018836E-2"/>
  </r>
  <r>
    <d v="2017-03-15T00:00:00"/>
    <n v="17.13"/>
    <n v="17.399999999999999"/>
    <n v="16.95"/>
    <n v="17.05"/>
    <n v="5330806"/>
    <x v="361"/>
    <x v="2"/>
    <n v="-4.6701692936367955E-3"/>
  </r>
  <r>
    <d v="2017-03-16T00:00:00"/>
    <n v="17.489999999999998"/>
    <n v="17.72"/>
    <n v="17.27"/>
    <n v="17.47"/>
    <n v="7132153"/>
    <x v="362"/>
    <x v="2"/>
    <n v="-1.1435105774728173E-3"/>
  </r>
  <r>
    <d v="2017-03-17T00:00:00"/>
    <n v="17.600000000000001"/>
    <n v="17.690000000000001"/>
    <n v="17.41"/>
    <n v="17.43"/>
    <n v="6497496"/>
    <x v="363"/>
    <x v="2"/>
    <n v="-9.659090909091006E-3"/>
  </r>
  <r>
    <d v="2017-03-20T00:00:00"/>
    <n v="17.37"/>
    <n v="17.64"/>
    <n v="17.25"/>
    <n v="17.46"/>
    <n v="3614294"/>
    <x v="364"/>
    <x v="2"/>
    <n v="5.1813471502590589E-3"/>
  </r>
  <r>
    <d v="2017-03-21T00:00:00"/>
    <n v="17.52"/>
    <n v="17.649999999999999"/>
    <n v="16.68"/>
    <n v="16.71"/>
    <n v="6908554"/>
    <x v="365"/>
    <x v="2"/>
    <n v="-4.6232876712328695E-2"/>
  </r>
  <r>
    <d v="2017-03-22T00:00:00"/>
    <n v="16.77"/>
    <n v="17"/>
    <n v="16.7"/>
    <n v="17"/>
    <n v="4059297"/>
    <x v="366"/>
    <x v="2"/>
    <n v="1.3714967203339323E-2"/>
  </r>
  <r>
    <d v="2017-03-23T00:00:00"/>
    <n v="17.03"/>
    <n v="17.18"/>
    <n v="16.89"/>
    <n v="16.989999999999998"/>
    <n v="3320245"/>
    <x v="367"/>
    <x v="2"/>
    <n v="-2.3487962419261712E-3"/>
  </r>
  <r>
    <d v="2017-03-24T00:00:00"/>
    <n v="17.05"/>
    <n v="17.59"/>
    <n v="17"/>
    <n v="17.54"/>
    <n v="5647253"/>
    <x v="368"/>
    <x v="2"/>
    <n v="2.8739002932551227E-2"/>
  </r>
  <r>
    <d v="2017-03-27T00:00:00"/>
    <n v="17.37"/>
    <n v="18.04"/>
    <n v="17.32"/>
    <n v="18.010000000000002"/>
    <n v="6230795"/>
    <x v="369"/>
    <x v="2"/>
    <n v="3.6845135290731176E-2"/>
  </r>
  <r>
    <d v="2017-03-28T00:00:00"/>
    <n v="18.47"/>
    <n v="18.71"/>
    <n v="18.329999999999998"/>
    <n v="18.5"/>
    <n v="7987604"/>
    <x v="370"/>
    <x v="2"/>
    <n v="1.6242555495398559E-3"/>
  </r>
  <r>
    <d v="2017-03-29T00:00:00"/>
    <n v="18.559999999999999"/>
    <n v="18.64"/>
    <n v="18.37"/>
    <n v="18.489999999999998"/>
    <n v="3676157"/>
    <x v="371"/>
    <x v="2"/>
    <n v="-3.7715517241379468E-3"/>
  </r>
  <r>
    <d v="2017-03-30T00:00:00"/>
    <n v="18.54"/>
    <n v="18.8"/>
    <n v="18.48"/>
    <n v="18.53"/>
    <n v="4148426"/>
    <x v="372"/>
    <x v="2"/>
    <n v="-5.393743257819855E-4"/>
  </r>
  <r>
    <d v="2017-03-31T00:00:00"/>
    <n v="18.579999999999998"/>
    <n v="18.649999999999999"/>
    <n v="18.420000000000002"/>
    <n v="18.55"/>
    <n v="3294640"/>
    <x v="373"/>
    <x v="2"/>
    <n v="-1.6146393972011619E-3"/>
  </r>
  <r>
    <d v="2017-04-03T00:00:00"/>
    <n v="19.13"/>
    <n v="19.93"/>
    <n v="18.97"/>
    <n v="19.899999999999999"/>
    <n v="13888618"/>
    <x v="374"/>
    <x v="2"/>
    <n v="4.0250914793518014E-2"/>
  </r>
  <r>
    <d v="2017-04-04T00:00:00"/>
    <n v="19.79"/>
    <n v="20.32"/>
    <n v="19.64"/>
    <n v="20.25"/>
    <n v="10134556"/>
    <x v="375"/>
    <x v="2"/>
    <n v="2.3244062657908078E-2"/>
  </r>
  <r>
    <d v="2017-04-05T00:00:00"/>
    <n v="20.14"/>
    <n v="20.329999999999998"/>
    <n v="19.61"/>
    <n v="19.670000000000002"/>
    <n v="7880938"/>
    <x v="376"/>
    <x v="2"/>
    <n v="-2.3336643495531224E-2"/>
  </r>
  <r>
    <d v="2017-04-06T00:00:00"/>
    <n v="19.79"/>
    <n v="20.13"/>
    <n v="19.61"/>
    <n v="19.91"/>
    <n v="5520588"/>
    <x v="377"/>
    <x v="2"/>
    <n v="6.0636685194543202E-3"/>
  </r>
  <r>
    <d v="2017-04-07T00:00:00"/>
    <n v="19.829999999999998"/>
    <n v="20.18"/>
    <n v="19.809999999999999"/>
    <n v="20.170000000000002"/>
    <n v="4579613"/>
    <x v="378"/>
    <x v="2"/>
    <n v="1.7145738779627002E-2"/>
  </r>
  <r>
    <d v="2017-04-10T00:00:00"/>
    <n v="20.61"/>
    <n v="20.92"/>
    <n v="20.58"/>
    <n v="20.83"/>
    <n v="7664458"/>
    <x v="379"/>
    <x v="2"/>
    <n v="1.0674429888403633E-2"/>
  </r>
  <r>
    <d v="2017-04-11T00:00:00"/>
    <n v="20.89"/>
    <n v="20.9"/>
    <n v="20.37"/>
    <n v="20.58"/>
    <n v="5724577"/>
    <x v="380"/>
    <x v="2"/>
    <n v="-1.4839636189564494E-2"/>
  </r>
  <r>
    <d v="2017-04-12T00:00:00"/>
    <n v="20.420000000000002"/>
    <n v="20.56"/>
    <n v="19.75"/>
    <n v="19.79"/>
    <n v="6050682"/>
    <x v="381"/>
    <x v="2"/>
    <n v="-3.0852105778648508E-2"/>
  </r>
  <r>
    <d v="2017-04-13T00:00:00"/>
    <n v="19.78"/>
    <n v="20.49"/>
    <n v="19.690000000000001"/>
    <n v="20.27"/>
    <n v="9284634"/>
    <x v="382"/>
    <x v="2"/>
    <n v="2.4772497472194056E-2"/>
  </r>
  <r>
    <d v="2017-04-17T00:00:00"/>
    <n v="20.18"/>
    <n v="20.27"/>
    <n v="19.91"/>
    <n v="20.100000000000001"/>
    <n v="4138736"/>
    <x v="383"/>
    <x v="2"/>
    <n v="-3.9643211100098266E-3"/>
  </r>
  <r>
    <d v="2017-04-18T00:00:00"/>
    <n v="19.98"/>
    <n v="20.059999999999999"/>
    <n v="19.86"/>
    <n v="20.02"/>
    <n v="3035698"/>
    <x v="384"/>
    <x v="2"/>
    <n v="2.0020020020019595E-3"/>
  </r>
  <r>
    <d v="2017-04-19T00:00:00"/>
    <n v="20.16"/>
    <n v="20.440000000000001"/>
    <n v="20.14"/>
    <n v="20.37"/>
    <n v="3898024"/>
    <x v="385"/>
    <x v="2"/>
    <n v="1.0416666666666709E-2"/>
  </r>
  <r>
    <d v="2017-04-20T00:00:00"/>
    <n v="20.43"/>
    <n v="20.61"/>
    <n v="20.02"/>
    <n v="20.170000000000002"/>
    <n v="6149352"/>
    <x v="386"/>
    <x v="2"/>
    <n v="-1.2726382770435536E-2"/>
  </r>
  <r>
    <d v="2017-04-21T00:00:00"/>
    <n v="20.13"/>
    <n v="20.43"/>
    <n v="20.03"/>
    <n v="20.37"/>
    <n v="4509756"/>
    <x v="387"/>
    <x v="2"/>
    <n v="1.1922503725782513E-2"/>
  </r>
  <r>
    <d v="2017-04-24T00:00:00"/>
    <n v="20.61"/>
    <n v="20.7"/>
    <n v="20.399999999999999"/>
    <n v="20.54"/>
    <n v="5083505"/>
    <x v="388"/>
    <x v="2"/>
    <n v="-3.3964095099466417E-3"/>
  </r>
  <r>
    <d v="2017-04-25T00:00:00"/>
    <n v="20.53"/>
    <n v="20.93"/>
    <n v="20.39"/>
    <n v="20.92"/>
    <n v="6737708"/>
    <x v="389"/>
    <x v="2"/>
    <n v="1.8996590355577232E-2"/>
  </r>
  <r>
    <d v="2017-04-26T00:00:00"/>
    <n v="20.82"/>
    <n v="20.97"/>
    <n v="20.6"/>
    <n v="20.68"/>
    <n v="4695044"/>
    <x v="390"/>
    <x v="2"/>
    <n v="-6.7243035542747633E-3"/>
  </r>
  <r>
    <d v="2017-04-27T00:00:00"/>
    <n v="20.78"/>
    <n v="20.87"/>
    <n v="20.5"/>
    <n v="20.58"/>
    <n v="3468569"/>
    <x v="391"/>
    <x v="2"/>
    <n v="-9.6246390760347852E-3"/>
  </r>
  <r>
    <d v="2017-04-28T00:00:00"/>
    <n v="20.66"/>
    <n v="20.99"/>
    <n v="20.53"/>
    <n v="20.94"/>
    <n v="4505478"/>
    <x v="392"/>
    <x v="2"/>
    <n v="1.3552758954501507E-2"/>
  </r>
  <r>
    <d v="2017-05-01T00:00:00"/>
    <n v="20.99"/>
    <n v="21.82"/>
    <n v="20.99"/>
    <n v="21.52"/>
    <n v="8829565"/>
    <x v="393"/>
    <x v="2"/>
    <n v="2.5250119104335455E-2"/>
  </r>
  <r>
    <d v="2017-05-02T00:00:00"/>
    <n v="21.6"/>
    <n v="21.84"/>
    <n v="21.1"/>
    <n v="21.26"/>
    <n v="5382777"/>
    <x v="394"/>
    <x v="2"/>
    <n v="-1.5740740740740732E-2"/>
  </r>
  <r>
    <d v="2017-05-03T00:00:00"/>
    <n v="21.18"/>
    <n v="21.44"/>
    <n v="20.7"/>
    <n v="20.73"/>
    <n v="7133365"/>
    <x v="395"/>
    <x v="2"/>
    <n v="-2.1246458923512714E-2"/>
  </r>
  <r>
    <d v="2017-05-04T00:00:00"/>
    <n v="20.5"/>
    <n v="20.52"/>
    <n v="19.38"/>
    <n v="19.7"/>
    <n v="14152008"/>
    <x v="396"/>
    <x v="2"/>
    <n v="-3.9024390243902474E-2"/>
  </r>
  <r>
    <d v="2017-05-05T00:00:00"/>
    <n v="19.87"/>
    <n v="20.57"/>
    <n v="19.79"/>
    <n v="20.56"/>
    <n v="8177347"/>
    <x v="397"/>
    <x v="2"/>
    <n v="3.4725717161549957E-2"/>
  </r>
  <r>
    <d v="2017-05-08T00:00:00"/>
    <n v="20.73"/>
    <n v="20.92"/>
    <n v="20.39"/>
    <n v="20.48"/>
    <n v="7006471"/>
    <x v="398"/>
    <x v="2"/>
    <n v="-1.2059816690786299E-2"/>
  </r>
  <r>
    <d v="2017-05-09T00:00:00"/>
    <n v="20.63"/>
    <n v="21.47"/>
    <n v="20.61"/>
    <n v="21.42"/>
    <n v="9676537"/>
    <x v="399"/>
    <x v="2"/>
    <n v="3.8293746970431544E-2"/>
  </r>
  <r>
    <d v="2017-05-10T00:00:00"/>
    <n v="21.44"/>
    <n v="21.7"/>
    <n v="21.21"/>
    <n v="21.68"/>
    <n v="5741607"/>
    <x v="400"/>
    <x v="2"/>
    <n v="1.1194029850746195E-2"/>
  </r>
  <r>
    <d v="2017-05-11T00:00:00"/>
    <n v="21.56"/>
    <n v="21.73"/>
    <n v="21.31"/>
    <n v="21.54"/>
    <n v="4753819"/>
    <x v="401"/>
    <x v="2"/>
    <n v="-9.2764378478662221E-4"/>
  </r>
  <r>
    <d v="2017-05-12T00:00:00"/>
    <n v="21.7"/>
    <n v="21.8"/>
    <n v="21.44"/>
    <n v="21.65"/>
    <n v="4121612"/>
    <x v="402"/>
    <x v="2"/>
    <n v="-2.304147465437821E-3"/>
  </r>
  <r>
    <d v="2017-05-15T00:00:00"/>
    <n v="21.23"/>
    <n v="21.35"/>
    <n v="20.84"/>
    <n v="21.06"/>
    <n v="7622004"/>
    <x v="403"/>
    <x v="2"/>
    <n v="-8.0075365049459123E-3"/>
  </r>
  <r>
    <d v="2017-05-16T00:00:00"/>
    <n v="21.17"/>
    <n v="21.34"/>
    <n v="21.01"/>
    <n v="21.13"/>
    <n v="4152484"/>
    <x v="404"/>
    <x v="2"/>
    <n v="-1.8894662257913414E-3"/>
  </r>
  <r>
    <d v="2017-05-17T00:00:00"/>
    <n v="20.96"/>
    <n v="20.98"/>
    <n v="20.37"/>
    <n v="20.41"/>
    <n v="6711940"/>
    <x v="405"/>
    <x v="2"/>
    <n v="-2.6240458015267209E-2"/>
  </r>
  <r>
    <d v="2017-05-18T00:00:00"/>
    <n v="20.47"/>
    <n v="20.93"/>
    <n v="20.350000000000001"/>
    <n v="20.87"/>
    <n v="5653801"/>
    <x v="406"/>
    <x v="2"/>
    <n v="1.9540791402051887E-2"/>
  </r>
  <r>
    <d v="2017-05-19T00:00:00"/>
    <n v="21.03"/>
    <n v="21.1"/>
    <n v="20.68"/>
    <n v="20.72"/>
    <n v="4687572"/>
    <x v="407"/>
    <x v="2"/>
    <n v="-1.474084640989074E-2"/>
  </r>
  <r>
    <d v="2017-05-22T00:00:00"/>
    <n v="20.85"/>
    <n v="20.96"/>
    <n v="20.45"/>
    <n v="20.69"/>
    <n v="4329178"/>
    <x v="408"/>
    <x v="2"/>
    <n v="-7.6738609112709895E-3"/>
  </r>
  <r>
    <d v="2017-05-23T00:00:00"/>
    <n v="20.7"/>
    <n v="20.72"/>
    <n v="20.23"/>
    <n v="20.260000000000002"/>
    <n v="4318354"/>
    <x v="409"/>
    <x v="2"/>
    <n v="-2.1256038647342886E-2"/>
  </r>
  <r>
    <d v="2017-05-24T00:00:00"/>
    <n v="20.43"/>
    <n v="20.73"/>
    <n v="20.36"/>
    <n v="20.68"/>
    <n v="5041692"/>
    <x v="410"/>
    <x v="2"/>
    <n v="1.2236906510034264E-2"/>
  </r>
  <r>
    <d v="2017-05-25T00:00:00"/>
    <n v="20.73"/>
    <n v="21.13"/>
    <n v="20.52"/>
    <n v="21.12"/>
    <n v="5013963"/>
    <x v="411"/>
    <x v="2"/>
    <n v="1.8813314037626656E-2"/>
  </r>
  <r>
    <d v="2017-05-26T00:00:00"/>
    <n v="21.15"/>
    <n v="21.7"/>
    <n v="21.09"/>
    <n v="21.68"/>
    <n v="7802199"/>
    <x v="412"/>
    <x v="2"/>
    <n v="2.5059101654846393E-2"/>
  </r>
  <r>
    <d v="2017-05-30T00:00:00"/>
    <n v="21.73"/>
    <n v="22.42"/>
    <n v="21.72"/>
    <n v="22.34"/>
    <n v="7782916"/>
    <x v="413"/>
    <x v="2"/>
    <n v="2.8071790151863757E-2"/>
  </r>
  <r>
    <d v="2017-05-31T00:00:00"/>
    <n v="22.51"/>
    <n v="22.86"/>
    <n v="22.34"/>
    <n v="22.73"/>
    <n v="9963444"/>
    <x v="414"/>
    <x v="2"/>
    <n v="9.7734340293202503E-3"/>
  </r>
  <r>
    <d v="2017-06-01T00:00:00"/>
    <n v="22.93"/>
    <n v="22.99"/>
    <n v="22.49"/>
    <n v="22.69"/>
    <n v="7607996"/>
    <x v="415"/>
    <x v="2"/>
    <n v="-1.0466637592673286E-2"/>
  </r>
  <r>
    <d v="2017-06-02T00:00:00"/>
    <n v="22.65"/>
    <n v="22.86"/>
    <n v="22.4"/>
    <n v="22.66"/>
    <n v="5590239"/>
    <x v="416"/>
    <x v="2"/>
    <n v="4.4150110375282845E-4"/>
  </r>
  <r>
    <d v="2017-06-05T00:00:00"/>
    <n v="22.57"/>
    <n v="23.23"/>
    <n v="22.28"/>
    <n v="23.15"/>
    <n v="6784368"/>
    <x v="417"/>
    <x v="2"/>
    <n v="2.5697828976517425E-2"/>
  </r>
  <r>
    <d v="2017-06-06T00:00:00"/>
    <n v="22.98"/>
    <n v="23.97"/>
    <n v="22.66"/>
    <n v="23.52"/>
    <n v="11086798"/>
    <x v="418"/>
    <x v="2"/>
    <n v="2.3498694516971241E-2"/>
  </r>
  <r>
    <d v="2017-06-07T00:00:00"/>
    <n v="23.76"/>
    <n v="24.03"/>
    <n v="23.68"/>
    <n v="23.98"/>
    <n v="9397959"/>
    <x v="419"/>
    <x v="2"/>
    <n v="9.2592592592592102E-3"/>
  </r>
  <r>
    <d v="2017-06-08T00:00:00"/>
    <n v="24.25"/>
    <n v="24.79"/>
    <n v="24.01"/>
    <n v="24.67"/>
    <n v="9061496"/>
    <x v="420"/>
    <x v="2"/>
    <n v="1.731958762886605E-2"/>
  </r>
  <r>
    <d v="2017-06-09T00:00:00"/>
    <n v="24.96"/>
    <n v="25.12"/>
    <n v="23.65"/>
    <n v="23.82"/>
    <n v="17261435"/>
    <x v="421"/>
    <x v="2"/>
    <n v="-4.5673076923076941E-2"/>
  </r>
  <r>
    <d v="2017-06-12T00:00:00"/>
    <n v="23.87"/>
    <n v="24.3"/>
    <n v="23.37"/>
    <n v="23.93"/>
    <n v="10517660"/>
    <x v="422"/>
    <x v="2"/>
    <n v="2.5136154168411695E-3"/>
  </r>
  <r>
    <d v="2017-06-13T00:00:00"/>
    <n v="24.51"/>
    <n v="25.07"/>
    <n v="24.44"/>
    <n v="25.06"/>
    <n v="11807920"/>
    <x v="423"/>
    <x v="2"/>
    <n v="2.2439820481436033E-2"/>
  </r>
  <r>
    <d v="2017-06-14T00:00:00"/>
    <n v="25.41"/>
    <n v="25.62"/>
    <n v="25.09"/>
    <n v="25.38"/>
    <n v="12818429"/>
    <x v="424"/>
    <x v="2"/>
    <n v="-1.1806375442739527E-3"/>
  </r>
  <r>
    <d v="2017-06-15T00:00:00"/>
    <n v="24.83"/>
    <n v="25.03"/>
    <n v="24.43"/>
    <n v="25.02"/>
    <n v="10426469"/>
    <x v="425"/>
    <x v="2"/>
    <n v="7.6520338300443535E-3"/>
  </r>
  <r>
    <d v="2017-06-16T00:00:00"/>
    <n v="25.2"/>
    <n v="25.2"/>
    <n v="24.67"/>
    <n v="24.76"/>
    <n v="6730973"/>
    <x v="426"/>
    <x v="2"/>
    <n v="-1.7460317460317371E-2"/>
  </r>
  <r>
    <d v="2017-06-19T00:00:00"/>
    <n v="25"/>
    <n v="25.11"/>
    <n v="24.52"/>
    <n v="24.65"/>
    <n v="6549332"/>
    <x v="427"/>
    <x v="2"/>
    <n v="-1.4000000000000058E-2"/>
  </r>
  <r>
    <d v="2017-06-20T00:00:00"/>
    <n v="25.11"/>
    <n v="25.26"/>
    <n v="24.65"/>
    <n v="24.82"/>
    <n v="7438701"/>
    <x v="428"/>
    <x v="2"/>
    <n v="-1.1549183592194312E-2"/>
  </r>
  <r>
    <d v="2017-06-21T00:00:00"/>
    <n v="24.96"/>
    <n v="25.13"/>
    <n v="24.53"/>
    <n v="25.09"/>
    <n v="4923210"/>
    <x v="429"/>
    <x v="2"/>
    <n v="5.2083333333332931E-3"/>
  </r>
  <r>
    <d v="2017-06-22T00:00:00"/>
    <n v="25.2"/>
    <n v="25.67"/>
    <n v="24.9"/>
    <n v="25.51"/>
    <n v="7529778"/>
    <x v="430"/>
    <x v="2"/>
    <n v="1.2301587301587391E-2"/>
  </r>
  <r>
    <d v="2017-06-23T00:00:00"/>
    <n v="25.5"/>
    <n v="25.8"/>
    <n v="25.29"/>
    <n v="25.56"/>
    <n v="6445758"/>
    <x v="431"/>
    <x v="2"/>
    <n v="2.3529411764705382E-3"/>
  </r>
  <r>
    <d v="2017-06-26T00:00:00"/>
    <n v="25.78"/>
    <n v="25.8"/>
    <n v="24.87"/>
    <n v="25.17"/>
    <n v="6604099"/>
    <x v="432"/>
    <x v="2"/>
    <n v="-2.3661753297129533E-2"/>
  </r>
  <r>
    <d v="2017-06-27T00:00:00"/>
    <n v="25.09"/>
    <n v="25.09"/>
    <n v="24.13"/>
    <n v="24.16"/>
    <n v="6996399"/>
    <x v="433"/>
    <x v="2"/>
    <n v="-3.706656038262255E-2"/>
  </r>
  <r>
    <d v="2017-06-28T00:00:00"/>
    <n v="24.45"/>
    <n v="24.78"/>
    <n v="24.17"/>
    <n v="24.75"/>
    <n v="6302463"/>
    <x v="434"/>
    <x v="2"/>
    <n v="1.2269938650306778E-2"/>
  </r>
  <r>
    <d v="2017-06-29T00:00:00"/>
    <n v="24.71"/>
    <n v="24.73"/>
    <n v="23.61"/>
    <n v="24.05"/>
    <n v="8221038"/>
    <x v="435"/>
    <x v="2"/>
    <n v="-2.6709834075273175E-2"/>
  </r>
  <r>
    <d v="2017-06-30T00:00:00"/>
    <n v="24.25"/>
    <n v="24.45"/>
    <n v="23.97"/>
    <n v="24.11"/>
    <n v="5848521"/>
    <x v="436"/>
    <x v="2"/>
    <n v="-5.7731958762886832E-3"/>
  </r>
  <r>
    <d v="2017-07-03T00:00:00"/>
    <n v="24.68"/>
    <n v="24.76"/>
    <n v="23.43"/>
    <n v="23.51"/>
    <n v="6305401"/>
    <x v="437"/>
    <x v="2"/>
    <n v="-4.7406807131280315E-2"/>
  </r>
  <r>
    <d v="2017-07-05T00:00:00"/>
    <n v="23.15"/>
    <n v="23.15"/>
    <n v="21.76"/>
    <n v="21.81"/>
    <n v="17046701"/>
    <x v="438"/>
    <x v="2"/>
    <n v="-5.7883369330453564E-2"/>
  </r>
  <r>
    <d v="2017-07-06T00:00:00"/>
    <n v="21.15"/>
    <n v="21.39"/>
    <n v="20.420000000000002"/>
    <n v="20.59"/>
    <n v="19324495"/>
    <x v="439"/>
    <x v="2"/>
    <n v="-2.6477541371158334E-2"/>
  </r>
  <r>
    <d v="2017-07-07T00:00:00"/>
    <n v="20.9"/>
    <n v="21.13"/>
    <n v="20.49"/>
    <n v="20.88"/>
    <n v="14176915"/>
    <x v="440"/>
    <x v="2"/>
    <n v="-9.5693779904304185E-4"/>
  </r>
  <r>
    <d v="2017-07-10T00:00:00"/>
    <n v="20.86"/>
    <n v="21.2"/>
    <n v="20.21"/>
    <n v="21.07"/>
    <n v="13820889"/>
    <x v="441"/>
    <x v="2"/>
    <n v="1.0067114093959773E-2"/>
  </r>
  <r>
    <d v="2017-07-11T00:00:00"/>
    <n v="21.07"/>
    <n v="21.82"/>
    <n v="20.95"/>
    <n v="21.81"/>
    <n v="11559402"/>
    <x v="442"/>
    <x v="2"/>
    <n v="3.512102515424767E-2"/>
  </r>
  <r>
    <d v="2017-07-12T00:00:00"/>
    <n v="22.03"/>
    <n v="22.21"/>
    <n v="21.63"/>
    <n v="21.97"/>
    <n v="10346127"/>
    <x v="443"/>
    <x v="2"/>
    <n v="-2.7235587834771799E-3"/>
  </r>
  <r>
    <d v="2017-07-13T00:00:00"/>
    <n v="22.01"/>
    <n v="22.11"/>
    <n v="21.33"/>
    <n v="21.56"/>
    <n v="8594466"/>
    <x v="444"/>
    <x v="2"/>
    <n v="-2.0445252158110078E-2"/>
  </r>
  <r>
    <d v="2017-07-14T00:00:00"/>
    <n v="21.55"/>
    <n v="21.89"/>
    <n v="21.41"/>
    <n v="21.85"/>
    <n v="5625211"/>
    <x v="445"/>
    <x v="2"/>
    <n v="1.392111368909516E-2"/>
  </r>
  <r>
    <d v="2017-07-17T00:00:00"/>
    <n v="21.7"/>
    <n v="21.81"/>
    <n v="20.9"/>
    <n v="21.3"/>
    <n v="9876912"/>
    <x v="446"/>
    <x v="2"/>
    <n v="-1.8433179723502238E-2"/>
  </r>
  <r>
    <d v="2017-07-18T00:00:00"/>
    <n v="21.17"/>
    <n v="21.94"/>
    <n v="21.04"/>
    <n v="21.88"/>
    <n v="6373720"/>
    <x v="447"/>
    <x v="2"/>
    <n v="3.3538025507793917E-2"/>
  </r>
  <r>
    <d v="2017-07-19T00:00:00"/>
    <n v="21.88"/>
    <n v="22.11"/>
    <n v="21.55"/>
    <n v="21.68"/>
    <n v="6357014"/>
    <x v="448"/>
    <x v="2"/>
    <n v="-9.140767824497225E-3"/>
  </r>
  <r>
    <d v="2017-07-20T00:00:00"/>
    <n v="21.79"/>
    <n v="22.01"/>
    <n v="21.61"/>
    <n v="21.99"/>
    <n v="5166188"/>
    <x v="449"/>
    <x v="2"/>
    <n v="9.1785222579164431E-3"/>
  </r>
  <r>
    <d v="2017-07-21T00:00:00"/>
    <n v="21.96"/>
    <n v="22.08"/>
    <n v="21.72"/>
    <n v="21.89"/>
    <n v="4901606"/>
    <x v="450"/>
    <x v="2"/>
    <n v="-3.1876138433515611E-3"/>
  </r>
  <r>
    <d v="2017-07-24T00:00:00"/>
    <n v="22.02"/>
    <n v="22.89"/>
    <n v="22"/>
    <n v="22.83"/>
    <n v="8637082"/>
    <x v="451"/>
    <x v="2"/>
    <n v="3.6784741144414108E-2"/>
  </r>
  <r>
    <d v="2017-07-25T00:00:00"/>
    <n v="23"/>
    <n v="23.04"/>
    <n v="22.28"/>
    <n v="22.64"/>
    <n v="6989197"/>
    <x v="452"/>
    <x v="2"/>
    <n v="-1.5652173913043455E-2"/>
  </r>
  <r>
    <d v="2017-07-26T00:00:00"/>
    <n v="22.69"/>
    <n v="23.03"/>
    <n v="22.54"/>
    <n v="22.92"/>
    <n v="4820790"/>
    <x v="453"/>
    <x v="2"/>
    <n v="1.0136624063464099E-2"/>
  </r>
  <r>
    <d v="2017-07-27T00:00:00"/>
    <n v="23.07"/>
    <n v="23.17"/>
    <n v="21.75"/>
    <n v="22.3"/>
    <n v="8302405"/>
    <x v="454"/>
    <x v="2"/>
    <n v="-3.3376679670567816E-2"/>
  </r>
  <r>
    <d v="2017-07-28T00:00:00"/>
    <n v="22.46"/>
    <n v="22.64"/>
    <n v="22.17"/>
    <n v="22.34"/>
    <n v="4880414"/>
    <x v="455"/>
    <x v="2"/>
    <n v="-5.3428317008014691E-3"/>
  </r>
  <r>
    <d v="2017-07-31T00:00:00"/>
    <n v="22.37"/>
    <n v="22.77"/>
    <n v="21.4"/>
    <n v="21.56"/>
    <n v="8535136"/>
    <x v="456"/>
    <x v="2"/>
    <n v="-3.6209208761734564E-2"/>
  </r>
  <r>
    <d v="2017-08-01T00:00:00"/>
    <n v="21.53"/>
    <n v="21.63"/>
    <n v="21.08"/>
    <n v="21.3"/>
    <n v="8303102"/>
    <x v="457"/>
    <x v="2"/>
    <n v="-1.0682768230376238E-2"/>
  </r>
  <r>
    <d v="2017-08-02T00:00:00"/>
    <n v="21.26"/>
    <n v="21.81"/>
    <n v="20.75"/>
    <n v="21.73"/>
    <n v="13091462"/>
    <x v="458"/>
    <x v="2"/>
    <n v="2.210724365004698E-2"/>
  </r>
  <r>
    <d v="2017-08-03T00:00:00"/>
    <n v="23.02"/>
    <n v="23.33"/>
    <n v="22.88"/>
    <n v="23.14"/>
    <n v="13535033"/>
    <x v="459"/>
    <x v="2"/>
    <n v="5.2128583840139447E-3"/>
  </r>
  <r>
    <d v="2017-08-04T00:00:00"/>
    <n v="23.13"/>
    <n v="23.82"/>
    <n v="22.89"/>
    <n v="23.79"/>
    <n v="9268909"/>
    <x v="460"/>
    <x v="2"/>
    <n v="2.8534370946822315E-2"/>
  </r>
  <r>
    <d v="2017-08-07T00:00:00"/>
    <n v="23.82"/>
    <n v="23.97"/>
    <n v="23.52"/>
    <n v="23.68"/>
    <n v="6324480"/>
    <x v="461"/>
    <x v="2"/>
    <n v="-5.8774139378673625E-3"/>
  </r>
  <r>
    <d v="2017-08-08T00:00:00"/>
    <n v="23.84"/>
    <n v="24.57"/>
    <n v="23.83"/>
    <n v="24.35"/>
    <n v="7449837"/>
    <x v="462"/>
    <x v="2"/>
    <n v="2.1392617449664496E-2"/>
  </r>
  <r>
    <d v="2017-08-09T00:00:00"/>
    <n v="24.07"/>
    <n v="24.67"/>
    <n v="23.93"/>
    <n v="24.24"/>
    <n v="6892096"/>
    <x v="463"/>
    <x v="2"/>
    <n v="7.06273369339419E-3"/>
  </r>
  <r>
    <d v="2017-08-10T00:00:00"/>
    <n v="24.11"/>
    <n v="24.44"/>
    <n v="23.64"/>
    <n v="23.69"/>
    <n v="7092858"/>
    <x v="464"/>
    <x v="2"/>
    <n v="-1.7420157610949737E-2"/>
  </r>
  <r>
    <d v="2017-08-11T00:00:00"/>
    <n v="23.8"/>
    <n v="24.08"/>
    <n v="23.57"/>
    <n v="23.86"/>
    <n v="4365783"/>
    <x v="465"/>
    <x v="2"/>
    <n v="2.5210084033612909E-3"/>
  </r>
  <r>
    <d v="2017-08-14T00:00:00"/>
    <n v="24.31"/>
    <n v="24.51"/>
    <n v="24.17"/>
    <n v="24.25"/>
    <n v="4519186"/>
    <x v="466"/>
    <x v="2"/>
    <n v="-2.4681201151788863E-3"/>
  </r>
  <r>
    <d v="2017-08-15T00:00:00"/>
    <n v="24.35"/>
    <n v="24.37"/>
    <n v="23.96"/>
    <n v="24.16"/>
    <n v="3085088"/>
    <x v="467"/>
    <x v="2"/>
    <n v="-7.8028747433265405E-3"/>
  </r>
  <r>
    <d v="2017-08-16T00:00:00"/>
    <n v="24.2"/>
    <n v="24.43"/>
    <n v="24.17"/>
    <n v="24.19"/>
    <n v="3413773"/>
    <x v="468"/>
    <x v="2"/>
    <n v="-4.1322314049578558E-4"/>
  </r>
  <r>
    <d v="2017-08-17T00:00:00"/>
    <n v="24.08"/>
    <n v="24.22"/>
    <n v="23.44"/>
    <n v="23.46"/>
    <n v="5027660"/>
    <x v="469"/>
    <x v="2"/>
    <n v="-2.5747508305647735E-2"/>
  </r>
  <r>
    <d v="2017-08-18T00:00:00"/>
    <n v="23.53"/>
    <n v="23.6"/>
    <n v="23.05"/>
    <n v="23.16"/>
    <n v="5408183"/>
    <x v="470"/>
    <x v="2"/>
    <n v="-1.5724606884827921E-2"/>
  </r>
  <r>
    <d v="2017-08-21T00:00:00"/>
    <n v="23.05"/>
    <n v="23.05"/>
    <n v="22.12"/>
    <n v="22.52"/>
    <n v="6495424"/>
    <x v="471"/>
    <x v="2"/>
    <n v="-2.2993492407809159E-2"/>
  </r>
  <r>
    <d v="2017-08-22T00:00:00"/>
    <n v="22.74"/>
    <n v="22.82"/>
    <n v="22.49"/>
    <n v="22.76"/>
    <n v="4321966"/>
    <x v="472"/>
    <x v="2"/>
    <n v="8.7950747581368193E-4"/>
  </r>
  <r>
    <d v="2017-08-23T00:00:00"/>
    <n v="22.6"/>
    <n v="23.57"/>
    <n v="22.55"/>
    <n v="23.52"/>
    <n v="4954504"/>
    <x v="473"/>
    <x v="2"/>
    <n v="4.0707964601769828E-2"/>
  </r>
  <r>
    <d v="2017-08-24T00:00:00"/>
    <n v="23.5"/>
    <n v="23.78"/>
    <n v="23.32"/>
    <n v="23.53"/>
    <n v="4584687"/>
    <x v="474"/>
    <x v="2"/>
    <n v="1.2765957446808994E-3"/>
  </r>
  <r>
    <d v="2017-08-25T00:00:00"/>
    <n v="23.62"/>
    <n v="23.71"/>
    <n v="23.15"/>
    <n v="23.2"/>
    <n v="3483956"/>
    <x v="475"/>
    <x v="2"/>
    <n v="-1.7781541066892535E-2"/>
  </r>
  <r>
    <d v="2017-08-28T00:00:00"/>
    <n v="23.15"/>
    <n v="23.16"/>
    <n v="22.65"/>
    <n v="23.04"/>
    <n v="3763956"/>
    <x v="476"/>
    <x v="2"/>
    <n v="-4.7516198704103431E-3"/>
  </r>
  <r>
    <d v="2017-08-29T00:00:00"/>
    <n v="22.63"/>
    <n v="23.27"/>
    <n v="22.58"/>
    <n v="23.16"/>
    <n v="4073675"/>
    <x v="477"/>
    <x v="2"/>
    <n v="2.3420238621299213E-2"/>
  </r>
  <r>
    <d v="2017-08-30T00:00:00"/>
    <n v="23.31"/>
    <n v="23.56"/>
    <n v="23.13"/>
    <n v="23.55"/>
    <n v="3412943"/>
    <x v="478"/>
    <x v="2"/>
    <n v="1.0296010296010382E-2"/>
  </r>
  <r>
    <d v="2017-08-31T00:00:00"/>
    <n v="23.57"/>
    <n v="23.9"/>
    <n v="23.52"/>
    <n v="23.73"/>
    <n v="4072795"/>
    <x v="479"/>
    <x v="2"/>
    <n v="6.7882901994060305E-3"/>
  </r>
  <r>
    <d v="2017-09-01T00:00:00"/>
    <n v="23.74"/>
    <n v="23.84"/>
    <n v="23.58"/>
    <n v="23.69"/>
    <n v="3049546"/>
    <x v="480"/>
    <x v="2"/>
    <n v="-2.1061499578768814E-3"/>
  </r>
  <r>
    <d v="2017-09-05T00:00:00"/>
    <n v="23.59"/>
    <n v="23.7"/>
    <n v="23.06"/>
    <n v="23.31"/>
    <n v="3848382"/>
    <x v="481"/>
    <x v="2"/>
    <n v="-1.1869436201780464E-2"/>
  </r>
  <r>
    <d v="2017-09-06T00:00:00"/>
    <n v="23.3"/>
    <n v="23.4"/>
    <n v="22.77"/>
    <n v="22.97"/>
    <n v="4091351"/>
    <x v="482"/>
    <x v="2"/>
    <n v="-1.4163090128755444E-2"/>
  </r>
  <r>
    <d v="2017-09-07T00:00:00"/>
    <n v="23.07"/>
    <n v="23.5"/>
    <n v="22.9"/>
    <n v="23.37"/>
    <n v="4239213"/>
    <x v="483"/>
    <x v="2"/>
    <n v="1.3003901170351136E-2"/>
  </r>
  <r>
    <d v="2017-09-08T00:00:00"/>
    <n v="23.27"/>
    <n v="23.32"/>
    <n v="22.82"/>
    <n v="22.89"/>
    <n v="3263508"/>
    <x v="484"/>
    <x v="2"/>
    <n v="-1.6330038676407348E-2"/>
  </r>
  <r>
    <d v="2017-09-11T00:00:00"/>
    <n v="23.42"/>
    <n v="24.25"/>
    <n v="23.33"/>
    <n v="24.25"/>
    <n v="7667055"/>
    <x v="485"/>
    <x v="2"/>
    <n v="3.5439795046968328E-2"/>
  </r>
  <r>
    <d v="2017-09-12T00:00:00"/>
    <n v="24.3"/>
    <n v="24.58"/>
    <n v="24.03"/>
    <n v="24.18"/>
    <n v="5972907"/>
    <x v="486"/>
    <x v="2"/>
    <n v="-4.9382716049383123E-3"/>
  </r>
  <r>
    <d v="2017-09-13T00:00:00"/>
    <n v="24.25"/>
    <n v="24.54"/>
    <n v="23.97"/>
    <n v="24.42"/>
    <n v="4185231"/>
    <x v="487"/>
    <x v="2"/>
    <n v="7.0103092783505858E-3"/>
  </r>
  <r>
    <d v="2017-09-14T00:00:00"/>
    <n v="24.29"/>
    <n v="25.2"/>
    <n v="24.18"/>
    <n v="25.18"/>
    <n v="7202524"/>
    <x v="488"/>
    <x v="2"/>
    <n v="3.6640592836558281E-2"/>
  </r>
  <r>
    <d v="2017-09-15T00:00:00"/>
    <n v="24.97"/>
    <n v="25.33"/>
    <n v="24.85"/>
    <n v="25.32"/>
    <n v="5420496"/>
    <x v="489"/>
    <x v="2"/>
    <n v="1.4016820184221122E-2"/>
  </r>
  <r>
    <d v="2017-09-18T00:00:00"/>
    <n v="25.35"/>
    <n v="25.97"/>
    <n v="25.18"/>
    <n v="25.67"/>
    <n v="7187980"/>
    <x v="490"/>
    <x v="2"/>
    <n v="1.262327416173571E-2"/>
  </r>
  <r>
    <d v="2017-09-19T00:00:00"/>
    <n v="25.33"/>
    <n v="25.49"/>
    <n v="24.9"/>
    <n v="25.01"/>
    <n v="6451886"/>
    <x v="491"/>
    <x v="2"/>
    <n v="-1.2633241215949338E-2"/>
  </r>
  <r>
    <d v="2017-09-20T00:00:00"/>
    <n v="24.87"/>
    <n v="25.22"/>
    <n v="24.74"/>
    <n v="24.93"/>
    <n v="4919052"/>
    <x v="492"/>
    <x v="2"/>
    <n v="2.4125452352231091E-3"/>
  </r>
  <r>
    <d v="2017-09-21T00:00:00"/>
    <n v="24.99"/>
    <n v="25.12"/>
    <n v="24.3"/>
    <n v="24.43"/>
    <n v="4618190"/>
    <x v="493"/>
    <x v="2"/>
    <n v="-2.2408963585434125E-2"/>
  </r>
  <r>
    <d v="2017-09-22T00:00:00"/>
    <n v="24.43"/>
    <n v="24.66"/>
    <n v="23.39"/>
    <n v="23.41"/>
    <n v="8159418"/>
    <x v="494"/>
    <x v="2"/>
    <n v="-4.1751944330740878E-2"/>
  </r>
  <r>
    <d v="2017-09-25T00:00:00"/>
    <n v="23.54"/>
    <n v="23.83"/>
    <n v="22.86"/>
    <n v="23"/>
    <n v="7605946"/>
    <x v="495"/>
    <x v="2"/>
    <n v="-2.2939677145284585E-2"/>
  </r>
  <r>
    <d v="2017-09-26T00:00:00"/>
    <n v="23.4"/>
    <n v="23.42"/>
    <n v="22.73"/>
    <n v="23.02"/>
    <n v="7156274"/>
    <x v="496"/>
    <x v="2"/>
    <n v="-1.6239316239316199E-2"/>
  </r>
  <r>
    <d v="2017-09-27T00:00:00"/>
    <n v="23.33"/>
    <n v="23.43"/>
    <n v="22.7"/>
    <n v="22.73"/>
    <n v="6060330"/>
    <x v="497"/>
    <x v="2"/>
    <n v="-2.5717959708529699E-2"/>
  </r>
  <r>
    <d v="2017-09-28T00:00:00"/>
    <n v="22.66"/>
    <n v="22.85"/>
    <n v="22.36"/>
    <n v="22.64"/>
    <n v="5319617"/>
    <x v="498"/>
    <x v="2"/>
    <n v="-8.8261253309795116E-4"/>
  </r>
  <r>
    <d v="2017-09-29T00:00:00"/>
    <n v="22.79"/>
    <n v="22.98"/>
    <n v="22.57"/>
    <n v="22.74"/>
    <n v="5107082"/>
    <x v="499"/>
    <x v="2"/>
    <n v="-2.1939447125932741E-3"/>
  </r>
  <r>
    <d v="2017-10-02T00:00:00"/>
    <n v="22.83"/>
    <n v="22.91"/>
    <n v="22.37"/>
    <n v="22.77"/>
    <n v="5286774"/>
    <x v="500"/>
    <x v="2"/>
    <n v="-2.6281208935610479E-3"/>
  </r>
  <r>
    <d v="2017-10-03T00:00:00"/>
    <n v="22.39"/>
    <n v="23.24"/>
    <n v="22.09"/>
    <n v="23.21"/>
    <n v="10153596"/>
    <x v="501"/>
    <x v="2"/>
    <n v="3.6623492630638688E-2"/>
  </r>
  <r>
    <d v="2017-10-04T00:00:00"/>
    <n v="23.42"/>
    <n v="23.91"/>
    <n v="23.31"/>
    <n v="23.67"/>
    <n v="8163543"/>
    <x v="502"/>
    <x v="2"/>
    <n v="1.067463706233988E-2"/>
  </r>
  <r>
    <d v="2017-10-05T00:00:00"/>
    <n v="23.73"/>
    <n v="23.83"/>
    <n v="23.42"/>
    <n v="23.69"/>
    <n v="4171675"/>
    <x v="503"/>
    <x v="2"/>
    <n v="-1.6856300042140391E-3"/>
  </r>
  <r>
    <d v="2017-10-06T00:00:00"/>
    <n v="23.54"/>
    <n v="24.01"/>
    <n v="23.48"/>
    <n v="23.79"/>
    <n v="4297474"/>
    <x v="504"/>
    <x v="2"/>
    <n v="1.0620220900594732E-2"/>
  </r>
  <r>
    <d v="2017-10-09T00:00:00"/>
    <n v="23.31"/>
    <n v="23.45"/>
    <n v="22.84"/>
    <n v="22.86"/>
    <n v="7493654"/>
    <x v="505"/>
    <x v="2"/>
    <n v="-1.9305019305019277E-2"/>
  </r>
  <r>
    <d v="2017-10-10T00:00:00"/>
    <n v="23.12"/>
    <n v="23.71"/>
    <n v="23.04"/>
    <n v="23.71"/>
    <n v="6978495"/>
    <x v="506"/>
    <x v="2"/>
    <n v="2.5519031141868504E-2"/>
  </r>
  <r>
    <d v="2017-10-11T00:00:00"/>
    <n v="23.59"/>
    <n v="23.84"/>
    <n v="23.41"/>
    <n v="23.64"/>
    <n v="4500831"/>
    <x v="507"/>
    <x v="2"/>
    <n v="2.1195421788893901E-3"/>
  </r>
  <r>
    <d v="2017-10-12T00:00:00"/>
    <n v="23.53"/>
    <n v="23.99"/>
    <n v="23.51"/>
    <n v="23.71"/>
    <n v="4087048"/>
    <x v="508"/>
    <x v="2"/>
    <n v="7.6498087547811179E-3"/>
  </r>
  <r>
    <d v="2017-10-13T00:00:00"/>
    <n v="23.8"/>
    <n v="23.9"/>
    <n v="23.58"/>
    <n v="23.7"/>
    <n v="3540533"/>
    <x v="509"/>
    <x v="2"/>
    <n v="-4.2016806722689672E-3"/>
  </r>
  <r>
    <d v="2017-10-16T00:00:00"/>
    <n v="23.58"/>
    <n v="23.63"/>
    <n v="23.14"/>
    <n v="23.37"/>
    <n v="5375486"/>
    <x v="510"/>
    <x v="2"/>
    <n v="-8.9058524173026843E-3"/>
  </r>
  <r>
    <d v="2017-10-17T00:00:00"/>
    <n v="23.39"/>
    <n v="23.75"/>
    <n v="23.34"/>
    <n v="23.72"/>
    <n v="3293345"/>
    <x v="511"/>
    <x v="2"/>
    <n v="1.4108593415989665E-2"/>
  </r>
  <r>
    <d v="2017-10-18T00:00:00"/>
    <n v="23.73"/>
    <n v="24.2"/>
    <n v="23.61"/>
    <n v="23.98"/>
    <n v="4939074"/>
    <x v="512"/>
    <x v="2"/>
    <n v="1.0535187526337969E-2"/>
  </r>
  <r>
    <d v="2017-10-19T00:00:00"/>
    <n v="23.7"/>
    <n v="23.81"/>
    <n v="23.21"/>
    <n v="23.45"/>
    <n v="5061843"/>
    <x v="513"/>
    <x v="2"/>
    <n v="-1.0548523206751054E-2"/>
  </r>
  <r>
    <d v="2017-10-20T00:00:00"/>
    <n v="23.51"/>
    <n v="23.64"/>
    <n v="22.96"/>
    <n v="23.01"/>
    <n v="4930395"/>
    <x v="514"/>
    <x v="2"/>
    <n v="-2.1267545725223307E-2"/>
  </r>
  <r>
    <d v="2017-10-23T00:00:00"/>
    <n v="23.33"/>
    <n v="23.33"/>
    <n v="22.42"/>
    <n v="22.47"/>
    <n v="5747346"/>
    <x v="515"/>
    <x v="2"/>
    <n v="-3.6862408915559343E-2"/>
  </r>
  <r>
    <d v="2017-10-24T00:00:00"/>
    <n v="22.59"/>
    <n v="22.85"/>
    <n v="22.41"/>
    <n v="22.49"/>
    <n v="4491672"/>
    <x v="516"/>
    <x v="2"/>
    <n v="-4.4267374944666413E-3"/>
  </r>
  <r>
    <d v="2017-10-25T00:00:00"/>
    <n v="22.45"/>
    <n v="22.5"/>
    <n v="21.57"/>
    <n v="21.72"/>
    <n v="8594073"/>
    <x v="517"/>
    <x v="2"/>
    <n v="-3.2516703786191557E-2"/>
  </r>
  <r>
    <d v="2017-10-26T00:00:00"/>
    <n v="21.85"/>
    <n v="22.02"/>
    <n v="21.55"/>
    <n v="21.74"/>
    <n v="5023500"/>
    <x v="518"/>
    <x v="2"/>
    <n v="-5.0343249427918981E-3"/>
  </r>
  <r>
    <d v="2017-10-27T00:00:00"/>
    <n v="21.32"/>
    <n v="21.64"/>
    <n v="21.11"/>
    <n v="21.39"/>
    <n v="6979704"/>
    <x v="519"/>
    <x v="2"/>
    <n v="3.2833020637898819E-3"/>
  </r>
  <r>
    <d v="2017-10-30T00:00:00"/>
    <n v="21.28"/>
    <n v="21.59"/>
    <n v="21.15"/>
    <n v="21.34"/>
    <n v="4254378"/>
    <x v="520"/>
    <x v="2"/>
    <n v="2.8195488721803907E-3"/>
  </r>
  <r>
    <d v="2017-10-31T00:00:00"/>
    <n v="21.35"/>
    <n v="22.13"/>
    <n v="21.35"/>
    <n v="22.1"/>
    <n v="5672347"/>
    <x v="521"/>
    <x v="2"/>
    <n v="3.5128805620608897E-2"/>
  </r>
  <r>
    <d v="2017-11-01T00:00:00"/>
    <n v="22.15"/>
    <n v="22.17"/>
    <n v="21.35"/>
    <n v="21.41"/>
    <n v="8457336"/>
    <x v="522"/>
    <x v="2"/>
    <n v="-3.3408577878103772E-2"/>
  </r>
  <r>
    <d v="2017-11-02T00:00:00"/>
    <n v="20.010000000000002"/>
    <n v="20.58"/>
    <n v="19.510000000000002"/>
    <n v="19.95"/>
    <n v="19791416"/>
    <x v="523"/>
    <x v="2"/>
    <n v="-2.9985007496253009E-3"/>
  </r>
  <r>
    <d v="2017-11-03T00:00:00"/>
    <n v="19.97"/>
    <n v="20.420000000000002"/>
    <n v="19.68"/>
    <n v="20.41"/>
    <n v="8893974"/>
    <x v="524"/>
    <x v="2"/>
    <n v="2.2033049574361606E-2"/>
  </r>
  <r>
    <d v="2017-11-06T00:00:00"/>
    <n v="20.47"/>
    <n v="20.5"/>
    <n v="19.93"/>
    <n v="20.190000000000001"/>
    <n v="6486009"/>
    <x v="525"/>
    <x v="2"/>
    <n v="-1.3678553981436132E-2"/>
  </r>
  <r>
    <d v="2017-11-07T00:00:00"/>
    <n v="20.07"/>
    <n v="20.43"/>
    <n v="20"/>
    <n v="20.399999999999999"/>
    <n v="5294274"/>
    <x v="526"/>
    <x v="2"/>
    <n v="1.644245142002981E-2"/>
  </r>
  <r>
    <d v="2017-11-08T00:00:00"/>
    <n v="20.37"/>
    <n v="20.46"/>
    <n v="20.09"/>
    <n v="20.29"/>
    <n v="4725271"/>
    <x v="527"/>
    <x v="2"/>
    <n v="-3.9273441335297907E-3"/>
  </r>
  <r>
    <d v="2017-11-09T00:00:00"/>
    <n v="20.170000000000002"/>
    <n v="20.3"/>
    <n v="19.75"/>
    <n v="20.2"/>
    <n v="5447147"/>
    <x v="168"/>
    <x v="2"/>
    <n v="1.487357461576479E-3"/>
  </r>
  <r>
    <d v="2017-11-10T00:00:00"/>
    <n v="20.170000000000002"/>
    <n v="20.56"/>
    <n v="20.12"/>
    <n v="20.2"/>
    <n v="4625429"/>
    <x v="528"/>
    <x v="2"/>
    <n v="1.487357461576479E-3"/>
  </r>
  <r>
    <d v="2017-11-13T00:00:00"/>
    <n v="20.010000000000002"/>
    <n v="21.12"/>
    <n v="19.940000000000001"/>
    <n v="21.03"/>
    <n v="7584944"/>
    <x v="529"/>
    <x v="2"/>
    <n v="5.0974512743628159E-2"/>
  </r>
  <r>
    <d v="2017-11-14T00:00:00"/>
    <n v="21"/>
    <n v="21.09"/>
    <n v="20.46"/>
    <n v="20.58"/>
    <n v="5676076"/>
    <x v="530"/>
    <x v="2"/>
    <n v="-2.000000000000008E-2"/>
  </r>
  <r>
    <d v="2017-11-15T00:00:00"/>
    <n v="20.399999999999999"/>
    <n v="20.83"/>
    <n v="20.100000000000001"/>
    <n v="20.75"/>
    <n v="5978665"/>
    <x v="531"/>
    <x v="2"/>
    <n v="1.715686274509811E-2"/>
  </r>
  <r>
    <d v="2017-11-16T00:00:00"/>
    <n v="20.93"/>
    <n v="21.21"/>
    <n v="20.75"/>
    <n v="20.83"/>
    <n v="5822073"/>
    <x v="532"/>
    <x v="2"/>
    <n v="-4.7778308647874546E-3"/>
  </r>
  <r>
    <d v="2017-11-17T00:00:00"/>
    <n v="21.71"/>
    <n v="21.78"/>
    <n v="20.88"/>
    <n v="21"/>
    <n v="13735139"/>
    <x v="533"/>
    <x v="2"/>
    <n v="-3.2703823122984838E-2"/>
  </r>
  <r>
    <d v="2017-11-20T00:00:00"/>
    <n v="20.92"/>
    <n v="21.03"/>
    <n v="20.32"/>
    <n v="20.58"/>
    <n v="8247650"/>
    <x v="534"/>
    <x v="2"/>
    <n v="-1.6252390057361538E-2"/>
  </r>
  <r>
    <d v="2017-11-21T00:00:00"/>
    <n v="20.72"/>
    <n v="21.22"/>
    <n v="20.58"/>
    <n v="21.19"/>
    <n v="7261273"/>
    <x v="535"/>
    <x v="2"/>
    <n v="2.2683397683397801E-2"/>
  </r>
  <r>
    <d v="2017-11-22T00:00:00"/>
    <n v="21.12"/>
    <n v="21.16"/>
    <n v="20.79"/>
    <n v="20.84"/>
    <n v="4917636"/>
    <x v="536"/>
    <x v="2"/>
    <n v="-1.325757575757581E-2"/>
  </r>
  <r>
    <d v="2017-11-24T00:00:00"/>
    <n v="20.92"/>
    <n v="21.09"/>
    <n v="20.73"/>
    <n v="21.04"/>
    <n v="3244065"/>
    <x v="537"/>
    <x v="2"/>
    <n v="5.7361376673038924E-3"/>
  </r>
  <r>
    <d v="2017-11-27T00:00:00"/>
    <n v="20.88"/>
    <n v="21.16"/>
    <n v="20.63"/>
    <n v="21.12"/>
    <n v="4555894"/>
    <x v="538"/>
    <x v="2"/>
    <n v="1.1494252873563314E-2"/>
  </r>
  <r>
    <d v="2017-11-28T00:00:00"/>
    <n v="21.09"/>
    <n v="21.33"/>
    <n v="20.93"/>
    <n v="21.17"/>
    <n v="4949491"/>
    <x v="539"/>
    <x v="2"/>
    <n v="3.7932669511617756E-3"/>
  </r>
  <r>
    <d v="2017-11-29T00:00:00"/>
    <n v="21.15"/>
    <n v="21.2"/>
    <n v="20.079999999999998"/>
    <n v="20.5"/>
    <n v="8767398"/>
    <x v="540"/>
    <x v="2"/>
    <n v="-3.0732860520094496E-2"/>
  </r>
  <r>
    <d v="2017-11-30T00:00:00"/>
    <n v="20.57"/>
    <n v="20.71"/>
    <n v="20.3"/>
    <n v="20.59"/>
    <n v="4351587"/>
    <x v="541"/>
    <x v="2"/>
    <n v="9.7228974234319753E-4"/>
  </r>
  <r>
    <d v="2017-12-01T00:00:00"/>
    <n v="20.36"/>
    <n v="20.69"/>
    <n v="20.34"/>
    <n v="20.440000000000001"/>
    <n v="4292868"/>
    <x v="542"/>
    <x v="2"/>
    <n v="3.9292730844794621E-3"/>
  </r>
  <r>
    <d v="2017-12-04T00:00:00"/>
    <n v="20.43"/>
    <n v="20.55"/>
    <n v="20.04"/>
    <n v="20.350000000000001"/>
    <n v="5835140"/>
    <x v="543"/>
    <x v="2"/>
    <n v="-3.9158100832108805E-3"/>
  </r>
  <r>
    <d v="2017-12-05T00:00:00"/>
    <n v="20.13"/>
    <n v="20.53"/>
    <n v="20.07"/>
    <n v="20.25"/>
    <n v="4646520"/>
    <x v="544"/>
    <x v="2"/>
    <n v="5.9612518628912566E-3"/>
  </r>
  <r>
    <d v="2017-12-06T00:00:00"/>
    <n v="20.010000000000002"/>
    <n v="20.89"/>
    <n v="20"/>
    <n v="20.88"/>
    <n v="7195341"/>
    <x v="545"/>
    <x v="2"/>
    <n v="4.3478260869565084E-2"/>
  </r>
  <r>
    <d v="2017-12-07T00:00:00"/>
    <n v="20.8"/>
    <n v="21.24"/>
    <n v="20.74"/>
    <n v="20.75"/>
    <n v="4780597"/>
    <x v="546"/>
    <x v="2"/>
    <n v="-2.4038461538461878E-3"/>
  </r>
  <r>
    <d v="2017-12-08T00:00:00"/>
    <n v="20.97"/>
    <n v="21.13"/>
    <n v="20.75"/>
    <n v="21.01"/>
    <n v="3468458"/>
    <x v="547"/>
    <x v="2"/>
    <n v="1.9074868860277875E-3"/>
  </r>
  <r>
    <d v="2017-12-11T00:00:00"/>
    <n v="20.98"/>
    <n v="21.93"/>
    <n v="20.92"/>
    <n v="21.93"/>
    <n v="7937981"/>
    <x v="548"/>
    <x v="2"/>
    <n v="4.5281220209723513E-2"/>
  </r>
  <r>
    <d v="2017-12-12T00:00:00"/>
    <n v="22.03"/>
    <n v="22.76"/>
    <n v="22"/>
    <n v="22.74"/>
    <n v="8733199"/>
    <x v="549"/>
    <x v="2"/>
    <n v="3.2228778937811953E-2"/>
  </r>
  <r>
    <d v="2017-12-13T00:00:00"/>
    <n v="22.73"/>
    <n v="22.95"/>
    <n v="22.43"/>
    <n v="22.6"/>
    <n v="6221461"/>
    <x v="550"/>
    <x v="2"/>
    <n v="-5.719313682358073E-3"/>
  </r>
  <r>
    <d v="2017-12-14T00:00:00"/>
    <n v="22.73"/>
    <n v="23.16"/>
    <n v="22.46"/>
    <n v="22.53"/>
    <n v="5799916"/>
    <x v="551"/>
    <x v="2"/>
    <n v="-8.7989441267047643E-3"/>
  </r>
  <r>
    <d v="2017-12-15T00:00:00"/>
    <n v="22.8"/>
    <n v="22.93"/>
    <n v="22.38"/>
    <n v="22.9"/>
    <n v="6933199"/>
    <x v="552"/>
    <x v="2"/>
    <n v="4.3859649122806078E-3"/>
  </r>
  <r>
    <d v="2017-12-18T00:00:00"/>
    <n v="22.99"/>
    <n v="23.12"/>
    <n v="22.51"/>
    <n v="22.59"/>
    <n v="5476166"/>
    <x v="553"/>
    <x v="2"/>
    <n v="-1.7398869073510161E-2"/>
  </r>
  <r>
    <d v="2017-12-19T00:00:00"/>
    <n v="22.68"/>
    <n v="22.77"/>
    <n v="22.02"/>
    <n v="22.07"/>
    <n v="6824971"/>
    <x v="554"/>
    <x v="2"/>
    <n v="-2.6895943562610203E-2"/>
  </r>
  <r>
    <d v="2017-12-20T00:00:00"/>
    <n v="22.18"/>
    <n v="22.21"/>
    <n v="21.67"/>
    <n v="21.93"/>
    <n v="5953800"/>
    <x v="555"/>
    <x v="2"/>
    <n v="-1.1271415689810641E-2"/>
  </r>
  <r>
    <d v="2017-12-21T00:00:00"/>
    <n v="21.97"/>
    <n v="22.25"/>
    <n v="21.81"/>
    <n v="22.11"/>
    <n v="4385222"/>
    <x v="556"/>
    <x v="2"/>
    <n v="6.3723258989531444E-3"/>
  </r>
  <r>
    <d v="2017-12-22T00:00:00"/>
    <n v="21.97"/>
    <n v="22.06"/>
    <n v="21.65"/>
    <n v="21.68"/>
    <n v="4215807"/>
    <x v="557"/>
    <x v="2"/>
    <n v="-1.3199817933545707E-2"/>
  </r>
  <r>
    <d v="2017-12-26T00:00:00"/>
    <n v="21.59"/>
    <n v="21.6"/>
    <n v="21.11"/>
    <n v="21.15"/>
    <n v="4378413"/>
    <x v="558"/>
    <x v="2"/>
    <n v="-2.0379805465493343E-2"/>
  </r>
  <r>
    <d v="2017-12-27T00:00:00"/>
    <n v="21.07"/>
    <n v="21.18"/>
    <n v="20.72"/>
    <n v="20.78"/>
    <n v="4712111"/>
    <x v="559"/>
    <x v="2"/>
    <n v="-1.3763644992880833E-2"/>
  </r>
  <r>
    <d v="2017-12-28T00:00:00"/>
    <n v="20.78"/>
    <n v="21.05"/>
    <n v="20.64"/>
    <n v="21.02"/>
    <n v="4316347"/>
    <x v="560"/>
    <x v="2"/>
    <n v="1.1549566891241503E-2"/>
  </r>
  <r>
    <d v="2017-12-29T00:00:00"/>
    <n v="21.08"/>
    <n v="21.09"/>
    <n v="20.67"/>
    <n v="20.76"/>
    <n v="3777155"/>
    <x v="561"/>
    <x v="2"/>
    <n v="-1.5180265654648802E-2"/>
  </r>
  <r>
    <d v="2018-01-02T00:00:00"/>
    <n v="20.8"/>
    <n v="21.47"/>
    <n v="20.73"/>
    <n v="21.37"/>
    <n v="4352241"/>
    <x v="562"/>
    <x v="3"/>
    <n v="2.7403846153846168E-2"/>
  </r>
  <r>
    <d v="2018-01-03T00:00:00"/>
    <n v="21.4"/>
    <n v="21.68"/>
    <n v="21.04"/>
    <n v="21.15"/>
    <n v="4521527"/>
    <x v="563"/>
    <x v="3"/>
    <n v="-1.1682242990654207E-2"/>
  </r>
  <r>
    <d v="2018-01-04T00:00:00"/>
    <n v="20.86"/>
    <n v="21.24"/>
    <n v="20.38"/>
    <n v="20.97"/>
    <n v="9946304"/>
    <x v="564"/>
    <x v="3"/>
    <n v="5.2732502396931656E-3"/>
  </r>
  <r>
    <d v="2018-01-05T00:00:00"/>
    <n v="21.11"/>
    <n v="21.15"/>
    <n v="20.8"/>
    <n v="21.11"/>
    <n v="4591180"/>
    <x v="565"/>
    <x v="3"/>
    <n v="0"/>
  </r>
  <r>
    <d v="2018-01-08T00:00:00"/>
    <n v="21.07"/>
    <n v="22.47"/>
    <n v="21.03"/>
    <n v="22.43"/>
    <n v="9859435"/>
    <x v="566"/>
    <x v="3"/>
    <n v="6.4546748932130971E-2"/>
  </r>
  <r>
    <d v="2018-01-09T00:00:00"/>
    <n v="22.34"/>
    <n v="22.59"/>
    <n v="21.83"/>
    <n v="22.25"/>
    <n v="7146631"/>
    <x v="567"/>
    <x v="3"/>
    <n v="-4.0286481647269405E-3"/>
  </r>
  <r>
    <d v="2018-01-10T00:00:00"/>
    <n v="22.15"/>
    <n v="22.47"/>
    <n v="22"/>
    <n v="22.32"/>
    <n v="4309926"/>
    <x v="568"/>
    <x v="3"/>
    <n v="7.6749435665914995E-3"/>
  </r>
  <r>
    <d v="2018-01-11T00:00:00"/>
    <n v="22.35"/>
    <n v="22.99"/>
    <n v="22.22"/>
    <n v="22.53"/>
    <n v="6645484"/>
    <x v="569"/>
    <x v="3"/>
    <n v="8.0536912751677722E-3"/>
  </r>
  <r>
    <d v="2018-01-12T00:00:00"/>
    <n v="22.58"/>
    <n v="22.69"/>
    <n v="22.24"/>
    <n v="22.41"/>
    <n v="4825059"/>
    <x v="570"/>
    <x v="3"/>
    <n v="-7.5287865367581119E-3"/>
  </r>
  <r>
    <d v="2018-01-16T00:00:00"/>
    <n v="22.5"/>
    <n v="23"/>
    <n v="22.32"/>
    <n v="22.67"/>
    <n v="6474251"/>
    <x v="571"/>
    <x v="3"/>
    <n v="7.5555555555556313E-3"/>
  </r>
  <r>
    <d v="2018-01-17T00:00:00"/>
    <n v="22.7"/>
    <n v="23.27"/>
    <n v="22.65"/>
    <n v="23.14"/>
    <n v="7103505"/>
    <x v="572"/>
    <x v="3"/>
    <n v="1.9383259911894331E-2"/>
  </r>
  <r>
    <d v="2018-01-18T00:00:00"/>
    <n v="23.04"/>
    <n v="23.49"/>
    <n v="22.92"/>
    <n v="22.97"/>
    <n v="5685845"/>
    <x v="573"/>
    <x v="3"/>
    <n v="-3.0381944444444571E-3"/>
  </r>
  <r>
    <d v="2018-01-19T00:00:00"/>
    <n v="23"/>
    <n v="23.37"/>
    <n v="22.84"/>
    <n v="23.33"/>
    <n v="4888303"/>
    <x v="574"/>
    <x v="3"/>
    <n v="1.4347826086956448E-2"/>
  </r>
  <r>
    <d v="2018-01-22T00:00:00"/>
    <n v="23.29"/>
    <n v="23.86"/>
    <n v="23.28"/>
    <n v="23.44"/>
    <n v="6210360"/>
    <x v="575"/>
    <x v="3"/>
    <n v="6.4405324173465927E-3"/>
  </r>
  <r>
    <d v="2018-01-23T00:00:00"/>
    <n v="24"/>
    <n v="24.03"/>
    <n v="23.4"/>
    <n v="23.52"/>
    <n v="5465414"/>
    <x v="576"/>
    <x v="3"/>
    <n v="-2.0000000000000018E-2"/>
  </r>
  <r>
    <d v="2018-01-24T00:00:00"/>
    <n v="23.64"/>
    <n v="23.65"/>
    <n v="22.9"/>
    <n v="23.06"/>
    <n v="5287478"/>
    <x v="577"/>
    <x v="3"/>
    <n v="-2.4534686971235273E-2"/>
  </r>
  <r>
    <d v="2018-01-25T00:00:00"/>
    <n v="23.22"/>
    <n v="23.28"/>
    <n v="22.43"/>
    <n v="22.51"/>
    <n v="6740303"/>
    <x v="578"/>
    <x v="3"/>
    <n v="-3.0577088716623485E-2"/>
  </r>
  <r>
    <d v="2018-01-26T00:00:00"/>
    <n v="22.77"/>
    <n v="22.93"/>
    <n v="22.38"/>
    <n v="22.86"/>
    <n v="4539356"/>
    <x v="579"/>
    <x v="3"/>
    <n v="3.952569169960468E-3"/>
  </r>
  <r>
    <d v="2018-01-29T00:00:00"/>
    <n v="22.66"/>
    <n v="23.39"/>
    <n v="22.55"/>
    <n v="23.3"/>
    <n v="4747149"/>
    <x v="580"/>
    <x v="3"/>
    <n v="2.8243601059135065E-2"/>
  </r>
  <r>
    <d v="2018-01-30T00:00:00"/>
    <n v="23.01"/>
    <n v="23.22"/>
    <n v="22.81"/>
    <n v="23.05"/>
    <n v="4717700"/>
    <x v="581"/>
    <x v="3"/>
    <n v="1.7383746197305147E-3"/>
  </r>
  <r>
    <d v="2018-01-31T00:00:00"/>
    <n v="23.17"/>
    <n v="23.75"/>
    <n v="23.01"/>
    <n v="23.62"/>
    <n v="6214069"/>
    <x v="582"/>
    <x v="3"/>
    <n v="1.9421665947345675E-2"/>
  </r>
  <r>
    <d v="2018-02-01T00:00:00"/>
    <n v="23.4"/>
    <n v="23.98"/>
    <n v="23.24"/>
    <n v="23.28"/>
    <n v="4197687"/>
    <x v="583"/>
    <x v="3"/>
    <n v="-5.1282051282050189E-3"/>
  </r>
  <r>
    <d v="2018-02-02T00:00:00"/>
    <n v="23.23"/>
    <n v="23.46"/>
    <n v="22.7"/>
    <n v="22.92"/>
    <n v="3704836"/>
    <x v="584"/>
    <x v="3"/>
    <n v="-1.3344812742143724E-2"/>
  </r>
  <r>
    <d v="2018-02-05T00:00:00"/>
    <n v="22.53"/>
    <n v="22.96"/>
    <n v="22.2"/>
    <n v="22.21"/>
    <n v="4464147"/>
    <x v="585"/>
    <x v="3"/>
    <n v="-1.4203284509542844E-2"/>
  </r>
  <r>
    <d v="2018-02-06T00:00:00"/>
    <n v="21.68"/>
    <n v="22.41"/>
    <n v="21.57"/>
    <n v="22.26"/>
    <n v="5088438"/>
    <x v="586"/>
    <x v="3"/>
    <n v="2.6752767527675362E-2"/>
  </r>
  <r>
    <d v="2018-02-07T00:00:00"/>
    <n v="22.6"/>
    <n v="23.07"/>
    <n v="22.38"/>
    <n v="23"/>
    <n v="6969239"/>
    <x v="587"/>
    <x v="3"/>
    <n v="1.7699115044247725E-2"/>
  </r>
  <r>
    <d v="2018-02-08T00:00:00"/>
    <n v="22.89"/>
    <n v="23.24"/>
    <n v="20.97"/>
    <n v="21.02"/>
    <n v="10314573"/>
    <x v="588"/>
    <x v="3"/>
    <n v="-8.1695063346439528E-2"/>
  </r>
  <r>
    <d v="2018-02-09T00:00:00"/>
    <n v="21.33"/>
    <n v="21.4"/>
    <n v="19.649999999999999"/>
    <n v="20.69"/>
    <n v="12933721"/>
    <x v="589"/>
    <x v="3"/>
    <n v="-3.0004688232536197E-2"/>
  </r>
  <r>
    <d v="2018-02-12T00:00:00"/>
    <n v="21.08"/>
    <n v="21.21"/>
    <n v="20.420000000000002"/>
    <n v="21.05"/>
    <n v="6227822"/>
    <x v="590"/>
    <x v="3"/>
    <n v="-1.4231499051232251E-3"/>
  </r>
  <r>
    <d v="2018-02-13T00:00:00"/>
    <n v="21"/>
    <n v="21.61"/>
    <n v="20.83"/>
    <n v="21.58"/>
    <n v="4560231"/>
    <x v="591"/>
    <x v="3"/>
    <n v="2.7619047619047536E-2"/>
  </r>
  <r>
    <d v="2018-02-14T00:00:00"/>
    <n v="21.39"/>
    <n v="21.74"/>
    <n v="21.23"/>
    <n v="21.49"/>
    <n v="3950743"/>
    <x v="592"/>
    <x v="3"/>
    <n v="4.6750818139316436E-3"/>
  </r>
  <r>
    <d v="2018-02-15T00:00:00"/>
    <n v="21.63"/>
    <n v="22.27"/>
    <n v="21.49"/>
    <n v="22.27"/>
    <n v="5912917"/>
    <x v="593"/>
    <x v="3"/>
    <n v="2.9588534442903401E-2"/>
  </r>
  <r>
    <d v="2018-02-16T00:00:00"/>
    <n v="22.17"/>
    <n v="22.87"/>
    <n v="22.11"/>
    <n v="22.37"/>
    <n v="5642637"/>
    <x v="594"/>
    <x v="3"/>
    <n v="9.0211998195759702E-3"/>
  </r>
  <r>
    <d v="2018-02-20T00:00:00"/>
    <n v="22.3"/>
    <n v="22.72"/>
    <n v="22.1"/>
    <n v="22.32"/>
    <n v="4009435"/>
    <x v="595"/>
    <x v="3"/>
    <n v="8.9686098654706602E-4"/>
  </r>
  <r>
    <d v="2018-02-21T00:00:00"/>
    <n v="22.4"/>
    <n v="22.65"/>
    <n v="22.21"/>
    <n v="22.22"/>
    <n v="3219649"/>
    <x v="596"/>
    <x v="3"/>
    <n v="-8.0357142857142728E-3"/>
  </r>
  <r>
    <d v="2018-02-22T00:00:00"/>
    <n v="22.37"/>
    <n v="23.16"/>
    <n v="22.32"/>
    <n v="23.08"/>
    <n v="6969808"/>
    <x v="597"/>
    <x v="3"/>
    <n v="3.1738936075100456E-2"/>
  </r>
  <r>
    <d v="2018-02-23T00:00:00"/>
    <n v="23.19"/>
    <n v="23.67"/>
    <n v="23.14"/>
    <n v="23.47"/>
    <n v="5817387"/>
    <x v="598"/>
    <x v="3"/>
    <n v="1.2074169900819214E-2"/>
  </r>
  <r>
    <d v="2018-02-26T00:00:00"/>
    <n v="23.57"/>
    <n v="23.93"/>
    <n v="23.49"/>
    <n v="23.83"/>
    <n v="4339985"/>
    <x v="599"/>
    <x v="3"/>
    <n v="1.1030971574034706E-2"/>
  </r>
  <r>
    <d v="2018-02-27T00:00:00"/>
    <n v="23.75"/>
    <n v="24"/>
    <n v="23.33"/>
    <n v="23.4"/>
    <n v="4797419"/>
    <x v="600"/>
    <x v="3"/>
    <n v="-1.4736842105263218E-2"/>
  </r>
  <r>
    <d v="2018-02-28T00:00:00"/>
    <n v="23.5"/>
    <n v="23.68"/>
    <n v="22.81"/>
    <n v="22.87"/>
    <n v="6069658"/>
    <x v="601"/>
    <x v="3"/>
    <n v="-2.6808510638297828E-2"/>
  </r>
  <r>
    <d v="2018-03-01T00:00:00"/>
    <n v="23"/>
    <n v="23.24"/>
    <n v="22"/>
    <n v="22.06"/>
    <n v="6885601"/>
    <x v="602"/>
    <x v="3"/>
    <n v="-4.0869565217391358E-2"/>
  </r>
  <r>
    <d v="2018-03-02T00:00:00"/>
    <n v="21.8"/>
    <n v="22.35"/>
    <n v="21.53"/>
    <n v="22.34"/>
    <n v="5092829"/>
    <x v="603"/>
    <x v="3"/>
    <n v="2.4770642201834822E-2"/>
  </r>
  <r>
    <d v="2018-03-05T00:00:00"/>
    <n v="22.16"/>
    <n v="22.52"/>
    <n v="21.95"/>
    <n v="22.22"/>
    <n v="3823769"/>
    <x v="604"/>
    <x v="3"/>
    <n v="2.7075812274367653E-3"/>
  </r>
  <r>
    <d v="2018-03-06T00:00:00"/>
    <n v="22.25"/>
    <n v="22.42"/>
    <n v="21.8"/>
    <n v="21.88"/>
    <n v="4285744"/>
    <x v="605"/>
    <x v="3"/>
    <n v="-1.6629213483146114E-2"/>
  </r>
  <r>
    <d v="2018-03-07T00:00:00"/>
    <n v="21.7"/>
    <n v="22.17"/>
    <n v="21.45"/>
    <n v="22.15"/>
    <n v="5007297"/>
    <x v="606"/>
    <x v="3"/>
    <n v="2.0737327188940061E-2"/>
  </r>
  <r>
    <d v="2018-03-08T00:00:00"/>
    <n v="22.19"/>
    <n v="22.22"/>
    <n v="21.75"/>
    <n v="21.94"/>
    <n v="3566244"/>
    <x v="607"/>
    <x v="3"/>
    <n v="-1.1266336187471833E-2"/>
  </r>
  <r>
    <d v="2018-03-09T00:00:00"/>
    <n v="21.61"/>
    <n v="21.9"/>
    <n v="21.49"/>
    <n v="21.81"/>
    <n v="5506764"/>
    <x v="608"/>
    <x v="3"/>
    <n v="9.2549745488199574E-3"/>
  </r>
  <r>
    <d v="2018-03-12T00:00:00"/>
    <n v="21.91"/>
    <n v="23.15"/>
    <n v="21.77"/>
    <n v="23.03"/>
    <n v="8264035"/>
    <x v="609"/>
    <x v="3"/>
    <n v="5.1118210862619855E-2"/>
  </r>
  <r>
    <d v="2018-03-13T00:00:00"/>
    <n v="22.99"/>
    <n v="23.01"/>
    <n v="22.42"/>
    <n v="22.79"/>
    <n v="5965805"/>
    <x v="610"/>
    <x v="3"/>
    <n v="-8.6994345367550803E-3"/>
  </r>
  <r>
    <d v="2018-03-14T00:00:00"/>
    <n v="22.45"/>
    <n v="22.65"/>
    <n v="21.6"/>
    <n v="21.78"/>
    <n v="7967370"/>
    <x v="611"/>
    <x v="3"/>
    <n v="-2.9844097995545577E-2"/>
  </r>
  <r>
    <d v="2018-03-15T00:00:00"/>
    <n v="21.96"/>
    <n v="22.19"/>
    <n v="21.41"/>
    <n v="21.71"/>
    <n v="6564801"/>
    <x v="612"/>
    <x v="3"/>
    <n v="-1.1384335154826957E-2"/>
  </r>
  <r>
    <d v="2018-03-16T00:00:00"/>
    <n v="21.73"/>
    <n v="21.83"/>
    <n v="21.27"/>
    <n v="21.42"/>
    <n v="6117279"/>
    <x v="613"/>
    <x v="3"/>
    <n v="-1.426599171652088E-2"/>
  </r>
  <r>
    <d v="2018-03-19T00:00:00"/>
    <n v="21.1"/>
    <n v="21.38"/>
    <n v="20.64"/>
    <n v="20.9"/>
    <n v="7484294"/>
    <x v="614"/>
    <x v="3"/>
    <n v="-9.4786729857821248E-3"/>
  </r>
  <r>
    <d v="2018-03-20T00:00:00"/>
    <n v="20.99"/>
    <n v="21.08"/>
    <n v="20.58"/>
    <n v="20.7"/>
    <n v="4764293"/>
    <x v="615"/>
    <x v="3"/>
    <n v="-1.3816102906145744E-2"/>
  </r>
  <r>
    <d v="2018-03-21T00:00:00"/>
    <n v="20.68"/>
    <n v="21.5"/>
    <n v="20.68"/>
    <n v="21.1"/>
    <n v="5958411"/>
    <x v="616"/>
    <x v="3"/>
    <n v="2.0309477756286349E-2"/>
  </r>
  <r>
    <d v="2018-03-22T00:00:00"/>
    <n v="20.93"/>
    <n v="21.25"/>
    <n v="20.55"/>
    <n v="20.61"/>
    <n v="4939771"/>
    <x v="617"/>
    <x v="3"/>
    <n v="-1.528905876731965E-2"/>
  </r>
  <r>
    <d v="2018-03-23T00:00:00"/>
    <n v="20.75"/>
    <n v="20.77"/>
    <n v="20.03"/>
    <n v="20.100000000000001"/>
    <n v="6654899"/>
    <x v="618"/>
    <x v="3"/>
    <n v="-3.132530120481921E-2"/>
  </r>
  <r>
    <d v="2018-03-26T00:00:00"/>
    <n v="20.49"/>
    <n v="20.51"/>
    <n v="19.420000000000002"/>
    <n v="20.28"/>
    <n v="8375175"/>
    <x v="619"/>
    <x v="3"/>
    <n v="-1.0248901903367365E-2"/>
  </r>
  <r>
    <d v="2018-03-27T00:00:00"/>
    <n v="20.27"/>
    <n v="20.28"/>
    <n v="18.48"/>
    <n v="18.61"/>
    <n v="13872029"/>
    <x v="620"/>
    <x v="3"/>
    <n v="-8.1894425259003464E-2"/>
  </r>
  <r>
    <d v="2018-03-28T00:00:00"/>
    <n v="17.64"/>
    <n v="17.91"/>
    <n v="16.809999999999999"/>
    <n v="17.190000000000001"/>
    <n v="21001437"/>
    <x v="621"/>
    <x v="3"/>
    <n v="-2.5510204081632612E-2"/>
  </r>
  <r>
    <d v="2018-03-29T00:00:00"/>
    <n v="17.100000000000001"/>
    <n v="18.059999999999999"/>
    <n v="16.55"/>
    <n v="17.739999999999998"/>
    <n v="15170749"/>
    <x v="622"/>
    <x v="3"/>
    <n v="3.7426900584795142E-2"/>
  </r>
  <r>
    <d v="2018-04-02T00:00:00"/>
    <n v="17.079999999999998"/>
    <n v="17.36"/>
    <n v="16.309999999999999"/>
    <n v="16.829999999999998"/>
    <n v="16113968"/>
    <x v="623"/>
    <x v="3"/>
    <n v="-1.4637002341920375E-2"/>
  </r>
  <r>
    <d v="2018-04-03T00:00:00"/>
    <n v="17.989999999999998"/>
    <n v="18.22"/>
    <n v="16.97"/>
    <n v="17.84"/>
    <n v="18844384"/>
    <x v="624"/>
    <x v="3"/>
    <n v="-8.337965536409038E-3"/>
  </r>
  <r>
    <d v="2018-04-04T00:00:00"/>
    <n v="16.850000000000001"/>
    <n v="19.22"/>
    <n v="16.8"/>
    <n v="19.13"/>
    <n v="19896746"/>
    <x v="625"/>
    <x v="3"/>
    <n v="0.13531157270029659"/>
  </r>
  <r>
    <d v="2018-04-05T00:00:00"/>
    <n v="19.29"/>
    <n v="20.420000000000002"/>
    <n v="19.21"/>
    <n v="20.38"/>
    <n v="19121101"/>
    <x v="626"/>
    <x v="3"/>
    <n v="5.6505961638154481E-2"/>
  </r>
  <r>
    <d v="2018-04-06T00:00:00"/>
    <n v="20.07"/>
    <n v="20.62"/>
    <n v="19.7"/>
    <n v="19.95"/>
    <n v="13520286"/>
    <x v="627"/>
    <x v="3"/>
    <n v="-5.9790732436472843E-3"/>
  </r>
  <r>
    <d v="2018-04-09T00:00:00"/>
    <n v="20.02"/>
    <n v="20.63"/>
    <n v="19.28"/>
    <n v="19.309999999999999"/>
    <n v="10249805"/>
    <x v="628"/>
    <x v="3"/>
    <n v="-3.5464535464535506E-2"/>
  </r>
  <r>
    <d v="2018-04-10T00:00:00"/>
    <n v="19.93"/>
    <n v="20.47"/>
    <n v="19.579999999999998"/>
    <n v="20.309999999999999"/>
    <n v="11024259"/>
    <x v="629"/>
    <x v="3"/>
    <n v="1.9066733567486151E-2"/>
  </r>
  <r>
    <d v="2018-04-11T00:00:00"/>
    <n v="20.05"/>
    <n v="20.6"/>
    <n v="19.98"/>
    <n v="20.059999999999999"/>
    <n v="7482945"/>
    <x v="630"/>
    <x v="3"/>
    <n v="4.987531172068833E-4"/>
  </r>
  <r>
    <d v="2018-04-12T00:00:00"/>
    <n v="20.149999999999999"/>
    <n v="20.260000000000002"/>
    <n v="19.579999999999998"/>
    <n v="19.61"/>
    <n v="7608769"/>
    <x v="631"/>
    <x v="3"/>
    <n v="-2.6799007444168695E-2"/>
  </r>
  <r>
    <d v="2018-04-13T00:00:00"/>
    <n v="20.239999999999998"/>
    <n v="20.260000000000002"/>
    <n v="19.73"/>
    <n v="20.02"/>
    <n v="7327223"/>
    <x v="632"/>
    <x v="3"/>
    <n v="-1.0869565217391249E-2"/>
  </r>
  <r>
    <d v="2018-04-16T00:00:00"/>
    <n v="19.93"/>
    <n v="19.98"/>
    <n v="19.27"/>
    <n v="19.41"/>
    <n v="6338488"/>
    <x v="633"/>
    <x v="3"/>
    <n v="-2.6091319618665308E-2"/>
  </r>
  <r>
    <d v="2018-04-17T00:00:00"/>
    <n v="19.260000000000002"/>
    <n v="19.48"/>
    <n v="18.829999999999998"/>
    <n v="19.18"/>
    <n v="7000023"/>
    <x v="634"/>
    <x v="3"/>
    <n v="-4.1536863966771462E-3"/>
  </r>
  <r>
    <d v="2018-04-18T00:00:00"/>
    <n v="19.41"/>
    <n v="20.02"/>
    <n v="19.21"/>
    <n v="19.559999999999999"/>
    <n v="6557700"/>
    <x v="635"/>
    <x v="3"/>
    <n v="7.7279752704790608E-3"/>
  </r>
  <r>
    <d v="2018-04-19T00:00:00"/>
    <n v="19.41"/>
    <n v="20.07"/>
    <n v="19.239999999999998"/>
    <n v="20.010000000000002"/>
    <n v="6090599"/>
    <x v="636"/>
    <x v="3"/>
    <n v="3.0911901081916611E-2"/>
  </r>
  <r>
    <d v="2018-04-20T00:00:00"/>
    <n v="19.68"/>
    <n v="20"/>
    <n v="19.32"/>
    <n v="19.350000000000001"/>
    <n v="5627928"/>
    <x v="637"/>
    <x v="3"/>
    <n v="-1.6768292682926744E-2"/>
  </r>
  <r>
    <d v="2018-04-23T00:00:00"/>
    <n v="19.420000000000002"/>
    <n v="19.440000000000001"/>
    <n v="18.82"/>
    <n v="18.89"/>
    <n v="4893378"/>
    <x v="638"/>
    <x v="3"/>
    <n v="-2.7291452111225595E-2"/>
  </r>
  <r>
    <d v="2018-04-24T00:00:00"/>
    <n v="19"/>
    <n v="19.14"/>
    <n v="18.559999999999999"/>
    <n v="18.899999999999999"/>
    <n v="5685308"/>
    <x v="639"/>
    <x v="3"/>
    <n v="-5.2631578947369166E-3"/>
  </r>
  <r>
    <d v="2018-04-25T00:00:00"/>
    <n v="18.899999999999999"/>
    <n v="19.010000000000002"/>
    <n v="18.48"/>
    <n v="18.71"/>
    <n v="4013574"/>
    <x v="640"/>
    <x v="3"/>
    <n v="-1.0052910052909933E-2"/>
  </r>
  <r>
    <d v="2018-04-26T00:00:00"/>
    <n v="18.579999999999998"/>
    <n v="19.05"/>
    <n v="18.43"/>
    <n v="19.03"/>
    <n v="4356013"/>
    <x v="641"/>
    <x v="3"/>
    <n v="2.4219590958019531E-2"/>
  </r>
  <r>
    <d v="2018-04-27T00:00:00"/>
    <n v="19.02"/>
    <n v="19.63"/>
    <n v="18.920000000000002"/>
    <n v="19.61"/>
    <n v="4364626"/>
    <x v="642"/>
    <x v="3"/>
    <n v="3.1019978969505778E-2"/>
  </r>
  <r>
    <d v="2018-04-30T00:00:00"/>
    <n v="19.57"/>
    <n v="19.920000000000002"/>
    <n v="19.5"/>
    <n v="19.59"/>
    <n v="4228172"/>
    <x v="643"/>
    <x v="3"/>
    <n v="1.0219724067449961E-3"/>
  </r>
  <r>
    <d v="2018-05-01T00:00:00"/>
    <n v="19.57"/>
    <n v="20.05"/>
    <n v="19.55"/>
    <n v="19.989999999999998"/>
    <n v="4625603"/>
    <x v="644"/>
    <x v="3"/>
    <n v="2.1461420541645283E-2"/>
  </r>
  <r>
    <d v="2018-05-02T00:00:00"/>
    <n v="19.899999999999999"/>
    <n v="20.46"/>
    <n v="19.850000000000001"/>
    <n v="20.079999999999998"/>
    <n v="8970370"/>
    <x v="645"/>
    <x v="3"/>
    <n v="9.0452261306532521E-3"/>
  </r>
  <r>
    <d v="2018-05-03T00:00:00"/>
    <n v="18.59"/>
    <n v="19.2"/>
    <n v="18.350000000000001"/>
    <n v="18.96"/>
    <n v="17352130"/>
    <x v="646"/>
    <x v="3"/>
    <n v="1.9903173749327648E-2"/>
  </r>
  <r>
    <d v="2018-05-04T00:00:00"/>
    <n v="18.87"/>
    <n v="19.79"/>
    <n v="18.63"/>
    <n v="19.61"/>
    <n v="8569354"/>
    <x v="647"/>
    <x v="3"/>
    <n v="3.921568627450972E-2"/>
  </r>
  <r>
    <d v="2018-05-07T00:00:00"/>
    <n v="19.829999999999998"/>
    <n v="20.399999999999999"/>
    <n v="19.68"/>
    <n v="20.18"/>
    <n v="8678224"/>
    <x v="648"/>
    <x v="3"/>
    <n v="1.7650025214321807E-2"/>
  </r>
  <r>
    <d v="2018-05-08T00:00:00"/>
    <n v="20.05"/>
    <n v="20.52"/>
    <n v="19.93"/>
    <n v="20.13"/>
    <n v="5930000"/>
    <x v="649"/>
    <x v="3"/>
    <n v="3.9900249376557751E-3"/>
  </r>
  <r>
    <d v="2018-05-09T00:00:00"/>
    <n v="20.03"/>
    <n v="20.47"/>
    <n v="20"/>
    <n v="20.46"/>
    <n v="5727365"/>
    <x v="650"/>
    <x v="3"/>
    <n v="2.1467798302546165E-2"/>
  </r>
  <r>
    <d v="2018-05-10T00:00:00"/>
    <n v="20.5"/>
    <n v="20.87"/>
    <n v="20.27"/>
    <n v="20.329999999999998"/>
    <n v="5651561"/>
    <x v="651"/>
    <x v="3"/>
    <n v="-8.292682926829352E-3"/>
  </r>
  <r>
    <d v="2018-05-11T00:00:00"/>
    <n v="20.51"/>
    <n v="20.59"/>
    <n v="19.940000000000001"/>
    <n v="20.07"/>
    <n v="4679649"/>
    <x v="652"/>
    <x v="3"/>
    <n v="-2.1452949780594893E-2"/>
  </r>
  <r>
    <d v="2018-05-14T00:00:00"/>
    <n v="20.22"/>
    <n v="20.329999999999998"/>
    <n v="19.440000000000001"/>
    <n v="19.46"/>
    <n v="7286804"/>
    <x v="653"/>
    <x v="3"/>
    <n v="-3.7586547972304554E-2"/>
  </r>
  <r>
    <d v="2018-05-15T00:00:00"/>
    <n v="19"/>
    <n v="19.13"/>
    <n v="18.7"/>
    <n v="18.95"/>
    <n v="9519173"/>
    <x v="654"/>
    <x v="3"/>
    <n v="-2.6315789473684583E-3"/>
  </r>
  <r>
    <d v="2018-05-16T00:00:00"/>
    <n v="18.920000000000002"/>
    <n v="19.25"/>
    <n v="18.77"/>
    <n v="19.100000000000001"/>
    <n v="5674019"/>
    <x v="655"/>
    <x v="3"/>
    <n v="9.5137420718815913E-3"/>
  </r>
  <r>
    <d v="2018-05-17T00:00:00"/>
    <n v="19.059999999999999"/>
    <n v="19.28"/>
    <n v="18.93"/>
    <n v="18.97"/>
    <n v="4420612"/>
    <x v="168"/>
    <x v="3"/>
    <n v="-4.7219307450157323E-3"/>
  </r>
  <r>
    <d v="2018-05-18T00:00:00"/>
    <n v="19.059999999999999"/>
    <n v="19.28"/>
    <n v="18.93"/>
    <n v="18.97"/>
    <n v="27062"/>
    <x v="168"/>
    <x v="3"/>
    <n v="-4.7219307450157323E-3"/>
  </r>
  <r>
    <d v="2018-05-21T00:00:00"/>
    <n v="18.760000000000002"/>
    <n v="19.43"/>
    <n v="18.75"/>
    <n v="18.97"/>
    <n v="9182571"/>
    <x v="656"/>
    <x v="3"/>
    <n v="1.1194029850746124E-2"/>
  </r>
  <r>
    <d v="2018-05-22T00:00:00"/>
    <n v="19.18"/>
    <n v="19.2"/>
    <n v="18.23"/>
    <n v="18.329999999999998"/>
    <n v="8945756"/>
    <x v="657"/>
    <x v="3"/>
    <n v="-4.4316996871741475E-2"/>
  </r>
  <r>
    <d v="2018-05-23T00:00:00"/>
    <n v="18.52"/>
    <n v="18.66"/>
    <n v="18.27"/>
    <n v="18.600000000000001"/>
    <n v="5985053"/>
    <x v="658"/>
    <x v="3"/>
    <n v="4.3196544276458883E-3"/>
  </r>
  <r>
    <d v="2018-05-24T00:00:00"/>
    <n v="18.559999999999999"/>
    <n v="18.739999999999998"/>
    <n v="18.329999999999998"/>
    <n v="18.52"/>
    <n v="4176708"/>
    <x v="659"/>
    <x v="3"/>
    <n v="-2.1551724137930574E-3"/>
  </r>
  <r>
    <d v="2018-05-25T00:00:00"/>
    <n v="18.510000000000002"/>
    <n v="18.64"/>
    <n v="18.37"/>
    <n v="18.59"/>
    <n v="3875082"/>
    <x v="660"/>
    <x v="3"/>
    <n v="4.3219881145325923E-3"/>
  </r>
  <r>
    <d v="2018-05-29T00:00:00"/>
    <n v="18.57"/>
    <n v="19.100000000000001"/>
    <n v="18.41"/>
    <n v="18.920000000000002"/>
    <n v="5666640"/>
    <x v="661"/>
    <x v="3"/>
    <n v="1.8847603661820218E-2"/>
  </r>
  <r>
    <d v="2018-05-30T00:00:00"/>
    <n v="18.89"/>
    <n v="19.670000000000002"/>
    <n v="18.77"/>
    <n v="19.45"/>
    <n v="7489686"/>
    <x v="662"/>
    <x v="3"/>
    <n v="2.9645314981471608E-2"/>
  </r>
  <r>
    <d v="2018-05-31T00:00:00"/>
    <n v="19.149999999999999"/>
    <n v="19.36"/>
    <n v="18.86"/>
    <n v="18.98"/>
    <n v="5919721"/>
    <x v="663"/>
    <x v="3"/>
    <n v="-8.877284595300166E-3"/>
  </r>
  <r>
    <d v="2018-06-01T00:00:00"/>
    <n v="19.059999999999999"/>
    <n v="19.46"/>
    <n v="18.920000000000002"/>
    <n v="19.45"/>
    <n v="5424386"/>
    <x v="664"/>
    <x v="3"/>
    <n v="2.0461699895068238E-2"/>
  </r>
  <r>
    <d v="2018-06-04T00:00:00"/>
    <n v="19.62"/>
    <n v="19.93"/>
    <n v="19.57"/>
    <n v="19.78"/>
    <n v="4797810"/>
    <x v="665"/>
    <x v="3"/>
    <n v="8.1549439347604561E-3"/>
  </r>
  <r>
    <d v="2018-06-05T00:00:00"/>
    <n v="19.850000000000001"/>
    <n v="19.850000000000001"/>
    <n v="19.12"/>
    <n v="19.41"/>
    <n v="5995157"/>
    <x v="666"/>
    <x v="3"/>
    <n v="-2.2166246851385452E-2"/>
  </r>
  <r>
    <d v="2018-06-06T00:00:00"/>
    <n v="20.03"/>
    <n v="21.48"/>
    <n v="19.829999999999998"/>
    <n v="21.3"/>
    <n v="18767269"/>
    <x v="667"/>
    <x v="3"/>
    <n v="6.3404892661008461E-2"/>
  </r>
  <r>
    <d v="2018-06-07T00:00:00"/>
    <n v="21.08"/>
    <n v="22"/>
    <n v="20.91"/>
    <n v="21.07"/>
    <n v="14345271"/>
    <x v="668"/>
    <x v="3"/>
    <n v="-4.7438330170768557E-4"/>
  </r>
  <r>
    <d v="2018-06-08T00:00:00"/>
    <n v="21.27"/>
    <n v="21.63"/>
    <n v="21.14"/>
    <n v="21.18"/>
    <n v="8205202"/>
    <x v="669"/>
    <x v="3"/>
    <n v="-4.2313117066290484E-3"/>
  </r>
  <r>
    <d v="2018-06-11T00:00:00"/>
    <n v="21.5"/>
    <n v="22.31"/>
    <n v="21.5"/>
    <n v="22.14"/>
    <n v="13183473"/>
    <x v="670"/>
    <x v="3"/>
    <n v="2.9767441860465142E-2"/>
  </r>
  <r>
    <d v="2018-06-12T00:00:00"/>
    <n v="22.98"/>
    <n v="23.66"/>
    <n v="22.53"/>
    <n v="22.85"/>
    <n v="22347403"/>
    <x v="671"/>
    <x v="3"/>
    <n v="-5.6570931244560056E-3"/>
  </r>
  <r>
    <d v="2018-06-13T00:00:00"/>
    <n v="23.11"/>
    <n v="23.15"/>
    <n v="22.65"/>
    <n v="22.99"/>
    <n v="9469804"/>
    <x v="672"/>
    <x v="3"/>
    <n v="-5.1925573344872777E-3"/>
  </r>
  <r>
    <d v="2018-06-14T00:00:00"/>
    <n v="23.18"/>
    <n v="23.92"/>
    <n v="23.11"/>
    <n v="23.85"/>
    <n v="10981023"/>
    <x v="673"/>
    <x v="3"/>
    <n v="2.8904227782571255E-2"/>
  </r>
  <r>
    <d v="2018-06-15T00:00:00"/>
    <n v="23.59"/>
    <n v="24.31"/>
    <n v="23.42"/>
    <n v="23.88"/>
    <n v="10848254"/>
    <x v="674"/>
    <x v="3"/>
    <n v="1.2293344637558252E-2"/>
  </r>
  <r>
    <d v="2018-06-18T00:00:00"/>
    <n v="23.69"/>
    <n v="24.92"/>
    <n v="23.63"/>
    <n v="24.72"/>
    <n v="12073226"/>
    <x v="675"/>
    <x v="3"/>
    <n v="4.3478260869565112E-2"/>
  </r>
  <r>
    <d v="2018-06-19T00:00:00"/>
    <n v="24.34"/>
    <n v="24.67"/>
    <n v="23.08"/>
    <n v="23.5"/>
    <n v="12761903"/>
    <x v="676"/>
    <x v="3"/>
    <n v="-3.4511092851273621E-2"/>
  </r>
  <r>
    <d v="2018-06-20T00:00:00"/>
    <n v="23.87"/>
    <n v="24.29"/>
    <n v="23.47"/>
    <n v="24.15"/>
    <n v="8383656"/>
    <x v="677"/>
    <x v="3"/>
    <n v="1.1730205278592273E-2"/>
  </r>
  <r>
    <d v="2018-06-21T00:00:00"/>
    <n v="24.13"/>
    <n v="24.41"/>
    <n v="23.08"/>
    <n v="23.17"/>
    <n v="7967145"/>
    <x v="678"/>
    <x v="3"/>
    <n v="-3.9784500621632711E-2"/>
  </r>
  <r>
    <d v="2018-06-22T00:00:00"/>
    <n v="23.44"/>
    <n v="23.48"/>
    <n v="22.13"/>
    <n v="22.24"/>
    <n v="10266059"/>
    <x v="679"/>
    <x v="3"/>
    <n v="-5.1194539249146874E-2"/>
  </r>
  <r>
    <d v="2018-06-25T00:00:00"/>
    <n v="22.01"/>
    <n v="22.56"/>
    <n v="21.83"/>
    <n v="22.2"/>
    <n v="6931304"/>
    <x v="680"/>
    <x v="3"/>
    <n v="8.6324398000907632E-3"/>
  </r>
  <r>
    <d v="2018-06-26T00:00:00"/>
    <n v="22.4"/>
    <n v="22.9"/>
    <n v="21.72"/>
    <n v="22.8"/>
    <n v="7452487"/>
    <x v="681"/>
    <x v="3"/>
    <n v="1.7857142857142953E-2"/>
  </r>
  <r>
    <d v="2018-06-27T00:00:00"/>
    <n v="23"/>
    <n v="23.39"/>
    <n v="22.63"/>
    <n v="22.97"/>
    <n v="8333727"/>
    <x v="573"/>
    <x v="3"/>
    <n v="-1.3043478260870058E-3"/>
  </r>
  <r>
    <d v="2018-06-28T00:00:00"/>
    <n v="23.24"/>
    <n v="23.8"/>
    <n v="23.07"/>
    <n v="23.33"/>
    <n v="8398005"/>
    <x v="682"/>
    <x v="3"/>
    <n v="3.8726333907056739E-3"/>
  </r>
  <r>
    <d v="2018-06-29T00:00:00"/>
    <n v="23.56"/>
    <n v="23.59"/>
    <n v="22.83"/>
    <n v="22.86"/>
    <n v="6492396"/>
    <x v="683"/>
    <x v="3"/>
    <n v="-2.971137521222408E-2"/>
  </r>
  <r>
    <d v="2018-07-02T00:00:00"/>
    <n v="24"/>
    <n v="24.32"/>
    <n v="21.99"/>
    <n v="22.34"/>
    <n v="18759765"/>
    <x v="684"/>
    <x v="3"/>
    <n v="-6.9166666666666668E-2"/>
  </r>
  <r>
    <d v="2018-07-03T00:00:00"/>
    <n v="22.12"/>
    <n v="22.17"/>
    <n v="20.65"/>
    <n v="20.72"/>
    <n v="12282638"/>
    <x v="685"/>
    <x v="3"/>
    <n v="-6.3291139240506417E-2"/>
  </r>
  <r>
    <d v="2018-07-05T00:00:00"/>
    <n v="20.92"/>
    <n v="20.96"/>
    <n v="19.75"/>
    <n v="20.61"/>
    <n v="17476374"/>
    <x v="686"/>
    <x v="3"/>
    <n v="-1.4818355640535481E-2"/>
  </r>
  <r>
    <d v="2018-07-06T00:00:00"/>
    <n v="20.329999999999998"/>
    <n v="20.8"/>
    <n v="20.13"/>
    <n v="20.59"/>
    <n v="8865451"/>
    <x v="687"/>
    <x v="3"/>
    <n v="1.2788981800295208E-2"/>
  </r>
  <r>
    <d v="2018-07-09T00:00:00"/>
    <n v="20.8"/>
    <n v="21.23"/>
    <n v="20.53"/>
    <n v="21.23"/>
    <n v="7596753"/>
    <x v="688"/>
    <x v="3"/>
    <n v="2.0673076923076909E-2"/>
  </r>
  <r>
    <d v="2018-07-10T00:00:00"/>
    <n v="21.64"/>
    <n v="21.85"/>
    <n v="21.28"/>
    <n v="21.5"/>
    <n v="9471498"/>
    <x v="689"/>
    <x v="3"/>
    <n v="-6.4695009242144441E-3"/>
  </r>
  <r>
    <d v="2018-07-11T00:00:00"/>
    <n v="21.05"/>
    <n v="21.46"/>
    <n v="21"/>
    <n v="21.26"/>
    <n v="4884076"/>
    <x v="690"/>
    <x v="3"/>
    <n v="9.9762470308789007E-3"/>
  </r>
  <r>
    <d v="2018-07-12T00:00:00"/>
    <n v="21.43"/>
    <n v="21.55"/>
    <n v="20.85"/>
    <n v="21.11"/>
    <n v="5721166"/>
    <x v="691"/>
    <x v="3"/>
    <n v="-1.4932337844143738E-2"/>
  </r>
  <r>
    <d v="2018-07-13T00:00:00"/>
    <n v="21.04"/>
    <n v="21.31"/>
    <n v="20.62"/>
    <n v="21.26"/>
    <n v="5875770"/>
    <x v="692"/>
    <x v="3"/>
    <n v="1.0456273764258671E-2"/>
  </r>
  <r>
    <d v="2018-07-16T00:00:00"/>
    <n v="20.78"/>
    <n v="21.01"/>
    <n v="20.420000000000002"/>
    <n v="20.67"/>
    <n v="7818655"/>
    <x v="693"/>
    <x v="3"/>
    <n v="-5.2935514918190287E-3"/>
  </r>
  <r>
    <d v="2018-07-17T00:00:00"/>
    <n v="20.59"/>
    <n v="21.65"/>
    <n v="20.57"/>
    <n v="21.51"/>
    <n v="6996232"/>
    <x v="694"/>
    <x v="3"/>
    <n v="4.4681884409907807E-2"/>
  </r>
  <r>
    <d v="2018-07-18T00:00:00"/>
    <n v="21.67"/>
    <n v="21.7"/>
    <n v="21.08"/>
    <n v="21.59"/>
    <n v="5624211"/>
    <x v="695"/>
    <x v="3"/>
    <n v="-3.6917397323489544E-3"/>
  </r>
  <r>
    <d v="2018-07-19T00:00:00"/>
    <n v="21.09"/>
    <n v="21.57"/>
    <n v="20.93"/>
    <n v="21.35"/>
    <n v="5915345"/>
    <x v="696"/>
    <x v="3"/>
    <n v="1.2328117591275561E-2"/>
  </r>
  <r>
    <d v="2018-07-20T00:00:00"/>
    <n v="21.42"/>
    <n v="21.55"/>
    <n v="20.78"/>
    <n v="20.91"/>
    <n v="5166547"/>
    <x v="697"/>
    <x v="3"/>
    <n v="-2.3809523809523881E-2"/>
  </r>
  <r>
    <d v="2018-07-23T00:00:00"/>
    <n v="20.12"/>
    <n v="20.37"/>
    <n v="19.52"/>
    <n v="20.21"/>
    <n v="10992947"/>
    <x v="698"/>
    <x v="3"/>
    <n v="4.4731610337972096E-3"/>
  </r>
  <r>
    <d v="2018-07-24T00:00:00"/>
    <n v="20.29"/>
    <n v="20.51"/>
    <n v="19.5"/>
    <n v="19.829999999999998"/>
    <n v="9590784"/>
    <x v="699"/>
    <x v="3"/>
    <n v="-2.2671266633809802E-2"/>
  </r>
  <r>
    <d v="2018-07-25T00:00:00"/>
    <n v="19.78"/>
    <n v="20.64"/>
    <n v="19.63"/>
    <n v="20.58"/>
    <n v="7094180"/>
    <x v="700"/>
    <x v="3"/>
    <n v="4.0444893832153543E-2"/>
  </r>
  <r>
    <d v="2018-07-26T00:00:00"/>
    <n v="20.32"/>
    <n v="20.71"/>
    <n v="20.239999999999998"/>
    <n v="20.440000000000001"/>
    <n v="4630522"/>
    <x v="701"/>
    <x v="3"/>
    <n v="5.9055118110236705E-3"/>
  </r>
  <r>
    <d v="2018-07-27T00:00:00"/>
    <n v="20.48"/>
    <n v="20.51"/>
    <n v="19.690000000000001"/>
    <n v="19.809999999999999"/>
    <n v="5703326"/>
    <x v="702"/>
    <x v="3"/>
    <n v="-3.2714843750000083E-2"/>
  </r>
  <r>
    <d v="2018-07-30T00:00:00"/>
    <n v="19.73"/>
    <n v="19.739999999999998"/>
    <n v="19.079999999999998"/>
    <n v="19.34"/>
    <n v="6814072"/>
    <x v="703"/>
    <x v="3"/>
    <n v="-1.9766852508869771E-2"/>
  </r>
  <r>
    <d v="2018-07-31T00:00:00"/>
    <n v="19.48"/>
    <n v="19.89"/>
    <n v="19.27"/>
    <n v="19.88"/>
    <n v="5076916"/>
    <x v="704"/>
    <x v="3"/>
    <n v="2.0533880903490686E-2"/>
  </r>
  <r>
    <d v="2018-08-01T00:00:00"/>
    <n v="19.87"/>
    <n v="20.2"/>
    <n v="19.53"/>
    <n v="20.059999999999999"/>
    <n v="10129430"/>
    <x v="705"/>
    <x v="3"/>
    <n v="9.5621540010064274E-3"/>
  </r>
  <r>
    <d v="2018-08-02T00:00:00"/>
    <n v="21.9"/>
    <n v="23.33"/>
    <n v="21.54"/>
    <n v="23.3"/>
    <n v="23214962"/>
    <x v="706"/>
    <x v="3"/>
    <n v="6.3926940639269514E-2"/>
  </r>
  <r>
    <d v="2018-08-03T00:00:00"/>
    <n v="23.19"/>
    <n v="23.67"/>
    <n v="22.84"/>
    <n v="23.21"/>
    <n v="13656486"/>
    <x v="707"/>
    <x v="3"/>
    <n v="8.6244070720136151E-4"/>
  </r>
  <r>
    <d v="2018-08-06T00:00:00"/>
    <n v="23.03"/>
    <n v="23.67"/>
    <n v="22.79"/>
    <n v="22.8"/>
    <n v="8564331"/>
    <x v="708"/>
    <x v="3"/>
    <n v="-9.9869735128093971E-3"/>
  </r>
  <r>
    <d v="2018-08-07T00:00:00"/>
    <n v="22.92"/>
    <n v="25.83"/>
    <n v="22.61"/>
    <n v="25.3"/>
    <n v="30875768"/>
    <x v="709"/>
    <x v="3"/>
    <n v="0.10383944153577657"/>
  </r>
  <r>
    <d v="2018-08-08T00:00:00"/>
    <n v="24.61"/>
    <n v="25.51"/>
    <n v="24.47"/>
    <n v="24.69"/>
    <n v="24571163"/>
    <x v="710"/>
    <x v="3"/>
    <n v="3.2507110930516804E-3"/>
  </r>
  <r>
    <d v="2018-08-09T00:00:00"/>
    <n v="24.37"/>
    <n v="24.47"/>
    <n v="23.05"/>
    <n v="23.5"/>
    <n v="17183811"/>
    <x v="711"/>
    <x v="3"/>
    <n v="-3.5699630693475627E-2"/>
  </r>
  <r>
    <d v="2018-08-10T00:00:00"/>
    <n v="23.6"/>
    <n v="24"/>
    <n v="23.07"/>
    <n v="23.7"/>
    <n v="11552044"/>
    <x v="712"/>
    <x v="3"/>
    <n v="4.2372881355931301E-3"/>
  </r>
  <r>
    <d v="2018-08-13T00:00:00"/>
    <n v="24.08"/>
    <n v="24.21"/>
    <n v="23.27"/>
    <n v="23.76"/>
    <n v="10463881"/>
    <x v="713"/>
    <x v="3"/>
    <n v="-1.3289036544850363E-2"/>
  </r>
  <r>
    <d v="2018-08-14T00:00:00"/>
    <n v="23.9"/>
    <n v="23.95"/>
    <n v="23.14"/>
    <n v="23.18"/>
    <n v="6986427"/>
    <x v="714"/>
    <x v="3"/>
    <n v="-3.0125523012552256E-2"/>
  </r>
  <r>
    <d v="2018-08-15T00:00:00"/>
    <n v="22.79"/>
    <n v="22.97"/>
    <n v="22.14"/>
    <n v="22.58"/>
    <n v="9101258"/>
    <x v="715"/>
    <x v="3"/>
    <n v="-9.2145677928916567E-3"/>
  </r>
  <r>
    <d v="2018-08-16T00:00:00"/>
    <n v="22.66"/>
    <n v="22.82"/>
    <n v="22.25"/>
    <n v="22.36"/>
    <n v="6064033"/>
    <x v="716"/>
    <x v="3"/>
    <n v="-1.3239187996469582E-2"/>
  </r>
  <r>
    <d v="2018-08-17T00:00:00"/>
    <n v="21.57"/>
    <n v="21.78"/>
    <n v="20.239999999999998"/>
    <n v="20.37"/>
    <n v="18958612"/>
    <x v="717"/>
    <x v="3"/>
    <n v="-5.5632823365785782E-2"/>
  </r>
  <r>
    <d v="2018-08-20T00:00:00"/>
    <n v="19.45"/>
    <n v="20.57"/>
    <n v="19.21"/>
    <n v="20.56"/>
    <n v="17402335"/>
    <x v="718"/>
    <x v="3"/>
    <n v="5.7069408740359873E-2"/>
  </r>
  <r>
    <d v="2018-08-21T00:00:00"/>
    <n v="20.71"/>
    <n v="21.65"/>
    <n v="20.6"/>
    <n v="21.46"/>
    <n v="13172230"/>
    <x v="719"/>
    <x v="3"/>
    <n v="3.6214389183969097E-2"/>
  </r>
  <r>
    <d v="2018-08-22T00:00:00"/>
    <n v="21.39"/>
    <n v="21.59"/>
    <n v="20.98"/>
    <n v="21.44"/>
    <n v="5945955"/>
    <x v="720"/>
    <x v="3"/>
    <n v="2.3375409069659051E-3"/>
  </r>
  <r>
    <d v="2018-08-23T00:00:00"/>
    <n v="21.28"/>
    <n v="21.82"/>
    <n v="21.21"/>
    <n v="21.34"/>
    <n v="5147286"/>
    <x v="721"/>
    <x v="3"/>
    <n v="2.8195488721803907E-3"/>
  </r>
  <r>
    <d v="2018-08-24T00:00:00"/>
    <n v="21.38"/>
    <n v="21.59"/>
    <n v="21.29"/>
    <n v="21.52"/>
    <n v="3602564"/>
    <x v="722"/>
    <x v="3"/>
    <n v="6.5481758652946951E-3"/>
  </r>
  <r>
    <d v="2018-08-27T00:00:00"/>
    <n v="21.2"/>
    <n v="21.5"/>
    <n v="20.59"/>
    <n v="21.28"/>
    <n v="13079288"/>
    <x v="723"/>
    <x v="3"/>
    <n v="3.7735849056604646E-3"/>
  </r>
  <r>
    <d v="2018-08-28T00:00:00"/>
    <n v="21.23"/>
    <n v="21.26"/>
    <n v="20.75"/>
    <n v="20.79"/>
    <n v="7649091"/>
    <x v="724"/>
    <x v="3"/>
    <n v="-2.0725388601036329E-2"/>
  </r>
  <r>
    <d v="2018-08-29T00:00:00"/>
    <n v="20.68"/>
    <n v="20.79"/>
    <n v="20.25"/>
    <n v="20.329999999999998"/>
    <n v="7447392"/>
    <x v="725"/>
    <x v="3"/>
    <n v="-1.6924564796905291E-2"/>
  </r>
  <r>
    <d v="2018-08-30T00:00:00"/>
    <n v="20.149999999999999"/>
    <n v="20.309999999999999"/>
    <n v="19.850000000000001"/>
    <n v="20.21"/>
    <n v="7216706"/>
    <x v="726"/>
    <x v="3"/>
    <n v="2.9776674937966392E-3"/>
  </r>
  <r>
    <d v="2018-08-31T00:00:00"/>
    <n v="20.13"/>
    <n v="20.350000000000001"/>
    <n v="19.91"/>
    <n v="20.11"/>
    <n v="5375104"/>
    <x v="727"/>
    <x v="3"/>
    <n v="-9.9354197714851349E-4"/>
  </r>
  <r>
    <d v="2018-09-04T00:00:00"/>
    <n v="19.8"/>
    <n v="19.88"/>
    <n v="19.2"/>
    <n v="19.260000000000002"/>
    <n v="8350469"/>
    <x v="728"/>
    <x v="3"/>
    <n v="-2.727272727272723E-2"/>
  </r>
  <r>
    <d v="2018-09-05T00:00:00"/>
    <n v="19"/>
    <n v="19.12"/>
    <n v="18.48"/>
    <n v="18.72"/>
    <n v="7720821"/>
    <x v="729"/>
    <x v="3"/>
    <n v="-1.4736842105263218E-2"/>
  </r>
  <r>
    <d v="2018-09-06T00:00:00"/>
    <n v="18.989999999999998"/>
    <n v="19.41"/>
    <n v="18.59"/>
    <n v="18.73"/>
    <n v="7480760"/>
    <x v="730"/>
    <x v="3"/>
    <n v="-1.3691416535018328E-2"/>
  </r>
  <r>
    <d v="2018-09-07T00:00:00"/>
    <n v="17.34"/>
    <n v="17.89"/>
    <n v="16.82"/>
    <n v="17.55"/>
    <n v="22491931"/>
    <x v="731"/>
    <x v="3"/>
    <n v="1.2110726643598664E-2"/>
  </r>
  <r>
    <d v="2018-09-10T00:00:00"/>
    <n v="18.22"/>
    <n v="19.07"/>
    <n v="18.07"/>
    <n v="19.03"/>
    <n v="14283528"/>
    <x v="732"/>
    <x v="3"/>
    <n v="4.4456641053787174E-2"/>
  </r>
  <r>
    <d v="2018-09-11T00:00:00"/>
    <n v="18.63"/>
    <n v="18.8"/>
    <n v="18.239999999999998"/>
    <n v="18.63"/>
    <n v="9169989"/>
    <x v="733"/>
    <x v="3"/>
    <n v="0"/>
  </r>
  <r>
    <d v="2018-09-12T00:00:00"/>
    <n v="18.760000000000002"/>
    <n v="19.5"/>
    <n v="18.579999999999998"/>
    <n v="19.37"/>
    <n v="10015427"/>
    <x v="734"/>
    <x v="3"/>
    <n v="3.2515991471215318E-2"/>
  </r>
  <r>
    <d v="2018-09-13T00:00:00"/>
    <n v="19.2"/>
    <n v="19.670000000000002"/>
    <n v="19.010000000000002"/>
    <n v="19.3"/>
    <n v="6340336"/>
    <x v="735"/>
    <x v="3"/>
    <n v="5.2083333333334076E-3"/>
  </r>
  <r>
    <d v="2018-09-14T00:00:00"/>
    <n v="19.25"/>
    <n v="19.82"/>
    <n v="19.100000000000001"/>
    <n v="19.68"/>
    <n v="6765612"/>
    <x v="736"/>
    <x v="3"/>
    <n v="2.2337662337662323E-2"/>
  </r>
  <r>
    <d v="2018-09-17T00:00:00"/>
    <n v="19.34"/>
    <n v="20.059999999999999"/>
    <n v="19.21"/>
    <n v="19.66"/>
    <n v="6887577"/>
    <x v="737"/>
    <x v="3"/>
    <n v="1.6546018614270956E-2"/>
  </r>
  <r>
    <d v="2018-09-18T00:00:00"/>
    <n v="19.78"/>
    <n v="20.18"/>
    <n v="18.37"/>
    <n v="19"/>
    <n v="16547522"/>
    <x v="738"/>
    <x v="3"/>
    <n v="-3.9433771486349904E-2"/>
  </r>
  <r>
    <d v="2018-09-19T00:00:00"/>
    <n v="18.7"/>
    <n v="20"/>
    <n v="18.7"/>
    <n v="19.93"/>
    <n v="8294917"/>
    <x v="739"/>
    <x v="3"/>
    <n v="6.5775401069518735E-2"/>
  </r>
  <r>
    <d v="2018-09-20T00:00:00"/>
    <n v="20.239999999999998"/>
    <n v="20.399999999999999"/>
    <n v="19.559999999999999"/>
    <n v="19.89"/>
    <n v="7349422"/>
    <x v="740"/>
    <x v="3"/>
    <n v="-1.7292490118576972E-2"/>
  </r>
  <r>
    <d v="2018-09-21T00:00:00"/>
    <n v="19.850000000000001"/>
    <n v="20.04"/>
    <n v="19.690000000000001"/>
    <n v="19.940000000000001"/>
    <n v="5050478"/>
    <x v="741"/>
    <x v="3"/>
    <n v="4.5340050377833683E-3"/>
  </r>
  <r>
    <d v="2018-09-24T00:00:00"/>
    <n v="19.899999999999999"/>
    <n v="20.2"/>
    <n v="19.57"/>
    <n v="19.98"/>
    <n v="4842961"/>
    <x v="742"/>
    <x v="3"/>
    <n v="4.020100502512656E-3"/>
  </r>
  <r>
    <d v="2018-09-25T00:00:00"/>
    <n v="20"/>
    <n v="20.309999999999999"/>
    <n v="19.77"/>
    <n v="20.07"/>
    <n v="4481729"/>
    <x v="743"/>
    <x v="3"/>
    <n v="3.5000000000000144E-3"/>
  </r>
  <r>
    <d v="2018-09-26T00:00:00"/>
    <n v="20.13"/>
    <n v="20.93"/>
    <n v="20.07"/>
    <n v="20.64"/>
    <n v="7843216"/>
    <x v="744"/>
    <x v="3"/>
    <n v="2.5335320417287709E-2"/>
  </r>
  <r>
    <d v="2018-09-27T00:00:00"/>
    <n v="20.86"/>
    <n v="21"/>
    <n v="20.46"/>
    <n v="20.5"/>
    <n v="8509084"/>
    <x v="745"/>
    <x v="3"/>
    <n v="-1.7257909875359512E-2"/>
  </r>
  <r>
    <d v="2018-09-28T00:00:00"/>
    <n v="18.02"/>
    <n v="18.53"/>
    <n v="17.37"/>
    <n v="17.649999999999999"/>
    <n v="33649694"/>
    <x v="746"/>
    <x v="3"/>
    <n v="-2.0532741398446228E-2"/>
  </r>
  <r>
    <d v="2018-10-01T00:00:00"/>
    <n v="20.38"/>
    <n v="20.76"/>
    <n v="20.07"/>
    <n v="20.71"/>
    <n v="21777597"/>
    <x v="747"/>
    <x v="3"/>
    <n v="1.619234543670274E-2"/>
  </r>
  <r>
    <d v="2018-10-02T00:00:00"/>
    <n v="20.93"/>
    <n v="21.12"/>
    <n v="19.940000000000001"/>
    <n v="20.07"/>
    <n v="11743511"/>
    <x v="748"/>
    <x v="3"/>
    <n v="-4.10893454371715E-2"/>
  </r>
  <r>
    <d v="2018-10-03T00:00:00"/>
    <n v="20.22"/>
    <n v="20.309999999999999"/>
    <n v="19.440000000000001"/>
    <n v="19.649999999999999"/>
    <n v="7994988"/>
    <x v="749"/>
    <x v="3"/>
    <n v="-2.8189910979228502E-2"/>
  </r>
  <r>
    <d v="2018-10-04T00:00:00"/>
    <n v="19.600000000000001"/>
    <n v="19.600000000000001"/>
    <n v="18.510000000000002"/>
    <n v="18.79"/>
    <n v="9814212"/>
    <x v="750"/>
    <x v="3"/>
    <n v="-4.1326530612245012E-2"/>
  </r>
  <r>
    <d v="2018-10-05T00:00:00"/>
    <n v="18.309999999999999"/>
    <n v="18.329999999999998"/>
    <n v="17.329999999999998"/>
    <n v="17.46"/>
    <n v="17944537"/>
    <x v="751"/>
    <x v="3"/>
    <n v="-4.6422719825232002E-2"/>
  </r>
  <r>
    <d v="2018-10-08T00:00:00"/>
    <n v="17.63"/>
    <n v="17.850000000000001"/>
    <n v="16.600000000000001"/>
    <n v="16.7"/>
    <n v="13472653"/>
    <x v="752"/>
    <x v="3"/>
    <n v="-5.275099262620532E-2"/>
  </r>
  <r>
    <d v="2018-10-09T00:00:00"/>
    <n v="17.02"/>
    <n v="17.78"/>
    <n v="16.89"/>
    <n v="17.52"/>
    <n v="12060574"/>
    <x v="753"/>
    <x v="3"/>
    <n v="2.9377203290246769E-2"/>
  </r>
  <r>
    <d v="2018-10-10T00:00:00"/>
    <n v="17.64"/>
    <n v="17.7"/>
    <n v="16.52"/>
    <n v="17.13"/>
    <n v="12815278"/>
    <x v="754"/>
    <x v="3"/>
    <n v="-2.8911564625850428E-2"/>
  </r>
  <r>
    <d v="2018-10-11T00:00:00"/>
    <n v="17.170000000000002"/>
    <n v="17.48"/>
    <n v="16.600000000000001"/>
    <n v="16.82"/>
    <n v="8167738"/>
    <x v="755"/>
    <x v="3"/>
    <n v="-2.0384391380314584E-2"/>
  </r>
  <r>
    <d v="2018-10-12T00:00:00"/>
    <n v="17.399999999999999"/>
    <n v="17.47"/>
    <n v="16.8"/>
    <n v="17.25"/>
    <n v="7201404"/>
    <x v="756"/>
    <x v="3"/>
    <n v="-8.6206896551723321E-3"/>
  </r>
  <r>
    <d v="2018-10-15T00:00:00"/>
    <n v="17.27"/>
    <n v="17.55"/>
    <n v="16.97"/>
    <n v="17.309999999999999"/>
    <n v="6199965"/>
    <x v="757"/>
    <x v="3"/>
    <n v="2.3161551823971714E-3"/>
  </r>
  <r>
    <d v="2018-10-16T00:00:00"/>
    <n v="17.71"/>
    <n v="18.489999999999998"/>
    <n v="17.48"/>
    <n v="18.440000000000001"/>
    <n v="9526401"/>
    <x v="758"/>
    <x v="3"/>
    <n v="4.1219649915302109E-2"/>
  </r>
  <r>
    <d v="2018-10-17T00:00:00"/>
    <n v="18.829999999999998"/>
    <n v="18.850000000000001"/>
    <n v="17.72"/>
    <n v="18.12"/>
    <n v="8655542"/>
    <x v="759"/>
    <x v="3"/>
    <n v="-3.7705788635156522E-2"/>
  </r>
  <r>
    <d v="2018-10-18T00:00:00"/>
    <n v="17.95"/>
    <n v="18.07"/>
    <n v="17.53"/>
    <n v="17.59"/>
    <n v="5421184"/>
    <x v="760"/>
    <x v="3"/>
    <n v="-2.0055710306406654E-2"/>
  </r>
  <r>
    <d v="2018-10-19T00:00:00"/>
    <n v="17.829999999999998"/>
    <n v="17.98"/>
    <n v="16.899999999999999"/>
    <n v="17.329999999999998"/>
    <n v="9375549"/>
    <x v="761"/>
    <x v="3"/>
    <n v="-2.8042624789680316E-2"/>
  </r>
  <r>
    <d v="2018-10-22T00:00:00"/>
    <n v="17.38"/>
    <n v="17.46"/>
    <n v="16.84"/>
    <n v="17.399999999999999"/>
    <n v="5600260"/>
    <x v="762"/>
    <x v="3"/>
    <n v="1.1507479861909997E-3"/>
  </r>
  <r>
    <d v="2018-10-23T00:00:00"/>
    <n v="17.59"/>
    <n v="19.86"/>
    <n v="17.47"/>
    <n v="19.61"/>
    <n v="19027753"/>
    <x v="763"/>
    <x v="3"/>
    <n v="0.11483797612279702"/>
  </r>
  <r>
    <d v="2018-10-24T00:00:00"/>
    <n v="20.07"/>
    <n v="20.3"/>
    <n v="19.05"/>
    <n v="19.23"/>
    <n v="20058258"/>
    <x v="764"/>
    <x v="3"/>
    <n v="-4.1853512705530636E-2"/>
  </r>
  <r>
    <d v="2018-10-25T00:00:00"/>
    <n v="21.15"/>
    <n v="21.4"/>
    <n v="20.07"/>
    <n v="20.99"/>
    <n v="20840724"/>
    <x v="765"/>
    <x v="3"/>
    <n v="-7.5650118203309767E-3"/>
  </r>
  <r>
    <d v="2018-10-26T00:00:00"/>
    <n v="20.55"/>
    <n v="22.66"/>
    <n v="20.440000000000001"/>
    <n v="22.06"/>
    <n v="27425520"/>
    <x v="766"/>
    <x v="3"/>
    <n v="7.3479318734793089E-2"/>
  </r>
  <r>
    <d v="2018-10-29T00:00:00"/>
    <n v="22.5"/>
    <n v="23.14"/>
    <n v="21.77"/>
    <n v="22.32"/>
    <n v="14486027"/>
    <x v="767"/>
    <x v="3"/>
    <n v="-7.999999999999988E-3"/>
  </r>
  <r>
    <d v="2018-10-30T00:00:00"/>
    <n v="21.89"/>
    <n v="22.53"/>
    <n v="21.48"/>
    <n v="21.99"/>
    <n v="9126704"/>
    <x v="768"/>
    <x v="3"/>
    <n v="4.5682960255823604E-3"/>
  </r>
  <r>
    <d v="2018-10-31T00:00:00"/>
    <n v="22.17"/>
    <n v="22.8"/>
    <n v="21.94"/>
    <n v="22.49"/>
    <n v="7624348"/>
    <x v="769"/>
    <x v="3"/>
    <n v="1.4433919711321457E-2"/>
  </r>
  <r>
    <d v="2018-11-01T00:00:00"/>
    <n v="22.55"/>
    <n v="23.19"/>
    <n v="22.32"/>
    <n v="22.95"/>
    <n v="8000132"/>
    <x v="770"/>
    <x v="3"/>
    <n v="1.7738359201773773E-2"/>
  </r>
  <r>
    <d v="2018-11-02T00:00:00"/>
    <n v="22.92"/>
    <n v="23.28"/>
    <n v="22.73"/>
    <n v="23.09"/>
    <n v="7807971"/>
    <x v="771"/>
    <x v="3"/>
    <n v="7.4171029668411055E-3"/>
  </r>
  <r>
    <d v="2018-11-05T00:00:00"/>
    <n v="22.7"/>
    <n v="22.93"/>
    <n v="22.01"/>
    <n v="22.76"/>
    <n v="7831048"/>
    <x v="772"/>
    <x v="3"/>
    <n v="2.643171806167501E-3"/>
  </r>
  <r>
    <d v="2018-11-06T00:00:00"/>
    <n v="22.6"/>
    <n v="23.25"/>
    <n v="22.41"/>
    <n v="22.74"/>
    <n v="6762889"/>
    <x v="773"/>
    <x v="3"/>
    <n v="6.1946902654865929E-3"/>
  </r>
  <r>
    <d v="2018-11-07T00:00:00"/>
    <n v="22.89"/>
    <n v="23.41"/>
    <n v="22.72"/>
    <n v="23.21"/>
    <n v="7374522"/>
    <x v="774"/>
    <x v="3"/>
    <n v="1.3979903888160781E-2"/>
  </r>
  <r>
    <d v="2018-11-08T00:00:00"/>
    <n v="23.23"/>
    <n v="23.84"/>
    <n v="23.23"/>
    <n v="23.43"/>
    <n v="7090674"/>
    <x v="775"/>
    <x v="3"/>
    <n v="8.6095566078346654E-3"/>
  </r>
  <r>
    <d v="2018-11-09T00:00:00"/>
    <n v="23.27"/>
    <n v="23.6"/>
    <n v="23.02"/>
    <n v="23.37"/>
    <n v="5098846"/>
    <x v="776"/>
    <x v="3"/>
    <n v="4.2973785990546376E-3"/>
  </r>
  <r>
    <d v="2018-11-12T00:00:00"/>
    <n v="23.22"/>
    <n v="23.32"/>
    <n v="22.02"/>
    <n v="22.09"/>
    <n v="6941523"/>
    <x v="777"/>
    <x v="3"/>
    <n v="-4.8664944013781179E-2"/>
  </r>
  <r>
    <d v="2018-11-13T00:00:00"/>
    <n v="22.21"/>
    <n v="22.98"/>
    <n v="22.15"/>
    <n v="22.58"/>
    <n v="5448597"/>
    <x v="778"/>
    <x v="3"/>
    <n v="1.6659162539396553E-2"/>
  </r>
  <r>
    <d v="2018-11-14T00:00:00"/>
    <n v="22.85"/>
    <n v="23.14"/>
    <n v="22.48"/>
    <n v="22.93"/>
    <n v="5040287"/>
    <x v="779"/>
    <x v="3"/>
    <n v="3.501094091903645E-3"/>
  </r>
  <r>
    <d v="2018-11-15T00:00:00"/>
    <n v="22.82"/>
    <n v="23.24"/>
    <n v="22.6"/>
    <n v="23.23"/>
    <n v="4625719"/>
    <x v="780"/>
    <x v="3"/>
    <n v="1.7966695880806315E-2"/>
  </r>
  <r>
    <d v="2018-11-16T00:00:00"/>
    <n v="23.01"/>
    <n v="23.71"/>
    <n v="23.01"/>
    <n v="23.62"/>
    <n v="7206191"/>
    <x v="781"/>
    <x v="3"/>
    <n v="2.6510212950890892E-2"/>
  </r>
  <r>
    <d v="2018-11-19T00:00:00"/>
    <n v="23.76"/>
    <n v="24.45"/>
    <n v="23.53"/>
    <n v="23.56"/>
    <n v="9708871"/>
    <x v="782"/>
    <x v="3"/>
    <n v="-8.4175084175085371E-3"/>
  </r>
  <r>
    <d v="2018-11-20T00:00:00"/>
    <n v="22.78"/>
    <n v="23.32"/>
    <n v="22.24"/>
    <n v="23.17"/>
    <n v="8004709"/>
    <x v="783"/>
    <x v="3"/>
    <n v="1.7120280948200201E-2"/>
  </r>
  <r>
    <d v="2018-11-21T00:00:00"/>
    <n v="23.47"/>
    <n v="23.54"/>
    <n v="22.49"/>
    <n v="22.55"/>
    <n v="4686808"/>
    <x v="784"/>
    <x v="3"/>
    <n v="-3.9198977417980327E-2"/>
  </r>
  <r>
    <d v="2018-11-23T00:00:00"/>
    <n v="22.29"/>
    <n v="22.5"/>
    <n v="21.7"/>
    <n v="21.72"/>
    <n v="4202642"/>
    <x v="785"/>
    <x v="3"/>
    <n v="-2.5572005383580093E-2"/>
  </r>
  <r>
    <d v="2018-11-26T00:00:00"/>
    <n v="21.67"/>
    <n v="23.08"/>
    <n v="21.67"/>
    <n v="23.07"/>
    <n v="7992141"/>
    <x v="786"/>
    <x v="3"/>
    <n v="6.460544531610514E-2"/>
  </r>
  <r>
    <d v="2018-11-27T00:00:00"/>
    <n v="22.67"/>
    <n v="23.13"/>
    <n v="22.37"/>
    <n v="22.93"/>
    <n v="6358300"/>
    <x v="787"/>
    <x v="3"/>
    <n v="1.1468901632112836E-2"/>
  </r>
  <r>
    <d v="2018-11-28T00:00:00"/>
    <n v="23.07"/>
    <n v="23.22"/>
    <n v="22.81"/>
    <n v="23.19"/>
    <n v="4127578"/>
    <x v="788"/>
    <x v="3"/>
    <n v="5.2015604681404856E-3"/>
  </r>
  <r>
    <d v="2018-11-29T00:00:00"/>
    <n v="23.13"/>
    <n v="23.17"/>
    <n v="22.64"/>
    <n v="22.74"/>
    <n v="3080724"/>
    <x v="789"/>
    <x v="3"/>
    <n v="-1.6861219195849573E-2"/>
  </r>
  <r>
    <d v="2018-11-30T00:00:00"/>
    <n v="22.79"/>
    <n v="23.44"/>
    <n v="22.55"/>
    <n v="23.37"/>
    <n v="5628895"/>
    <x v="790"/>
    <x v="3"/>
    <n v="2.5449758666081696E-2"/>
  </r>
  <r>
    <d v="2018-12-03T00:00:00"/>
    <n v="24"/>
    <n v="24.4"/>
    <n v="23.47"/>
    <n v="23.9"/>
    <n v="8306511"/>
    <x v="791"/>
    <x v="3"/>
    <n v="-4.1666666666667256E-3"/>
  </r>
  <r>
    <d v="2018-12-04T00:00:00"/>
    <n v="23.74"/>
    <n v="24.58"/>
    <n v="23.47"/>
    <n v="23.98"/>
    <n v="8461945"/>
    <x v="792"/>
    <x v="3"/>
    <n v="1.0109519797809689E-2"/>
  </r>
  <r>
    <d v="2018-12-06T00:00:00"/>
    <n v="23.73"/>
    <n v="24.49"/>
    <n v="23.38"/>
    <n v="24.2"/>
    <n v="7842508"/>
    <x v="793"/>
    <x v="3"/>
    <n v="1.9806152549515333E-2"/>
  </r>
  <r>
    <d v="2018-12-07T00:00:00"/>
    <n v="24.6"/>
    <n v="25.3"/>
    <n v="23.84"/>
    <n v="23.86"/>
    <n v="11511177"/>
    <x v="794"/>
    <x v="3"/>
    <n v="-3.0081300813008208E-2"/>
  </r>
  <r>
    <d v="2018-12-10T00:00:00"/>
    <n v="24"/>
    <n v="24.4"/>
    <n v="23.54"/>
    <n v="24.34"/>
    <n v="6613455"/>
    <x v="795"/>
    <x v="3"/>
    <n v="1.4166666666666661E-2"/>
  </r>
  <r>
    <d v="2018-12-11T00:00:00"/>
    <n v="24.66"/>
    <n v="24.81"/>
    <n v="24.02"/>
    <n v="24.45"/>
    <n v="6308769"/>
    <x v="796"/>
    <x v="3"/>
    <n v="-8.5158150851581856E-3"/>
  </r>
  <r>
    <d v="2018-12-12T00:00:00"/>
    <n v="24.63"/>
    <n v="24.79"/>
    <n v="24.34"/>
    <n v="24.44"/>
    <n v="5027048"/>
    <x v="797"/>
    <x v="3"/>
    <n v="-7.7141697117335661E-3"/>
  </r>
  <r>
    <d v="2018-12-13T00:00:00"/>
    <n v="24.68"/>
    <n v="25.16"/>
    <n v="24.45"/>
    <n v="25.12"/>
    <n v="7365854"/>
    <x v="798"/>
    <x v="3"/>
    <n v="1.7828200972447378E-2"/>
  </r>
  <r>
    <d v="2018-12-14T00:00:00"/>
    <n v="25"/>
    <n v="25.19"/>
    <n v="24.29"/>
    <n v="24.38"/>
    <n v="6337555"/>
    <x v="799"/>
    <x v="3"/>
    <n v="-2.4800000000000041E-2"/>
  </r>
  <r>
    <d v="2018-12-17T00:00:00"/>
    <n v="24.13"/>
    <n v="24.38"/>
    <n v="22.93"/>
    <n v="23.23"/>
    <n v="7674008"/>
    <x v="800"/>
    <x v="3"/>
    <n v="-3.7297969332780713E-2"/>
  </r>
  <r>
    <d v="2018-12-18T00:00:00"/>
    <n v="23.37"/>
    <n v="23.44"/>
    <n v="22.25"/>
    <n v="22.47"/>
    <n v="7099999"/>
    <x v="801"/>
    <x v="3"/>
    <n v="-3.8510911424903815E-2"/>
  </r>
  <r>
    <d v="2018-12-19T00:00:00"/>
    <n v="22.51"/>
    <n v="23.13"/>
    <n v="21.98"/>
    <n v="22.2"/>
    <n v="8274181"/>
    <x v="802"/>
    <x v="3"/>
    <n v="-1.3771657041315071E-2"/>
  </r>
  <r>
    <d v="2018-12-20T00:00:00"/>
    <n v="21.8"/>
    <n v="22.02"/>
    <n v="20.79"/>
    <n v="21.03"/>
    <n v="9071858"/>
    <x v="803"/>
    <x v="3"/>
    <n v="-3.5321100917431174E-2"/>
  </r>
  <r>
    <d v="2018-12-21T00:00:00"/>
    <n v="21.16"/>
    <n v="21.56"/>
    <n v="20.83"/>
    <n v="21.32"/>
    <n v="8016801"/>
    <x v="804"/>
    <x v="3"/>
    <n v="7.5614366729678702E-3"/>
  </r>
  <r>
    <d v="2018-12-24T00:00:00"/>
    <n v="20.9"/>
    <n v="20.97"/>
    <n v="19.68"/>
    <n v="19.690000000000001"/>
    <n v="5559913"/>
    <x v="805"/>
    <x v="3"/>
    <n v="-5.7894736842105138E-2"/>
  </r>
  <r>
    <d v="2018-12-26T00:00:00"/>
    <n v="20"/>
    <n v="21.8"/>
    <n v="19.61"/>
    <n v="21.74"/>
    <n v="8163138"/>
    <x v="806"/>
    <x v="3"/>
    <n v="8.6999999999999925E-2"/>
  </r>
  <r>
    <d v="2018-12-27T00:00:00"/>
    <n v="21.32"/>
    <n v="21.48"/>
    <n v="20.100000000000001"/>
    <n v="21.08"/>
    <n v="8575133"/>
    <x v="807"/>
    <x v="3"/>
    <n v="-1.1257035647279643E-2"/>
  </r>
  <r>
    <d v="2018-12-28T00:00:00"/>
    <n v="21.54"/>
    <n v="22.42"/>
    <n v="21.23"/>
    <n v="22.26"/>
    <n v="9938992"/>
    <x v="808"/>
    <x v="3"/>
    <n v="3.3426183844011255E-2"/>
  </r>
  <r>
    <d v="2018-12-31T00:00:00"/>
    <n v="22.52"/>
    <n v="22.61"/>
    <n v="21.68"/>
    <n v="22.19"/>
    <n v="6302338"/>
    <x v="809"/>
    <x v="3"/>
    <n v="-1.4653641207815199E-2"/>
  </r>
  <r>
    <d v="2019-01-02T00:00:00"/>
    <n v="20.41"/>
    <n v="21.01"/>
    <n v="19.920000000000002"/>
    <n v="20.67"/>
    <n v="11658648"/>
    <x v="810"/>
    <x v="4"/>
    <n v="1.273885350318479E-2"/>
  </r>
  <r>
    <d v="2019-01-03T00:00:00"/>
    <n v="20.47"/>
    <n v="20.63"/>
    <n v="19.829999999999998"/>
    <n v="20.02"/>
    <n v="6965184"/>
    <x v="811"/>
    <x v="4"/>
    <n v="-2.1983390327308224E-2"/>
  </r>
  <r>
    <d v="2019-01-04T00:00:00"/>
    <n v="20.399999999999999"/>
    <n v="21.2"/>
    <n v="20.18"/>
    <n v="21.18"/>
    <n v="7394116"/>
    <x v="812"/>
    <x v="4"/>
    <n v="3.8235294117647117E-2"/>
  </r>
  <r>
    <d v="2019-01-07T00:00:00"/>
    <n v="21.45"/>
    <n v="22.45"/>
    <n v="21.18"/>
    <n v="22.33"/>
    <n v="7551225"/>
    <x v="813"/>
    <x v="4"/>
    <n v="4.1025641025640984E-2"/>
  </r>
  <r>
    <d v="2019-01-08T00:00:00"/>
    <n v="22.8"/>
    <n v="22.93"/>
    <n v="21.8"/>
    <n v="22.36"/>
    <n v="7008516"/>
    <x v="814"/>
    <x v="4"/>
    <n v="-1.9298245614035144E-2"/>
  </r>
  <r>
    <d v="2019-01-09T00:00:00"/>
    <n v="22.37"/>
    <n v="22.9"/>
    <n v="22.1"/>
    <n v="22.57"/>
    <n v="5432945"/>
    <x v="815"/>
    <x v="4"/>
    <n v="8.9405453732677373E-3"/>
  </r>
  <r>
    <d v="2019-01-10T00:00:00"/>
    <n v="22.29"/>
    <n v="23.03"/>
    <n v="22.12"/>
    <n v="23"/>
    <n v="6056354"/>
    <x v="816"/>
    <x v="4"/>
    <n v="3.1852848811126107E-2"/>
  </r>
  <r>
    <d v="2019-01-11T00:00:00"/>
    <n v="22.81"/>
    <n v="23.23"/>
    <n v="22.58"/>
    <n v="23.15"/>
    <n v="5039052"/>
    <x v="817"/>
    <x v="4"/>
    <n v="1.4905743095133707E-2"/>
  </r>
  <r>
    <d v="2019-01-14T00:00:00"/>
    <n v="22.83"/>
    <n v="22.83"/>
    <n v="22.27"/>
    <n v="22.29"/>
    <n v="5247284"/>
    <x v="818"/>
    <x v="4"/>
    <n v="-2.3653088042049897E-2"/>
  </r>
  <r>
    <d v="2019-01-15T00:00:00"/>
    <n v="22.33"/>
    <n v="23.25"/>
    <n v="22.3"/>
    <n v="22.96"/>
    <n v="6056590"/>
    <x v="819"/>
    <x v="4"/>
    <n v="2.8213166144200743E-2"/>
  </r>
  <r>
    <d v="2019-01-16T00:00:00"/>
    <n v="22.99"/>
    <n v="23.47"/>
    <n v="22.9"/>
    <n v="23.07"/>
    <n v="4691739"/>
    <x v="820"/>
    <x v="4"/>
    <n v="3.479773814702125E-3"/>
  </r>
  <r>
    <d v="2019-01-17T00:00:00"/>
    <n v="23.08"/>
    <n v="23.43"/>
    <n v="22.94"/>
    <n v="23.15"/>
    <n v="3676733"/>
    <x v="821"/>
    <x v="4"/>
    <n v="3.0329289428076382E-3"/>
  </r>
  <r>
    <d v="2019-01-18T00:00:00"/>
    <n v="21.53"/>
    <n v="21.81"/>
    <n v="19.98"/>
    <n v="20.149999999999999"/>
    <n v="24150763"/>
    <x v="822"/>
    <x v="4"/>
    <n v="-6.4096609382257433E-2"/>
  </r>
  <r>
    <d v="2019-01-22T00:00:00"/>
    <n v="20.32"/>
    <n v="20.53"/>
    <n v="19.7"/>
    <n v="19.93"/>
    <n v="12066741"/>
    <x v="823"/>
    <x v="4"/>
    <n v="-1.91929133858268E-2"/>
  </r>
  <r>
    <d v="2019-01-23T00:00:00"/>
    <n v="19.5"/>
    <n v="19.63"/>
    <n v="18.78"/>
    <n v="19.170000000000002"/>
    <n v="12529993"/>
    <x v="824"/>
    <x v="4"/>
    <n v="-1.6923076923076836E-2"/>
  </r>
  <r>
    <d v="2019-01-24T00:00:00"/>
    <n v="18.87"/>
    <n v="19.579999999999998"/>
    <n v="18.62"/>
    <n v="19.43"/>
    <n v="8012155"/>
    <x v="825"/>
    <x v="4"/>
    <n v="2.9676735559088431E-2"/>
  </r>
  <r>
    <d v="2019-01-25T00:00:00"/>
    <n v="19.63"/>
    <n v="19.899999999999999"/>
    <n v="19.3"/>
    <n v="19.8"/>
    <n v="7258078"/>
    <x v="826"/>
    <x v="4"/>
    <n v="8.6602139582272909E-3"/>
  </r>
  <r>
    <d v="2019-01-28T00:00:00"/>
    <n v="19.53"/>
    <n v="19.829999999999998"/>
    <n v="19.18"/>
    <n v="19.760000000000002"/>
    <n v="6423279"/>
    <x v="827"/>
    <x v="4"/>
    <n v="1.1776753712237605E-2"/>
  </r>
  <r>
    <d v="2019-01-29T00:00:00"/>
    <n v="19.68"/>
    <n v="19.899999999999999"/>
    <n v="19.45"/>
    <n v="19.829999999999998"/>
    <n v="4621692"/>
    <x v="699"/>
    <x v="4"/>
    <n v="7.621951219512123E-3"/>
  </r>
  <r>
    <d v="2019-01-30T00:00:00"/>
    <n v="20.03"/>
    <n v="20.6"/>
    <n v="19.899999999999999"/>
    <n v="20.58"/>
    <n v="11250318"/>
    <x v="828"/>
    <x v="4"/>
    <n v="2.7458811782326367E-2"/>
  </r>
  <r>
    <d v="2019-01-31T00:00:00"/>
    <n v="20.07"/>
    <n v="20.77"/>
    <n v="19.600000000000001"/>
    <n v="20.47"/>
    <n v="12569245"/>
    <x v="829"/>
    <x v="4"/>
    <n v="1.9930244145490709E-2"/>
  </r>
  <r>
    <d v="2019-02-01T00:00:00"/>
    <n v="20.36"/>
    <n v="21.07"/>
    <n v="20.23"/>
    <n v="20.81"/>
    <n v="7283441"/>
    <x v="830"/>
    <x v="4"/>
    <n v="2.210216110019643E-2"/>
  </r>
  <r>
    <d v="2019-02-04T00:00:00"/>
    <n v="20.87"/>
    <n v="21.02"/>
    <n v="20.13"/>
    <n v="20.86"/>
    <n v="7352082"/>
    <x v="831"/>
    <x v="4"/>
    <n v="-4.7915668423581997E-4"/>
  </r>
  <r>
    <d v="2019-02-05T00:00:00"/>
    <n v="20.83"/>
    <n v="21.5"/>
    <n v="20.82"/>
    <n v="21.42"/>
    <n v="6742765"/>
    <x v="832"/>
    <x v="4"/>
    <n v="2.8324531925108185E-2"/>
  </r>
  <r>
    <d v="2019-02-06T00:00:00"/>
    <n v="21.31"/>
    <n v="21.62"/>
    <n v="21.04"/>
    <n v="21.15"/>
    <n v="5038546"/>
    <x v="833"/>
    <x v="4"/>
    <n v="-7.50821210699203E-3"/>
  </r>
  <r>
    <d v="2019-02-07T00:00:00"/>
    <n v="20.89"/>
    <n v="20.98"/>
    <n v="20.2"/>
    <n v="20.5"/>
    <n v="6520611"/>
    <x v="834"/>
    <x v="4"/>
    <n v="-1.8669219722355222E-2"/>
  </r>
  <r>
    <d v="2019-02-08T00:00:00"/>
    <n v="20.46"/>
    <n v="20.5"/>
    <n v="19.899999999999999"/>
    <n v="20.39"/>
    <n v="5844212"/>
    <x v="835"/>
    <x v="4"/>
    <n v="-3.42130987292279E-3"/>
  </r>
  <r>
    <d v="2019-02-11T00:00:00"/>
    <n v="20.77"/>
    <n v="21.24"/>
    <n v="20.7"/>
    <n v="20.86"/>
    <n v="7129713"/>
    <x v="836"/>
    <x v="4"/>
    <n v="4.3331728454501619E-3"/>
  </r>
  <r>
    <d v="2019-02-12T00:00:00"/>
    <n v="21.08"/>
    <n v="21.21"/>
    <n v="20.64"/>
    <n v="20.79"/>
    <n v="5517570"/>
    <x v="837"/>
    <x v="4"/>
    <n v="-1.3757115749525577E-2"/>
  </r>
  <r>
    <d v="2019-02-13T00:00:00"/>
    <n v="20.82"/>
    <n v="20.85"/>
    <n v="20.37"/>
    <n v="20.54"/>
    <n v="5141617"/>
    <x v="838"/>
    <x v="4"/>
    <n v="-1.3448607108549527E-2"/>
  </r>
  <r>
    <d v="2019-02-14T00:00:00"/>
    <n v="20.23"/>
    <n v="20.45"/>
    <n v="20.07"/>
    <n v="20.25"/>
    <n v="5200832"/>
    <x v="839"/>
    <x v="4"/>
    <n v="9.8863074641619242E-4"/>
  </r>
  <r>
    <d v="2019-02-15T00:00:00"/>
    <n v="20.3"/>
    <n v="20.53"/>
    <n v="20.260000000000002"/>
    <n v="20.53"/>
    <n v="3904947"/>
    <x v="840"/>
    <x v="4"/>
    <n v="1.1330049261083764E-2"/>
  </r>
  <r>
    <d v="2019-02-19T00:00:00"/>
    <n v="20.440000000000001"/>
    <n v="20.77"/>
    <n v="20.36"/>
    <n v="20.38"/>
    <n v="4168443"/>
    <x v="841"/>
    <x v="4"/>
    <n v="-2.9354207436400326E-3"/>
  </r>
  <r>
    <d v="2019-02-20T00:00:00"/>
    <n v="20.29"/>
    <n v="20.420000000000002"/>
    <n v="19.93"/>
    <n v="20.170000000000002"/>
    <n v="7142117"/>
    <x v="842"/>
    <x v="4"/>
    <n v="-5.9142434696893764E-3"/>
  </r>
  <r>
    <d v="2019-02-21T00:00:00"/>
    <n v="20.12"/>
    <n v="20.22"/>
    <n v="19.37"/>
    <n v="19.420000000000002"/>
    <n v="8909182"/>
    <x v="843"/>
    <x v="4"/>
    <n v="-3.4791252485089429E-2"/>
  </r>
  <r>
    <d v="2019-02-22T00:00:00"/>
    <n v="19.63"/>
    <n v="19.77"/>
    <n v="19.47"/>
    <n v="19.649999999999999"/>
    <n v="5740558"/>
    <x v="844"/>
    <x v="4"/>
    <n v="1.0188487009678846E-3"/>
  </r>
  <r>
    <d v="2019-02-25T00:00:00"/>
    <n v="19.86"/>
    <n v="20.190000000000001"/>
    <n v="19.8"/>
    <n v="19.920000000000002"/>
    <n v="6626522"/>
    <x v="845"/>
    <x v="4"/>
    <n v="3.0211480362538909E-3"/>
  </r>
  <r>
    <d v="2019-02-26T00:00:00"/>
    <n v="19.48"/>
    <n v="20.13"/>
    <n v="19.25"/>
    <n v="19.86"/>
    <n v="8582535"/>
    <x v="846"/>
    <x v="4"/>
    <n v="1.9507186858316171E-2"/>
  </r>
  <r>
    <d v="2019-02-27T00:00:00"/>
    <n v="20.12"/>
    <n v="21.09"/>
    <n v="20.04"/>
    <n v="20.98"/>
    <n v="11183908"/>
    <x v="847"/>
    <x v="4"/>
    <n v="4.2743538767395596E-2"/>
  </r>
  <r>
    <d v="2019-02-28T00:00:00"/>
    <n v="21.26"/>
    <n v="21.33"/>
    <n v="20.72"/>
    <n v="21.33"/>
    <n v="10520653"/>
    <x v="848"/>
    <x v="4"/>
    <n v="3.292568203198341E-3"/>
  </r>
  <r>
    <d v="2019-03-01T00:00:00"/>
    <n v="20.46"/>
    <n v="20.48"/>
    <n v="19.46"/>
    <n v="19.649999999999999"/>
    <n v="22911375"/>
    <x v="849"/>
    <x v="4"/>
    <n v="-3.9589442815249377E-2"/>
  </r>
  <r>
    <d v="2019-03-04T00:00:00"/>
    <n v="19.87"/>
    <n v="19.93"/>
    <n v="18.850000000000001"/>
    <n v="19.02"/>
    <n v="17096818"/>
    <x v="850"/>
    <x v="4"/>
    <n v="-4.2778057372924075E-2"/>
  </r>
  <r>
    <d v="2019-03-05T00:00:00"/>
    <n v="18.8"/>
    <n v="18.93"/>
    <n v="18.010000000000002"/>
    <n v="18.440000000000001"/>
    <n v="18764740"/>
    <x v="851"/>
    <x v="4"/>
    <n v="-1.9148936170212735E-2"/>
  </r>
  <r>
    <d v="2019-03-06T00:00:00"/>
    <n v="18.43"/>
    <n v="18.77"/>
    <n v="18.29"/>
    <n v="18.420000000000002"/>
    <n v="10335485"/>
    <x v="852"/>
    <x v="4"/>
    <n v="-5.4259359739544275E-4"/>
  </r>
  <r>
    <d v="2019-03-07T00:00:00"/>
    <n v="18.59"/>
    <n v="18.98"/>
    <n v="18.28"/>
    <n v="18.440000000000001"/>
    <n v="9442483"/>
    <x v="853"/>
    <x v="4"/>
    <n v="-8.0688542227002995E-3"/>
  </r>
  <r>
    <d v="2019-03-08T00:00:00"/>
    <n v="18.46"/>
    <n v="19.04"/>
    <n v="18.39"/>
    <n v="18.940000000000001"/>
    <n v="8819625"/>
    <x v="854"/>
    <x v="4"/>
    <n v="2.6002166847237291E-2"/>
  </r>
  <r>
    <d v="2019-03-11T00:00:00"/>
    <n v="18.899999999999999"/>
    <n v="19.420000000000002"/>
    <n v="18.7"/>
    <n v="19.39"/>
    <n v="7392278"/>
    <x v="855"/>
    <x v="4"/>
    <n v="2.5925925925926033E-2"/>
  </r>
  <r>
    <d v="2019-03-12T00:00:00"/>
    <n v="19.100000000000001"/>
    <n v="19.2"/>
    <n v="18.739999999999998"/>
    <n v="18.89"/>
    <n v="7504137"/>
    <x v="856"/>
    <x v="4"/>
    <n v="-1.0994764397905803E-2"/>
  </r>
  <r>
    <d v="2019-03-13T00:00:00"/>
    <n v="18.93"/>
    <n v="19.47"/>
    <n v="18.850000000000001"/>
    <n v="19.260000000000002"/>
    <n v="6844719"/>
    <x v="857"/>
    <x v="4"/>
    <n v="1.7432646592710082E-2"/>
  </r>
  <r>
    <d v="2019-03-14T00:00:00"/>
    <n v="19.5"/>
    <n v="19.690000000000001"/>
    <n v="19.22"/>
    <n v="19.329999999999998"/>
    <n v="7103447"/>
    <x v="858"/>
    <x v="4"/>
    <n v="-8.717948717948806E-3"/>
  </r>
  <r>
    <d v="2019-03-15T00:00:00"/>
    <n v="18.899999999999999"/>
    <n v="18.91"/>
    <n v="18.29"/>
    <n v="18.36"/>
    <n v="14785531"/>
    <x v="859"/>
    <x v="4"/>
    <n v="-2.8571428571428529E-2"/>
  </r>
  <r>
    <d v="2019-03-18T00:00:00"/>
    <n v="18.399999999999999"/>
    <n v="18.54"/>
    <n v="17.82"/>
    <n v="17.97"/>
    <n v="10280980"/>
    <x v="860"/>
    <x v="4"/>
    <n v="-2.3369565217391291E-2"/>
  </r>
  <r>
    <d v="2019-03-19T00:00:00"/>
    <n v="17.829999999999998"/>
    <n v="18.22"/>
    <n v="17.559999999999999"/>
    <n v="17.829999999999998"/>
    <n v="11800630"/>
    <x v="861"/>
    <x v="4"/>
    <n v="0"/>
  </r>
  <r>
    <d v="2019-03-20T00:00:00"/>
    <n v="17.98"/>
    <n v="18.329999999999998"/>
    <n v="17.75"/>
    <n v="18.239999999999998"/>
    <n v="6908224"/>
    <x v="862"/>
    <x v="4"/>
    <n v="1.4460511679643937E-2"/>
  </r>
  <r>
    <d v="2019-03-21T00:00:00"/>
    <n v="18.170000000000002"/>
    <n v="18.43"/>
    <n v="17.899999999999999"/>
    <n v="18.27"/>
    <n v="5947098"/>
    <x v="863"/>
    <x v="4"/>
    <n v="5.5035773252613022E-3"/>
  </r>
  <r>
    <d v="2019-03-22T00:00:00"/>
    <n v="18.170000000000002"/>
    <n v="18.190000000000001"/>
    <n v="17.600000000000001"/>
    <n v="17.64"/>
    <n v="8745609"/>
    <x v="864"/>
    <x v="4"/>
    <n v="-2.9168959823885586E-2"/>
  </r>
  <r>
    <d v="2019-03-25T00:00:00"/>
    <n v="17.309999999999999"/>
    <n v="17.55"/>
    <n v="16.96"/>
    <n v="17.36"/>
    <n v="10215029"/>
    <x v="865"/>
    <x v="4"/>
    <n v="2.8885037550549228E-3"/>
  </r>
  <r>
    <d v="2019-03-26T00:00:00"/>
    <n v="17.63"/>
    <n v="18.02"/>
    <n v="17.63"/>
    <n v="17.850000000000001"/>
    <n v="7350948"/>
    <x v="866"/>
    <x v="4"/>
    <n v="1.2478729438457313E-2"/>
  </r>
  <r>
    <d v="2019-03-27T00:00:00"/>
    <n v="17.920000000000002"/>
    <n v="18.36"/>
    <n v="17.88"/>
    <n v="18.32"/>
    <n v="8779166"/>
    <x v="867"/>
    <x v="4"/>
    <n v="2.2321428571428489E-2"/>
  </r>
  <r>
    <d v="2019-03-28T00:00:00"/>
    <n v="18.48"/>
    <n v="18.690000000000001"/>
    <n v="18.34"/>
    <n v="18.57"/>
    <n v="6774093"/>
    <x v="868"/>
    <x v="4"/>
    <n v="4.8701298701298622E-3"/>
  </r>
  <r>
    <d v="2019-03-29T00:00:00"/>
    <n v="18.579999999999998"/>
    <n v="18.68"/>
    <n v="18.3"/>
    <n v="18.66"/>
    <n v="5991338"/>
    <x v="869"/>
    <x v="4"/>
    <n v="4.3057050592035448E-3"/>
  </r>
  <r>
    <d v="2019-04-01T00:00:00"/>
    <n v="18.84"/>
    <n v="19.28"/>
    <n v="18.75"/>
    <n v="19.28"/>
    <n v="8110439"/>
    <x v="870"/>
    <x v="4"/>
    <n v="2.3354564755838709E-2"/>
  </r>
  <r>
    <d v="2019-04-02T00:00:00"/>
    <n v="19.22"/>
    <n v="19.3"/>
    <n v="18.93"/>
    <n v="19.059999999999999"/>
    <n v="5478940"/>
    <x v="871"/>
    <x v="4"/>
    <n v="-8.3246618106139515E-3"/>
  </r>
  <r>
    <d v="2019-04-03T00:00:00"/>
    <n v="19.149999999999999"/>
    <n v="19.739999999999998"/>
    <n v="19.14"/>
    <n v="19.45"/>
    <n v="7929864"/>
    <x v="872"/>
    <x v="4"/>
    <n v="1.5665796344647556E-2"/>
  </r>
  <r>
    <d v="2019-04-04T00:00:00"/>
    <n v="17.46"/>
    <n v="18.079999999999998"/>
    <n v="17.37"/>
    <n v="17.850000000000001"/>
    <n v="23720729"/>
    <x v="873"/>
    <x v="4"/>
    <n v="2.2336769759450203E-2"/>
  </r>
  <r>
    <d v="2019-04-05T00:00:00"/>
    <n v="17.989999999999998"/>
    <n v="18.41"/>
    <n v="17.739999999999998"/>
    <n v="18.329999999999998"/>
    <n v="13038257"/>
    <x v="874"/>
    <x v="4"/>
    <n v="1.8899388549193992E-2"/>
  </r>
  <r>
    <d v="2019-04-08T00:00:00"/>
    <n v="18.510000000000002"/>
    <n v="18.739999999999998"/>
    <n v="18.03"/>
    <n v="18.21"/>
    <n v="10410436"/>
    <x v="875"/>
    <x v="4"/>
    <n v="-1.6207455429497607E-2"/>
  </r>
  <r>
    <d v="2019-04-09T00:00:00"/>
    <n v="18.11"/>
    <n v="18.329999999999998"/>
    <n v="17.97"/>
    <n v="18.149999999999999"/>
    <n v="5904031"/>
    <x v="876"/>
    <x v="4"/>
    <n v="2.2087244616233654E-3"/>
  </r>
  <r>
    <d v="2019-04-10T00:00:00"/>
    <n v="18.45"/>
    <n v="18.559999999999999"/>
    <n v="18.190000000000001"/>
    <n v="18.399999999999999"/>
    <n v="7061314"/>
    <x v="877"/>
    <x v="4"/>
    <n v="-2.7100271002710413E-3"/>
  </r>
  <r>
    <d v="2019-04-11T00:00:00"/>
    <n v="17.89"/>
    <n v="18.03"/>
    <n v="17.71"/>
    <n v="17.89"/>
    <n v="9835927"/>
    <x v="878"/>
    <x v="4"/>
    <n v="0"/>
  </r>
  <r>
    <d v="2019-04-12T00:00:00"/>
    <n v="18.010000000000002"/>
    <n v="18.13"/>
    <n v="17.79"/>
    <n v="17.850000000000001"/>
    <n v="6745974"/>
    <x v="879"/>
    <x v="4"/>
    <n v="-8.8839533592448717E-3"/>
  </r>
  <r>
    <d v="2019-04-15T00:00:00"/>
    <n v="17.91"/>
    <n v="17.93"/>
    <n v="17.239999999999998"/>
    <n v="17.760000000000002"/>
    <n v="10038579"/>
    <x v="880"/>
    <x v="4"/>
    <n v="-8.3752093802344271E-3"/>
  </r>
  <r>
    <d v="2019-04-16T00:00:00"/>
    <n v="17.72"/>
    <n v="18.329999999999998"/>
    <n v="17.649999999999999"/>
    <n v="18.22"/>
    <n v="7272930"/>
    <x v="881"/>
    <x v="4"/>
    <n v="2.8216704288939055E-2"/>
  </r>
  <r>
    <d v="2019-04-17T00:00:00"/>
    <n v="18.32"/>
    <n v="18.32"/>
    <n v="17.899999999999999"/>
    <n v="18.079999999999998"/>
    <n v="5126468"/>
    <x v="882"/>
    <x v="4"/>
    <n v="-1.3100436681222816E-2"/>
  </r>
  <r>
    <d v="2019-04-18T00:00:00"/>
    <n v="18.079999999999998"/>
    <n v="18.32"/>
    <n v="17.98"/>
    <n v="18.22"/>
    <n v="5876325"/>
    <x v="883"/>
    <x v="4"/>
    <n v="7.7433628318584391E-3"/>
  </r>
  <r>
    <d v="2019-04-22T00:00:00"/>
    <n v="17.93"/>
    <n v="17.98"/>
    <n v="17.5"/>
    <n v="17.52"/>
    <n v="12147141"/>
    <x v="884"/>
    <x v="4"/>
    <n v="-2.2866703848298947E-2"/>
  </r>
  <r>
    <d v="2019-04-23T00:00:00"/>
    <n v="17.34"/>
    <n v="17.71"/>
    <n v="17.05"/>
    <n v="17.59"/>
    <n v="10943859"/>
    <x v="885"/>
    <x v="4"/>
    <n v="1.4417531718569781E-2"/>
  </r>
  <r>
    <d v="2019-04-24T00:00:00"/>
    <n v="17.59"/>
    <n v="17.690000000000001"/>
    <n v="17.2"/>
    <n v="17.239999999999998"/>
    <n v="10727454"/>
    <x v="886"/>
    <x v="4"/>
    <n v="-1.9897669130187687E-2"/>
  </r>
  <r>
    <d v="2019-04-25T00:00:00"/>
    <n v="17"/>
    <n v="17.27"/>
    <n v="16.399999999999999"/>
    <n v="16.510000000000002"/>
    <n v="21849393"/>
    <x v="887"/>
    <x v="4"/>
    <n v="-2.8823529411764613E-2"/>
  </r>
  <r>
    <d v="2019-04-26T00:00:00"/>
    <n v="16.43"/>
    <n v="16.45"/>
    <n v="15.41"/>
    <n v="15.68"/>
    <n v="22360709"/>
    <x v="888"/>
    <x v="4"/>
    <n v="-4.564820450395618E-2"/>
  </r>
  <r>
    <d v="2019-04-29T00:00:00"/>
    <n v="15.72"/>
    <n v="16.27"/>
    <n v="15.48"/>
    <n v="16.100000000000001"/>
    <n v="16714476"/>
    <x v="889"/>
    <x v="4"/>
    <n v="2.4173027989821932E-2"/>
  </r>
  <r>
    <d v="2019-04-30T00:00:00"/>
    <n v="16.14"/>
    <n v="16.28"/>
    <n v="15.8"/>
    <n v="15.91"/>
    <n v="9464628"/>
    <x v="890"/>
    <x v="4"/>
    <n v="-1.4250309789343272E-2"/>
  </r>
  <r>
    <d v="2019-05-01T00:00:00"/>
    <n v="15.92"/>
    <n v="16"/>
    <n v="15.43"/>
    <n v="15.6"/>
    <n v="10704354"/>
    <x v="891"/>
    <x v="4"/>
    <n v="-2.0100502512562832E-2"/>
  </r>
  <r>
    <d v="2019-05-02T00:00:00"/>
    <n v="16.37"/>
    <n v="16.48"/>
    <n v="15.85"/>
    <n v="16.27"/>
    <n v="18159339"/>
    <x v="892"/>
    <x v="4"/>
    <n v="-6.1087354917532932E-3"/>
  </r>
  <r>
    <d v="2019-05-03T00:00:00"/>
    <n v="16.260000000000002"/>
    <n v="17.11"/>
    <n v="16.23"/>
    <n v="17"/>
    <n v="23706771"/>
    <x v="893"/>
    <x v="4"/>
    <n v="4.5510455104550943E-2"/>
  </r>
  <r>
    <d v="2019-05-06T00:00:00"/>
    <n v="16.670000000000002"/>
    <n v="17.22"/>
    <n v="16.57"/>
    <n v="17.02"/>
    <n v="10833943"/>
    <x v="894"/>
    <x v="4"/>
    <n v="2.0995800839831904E-2"/>
  </r>
  <r>
    <d v="2019-05-07T00:00:00"/>
    <n v="17.12"/>
    <n v="17.149999999999999"/>
    <n v="16.34"/>
    <n v="16.47"/>
    <n v="10131408"/>
    <x v="895"/>
    <x v="4"/>
    <n v="-3.796728971962629E-2"/>
  </r>
  <r>
    <d v="2019-05-08T00:00:00"/>
    <n v="16.46"/>
    <n v="16.71"/>
    <n v="16.28"/>
    <n v="16.32"/>
    <n v="6176440"/>
    <x v="896"/>
    <x v="4"/>
    <n v="-8.5054678007290743E-3"/>
  </r>
  <r>
    <d v="2019-05-09T00:00:00"/>
    <n v="16.13"/>
    <n v="16.25"/>
    <n v="15.8"/>
    <n v="16.13"/>
    <n v="6711382"/>
    <x v="897"/>
    <x v="4"/>
    <n v="0"/>
  </r>
  <r>
    <d v="2019-05-10T00:00:00"/>
    <n v="15.98"/>
    <n v="16.13"/>
    <n v="15.73"/>
    <n v="15.97"/>
    <n v="7008336"/>
    <x v="898"/>
    <x v="4"/>
    <n v="-6.2578222778471759E-4"/>
  </r>
  <r>
    <d v="2019-05-13T00:00:00"/>
    <n v="15.47"/>
    <n v="15.5"/>
    <n v="14.97"/>
    <n v="15.13"/>
    <n v="10834796"/>
    <x v="899"/>
    <x v="4"/>
    <n v="-2.1978021978021969E-2"/>
  </r>
  <r>
    <d v="2019-05-14T00:00:00"/>
    <n v="15.29"/>
    <n v="15.63"/>
    <n v="15.2"/>
    <n v="15.49"/>
    <n v="7252412"/>
    <x v="900"/>
    <x v="4"/>
    <n v="1.3080444735121065E-2"/>
  </r>
  <r>
    <d v="2019-05-15T00:00:00"/>
    <n v="15.29"/>
    <n v="15.5"/>
    <n v="15.02"/>
    <n v="15.46"/>
    <n v="7295976"/>
    <x v="901"/>
    <x v="4"/>
    <n v="1.1118378024852956E-2"/>
  </r>
  <r>
    <d v="2019-05-16T00:00:00"/>
    <n v="15.3"/>
    <n v="15.4"/>
    <n v="15.1"/>
    <n v="15.22"/>
    <n v="7483273"/>
    <x v="902"/>
    <x v="4"/>
    <n v="-5.2287581699346445E-3"/>
  </r>
  <r>
    <d v="2019-05-17T00:00:00"/>
    <n v="14.8"/>
    <n v="14.82"/>
    <n v="13.93"/>
    <n v="14.07"/>
    <n v="17786666"/>
    <x v="903"/>
    <x v="4"/>
    <n v="-4.9324324324324348E-2"/>
  </r>
  <r>
    <d v="2019-05-20T00:00:00"/>
    <n v="13.52"/>
    <n v="13.73"/>
    <n v="13.02"/>
    <n v="13.69"/>
    <n v="20526195"/>
    <x v="904"/>
    <x v="4"/>
    <n v="1.2573964497041415E-2"/>
  </r>
  <r>
    <d v="2019-05-21T00:00:00"/>
    <n v="13.18"/>
    <n v="13.83"/>
    <n v="13.07"/>
    <n v="13.67"/>
    <n v="18003899"/>
    <x v="905"/>
    <x v="4"/>
    <n v="3.7177541729893793E-2"/>
  </r>
  <r>
    <d v="2019-05-22T00:00:00"/>
    <n v="13.27"/>
    <n v="13.6"/>
    <n v="12.79"/>
    <n v="12.85"/>
    <n v="18685187"/>
    <x v="906"/>
    <x v="4"/>
    <n v="-3.1650339110776179E-2"/>
  </r>
  <r>
    <d v="2019-05-23T00:00:00"/>
    <n v="12.96"/>
    <n v="13.3"/>
    <n v="12.41"/>
    <n v="13.03"/>
    <n v="26547142"/>
    <x v="907"/>
    <x v="4"/>
    <n v="5.4012345679011189E-3"/>
  </r>
  <r>
    <d v="2019-05-24T00:00:00"/>
    <n v="13.32"/>
    <n v="13.33"/>
    <n v="12.58"/>
    <n v="12.71"/>
    <n v="14136572"/>
    <x v="908"/>
    <x v="4"/>
    <n v="-4.5795795795795749E-2"/>
  </r>
  <r>
    <d v="2019-05-28T00:00:00"/>
    <n v="12.75"/>
    <n v="13"/>
    <n v="12.52"/>
    <n v="12.58"/>
    <n v="10312901"/>
    <x v="909"/>
    <x v="4"/>
    <n v="-1.3333333333333327E-2"/>
  </r>
  <r>
    <d v="2019-05-29T00:00:00"/>
    <n v="12.47"/>
    <n v="12.83"/>
    <n v="12.34"/>
    <n v="12.66"/>
    <n v="11968638"/>
    <x v="910"/>
    <x v="4"/>
    <n v="1.5236567762630273E-2"/>
  </r>
  <r>
    <d v="2019-05-30T00:00:00"/>
    <n v="12.58"/>
    <n v="12.82"/>
    <n v="12.47"/>
    <n v="12.55"/>
    <n v="7926475"/>
    <x v="911"/>
    <x v="4"/>
    <n v="-2.384737678855275E-3"/>
  </r>
  <r>
    <d v="2019-05-31T00:00:00"/>
    <n v="12.34"/>
    <n v="12.66"/>
    <n v="12.27"/>
    <n v="12.34"/>
    <n v="10406732"/>
    <x v="912"/>
    <x v="4"/>
    <n v="0"/>
  </r>
  <r>
    <d v="2019-06-03T00:00:00"/>
    <n v="12.37"/>
    <n v="12.45"/>
    <n v="11.8"/>
    <n v="11.93"/>
    <n v="13064410"/>
    <x v="913"/>
    <x v="4"/>
    <n v="-3.55699272433306E-2"/>
  </r>
  <r>
    <d v="2019-06-04T00:00:00"/>
    <n v="12.07"/>
    <n v="12.93"/>
    <n v="11.97"/>
    <n v="12.91"/>
    <n v="13807522"/>
    <x v="914"/>
    <x v="4"/>
    <n v="6.9594034797017382E-2"/>
  </r>
  <r>
    <d v="2019-06-05T00:00:00"/>
    <n v="13.25"/>
    <n v="13.42"/>
    <n v="12.79"/>
    <n v="13.11"/>
    <n v="13510756"/>
    <x v="915"/>
    <x v="4"/>
    <n v="-1.0566037735849099E-2"/>
  </r>
  <r>
    <d v="2019-06-06T00:00:00"/>
    <n v="13.63"/>
    <n v="14.07"/>
    <n v="13.45"/>
    <n v="13.73"/>
    <n v="20242151"/>
    <x v="916"/>
    <x v="4"/>
    <n v="7.3367571533381982E-3"/>
  </r>
  <r>
    <d v="2019-06-07T00:00:00"/>
    <n v="13.67"/>
    <n v="14.06"/>
    <n v="13.57"/>
    <n v="13.63"/>
    <n v="16003527"/>
    <x v="917"/>
    <x v="4"/>
    <n v="-2.9261155815654095E-3"/>
  </r>
  <r>
    <d v="2019-06-10T00:00:00"/>
    <n v="14.02"/>
    <n v="14.46"/>
    <n v="13.93"/>
    <n v="14.19"/>
    <n v="10585039"/>
    <x v="918"/>
    <x v="4"/>
    <n v="1.2125534950071322E-2"/>
  </r>
  <r>
    <d v="2019-06-11T00:00:00"/>
    <n v="14.61"/>
    <n v="14.73"/>
    <n v="14.23"/>
    <n v="14.47"/>
    <n v="11653537"/>
    <x v="919"/>
    <x v="4"/>
    <n v="-9.5824777549622722E-3"/>
  </r>
  <r>
    <d v="2019-06-12T00:00:00"/>
    <n v="14.86"/>
    <n v="14.89"/>
    <n v="13.93"/>
    <n v="13.95"/>
    <n v="15197544"/>
    <x v="920"/>
    <x v="4"/>
    <n v="-6.1238223418573365E-2"/>
  </r>
  <r>
    <d v="2019-06-13T00:00:00"/>
    <n v="14.03"/>
    <n v="14.33"/>
    <n v="13.83"/>
    <n v="14.26"/>
    <n v="8168260"/>
    <x v="921"/>
    <x v="4"/>
    <n v="1.6393442622950852E-2"/>
  </r>
  <r>
    <d v="2019-06-14T00:00:00"/>
    <n v="14.08"/>
    <n v="14.44"/>
    <n v="14.03"/>
    <n v="14.33"/>
    <n v="7433402"/>
    <x v="922"/>
    <x v="4"/>
    <n v="1.775568181818182E-2"/>
  </r>
  <r>
    <d v="2019-06-17T00:00:00"/>
    <n v="14.37"/>
    <n v="15.13"/>
    <n v="14.28"/>
    <n v="15"/>
    <n v="12316803"/>
    <x v="923"/>
    <x v="4"/>
    <n v="4.3841336116910289E-2"/>
  </r>
  <r>
    <d v="2019-06-18T00:00:00"/>
    <n v="15.25"/>
    <n v="15.65"/>
    <n v="14.84"/>
    <n v="14.98"/>
    <n v="12715788"/>
    <x v="924"/>
    <x v="4"/>
    <n v="-1.7704918032786857E-2"/>
  </r>
  <r>
    <d v="2019-06-19T00:00:00"/>
    <n v="15.01"/>
    <n v="15.18"/>
    <n v="14.74"/>
    <n v="15.1"/>
    <n v="6575135"/>
    <x v="925"/>
    <x v="4"/>
    <n v="5.9960026648900643E-3"/>
  </r>
  <r>
    <d v="2019-06-20T00:00:00"/>
    <n v="14.87"/>
    <n v="15.13"/>
    <n v="14.42"/>
    <n v="14.64"/>
    <n v="11863462"/>
    <x v="926"/>
    <x v="4"/>
    <n v="-1.546738399461995E-2"/>
  </r>
  <r>
    <d v="2019-06-21T00:00:00"/>
    <n v="14.41"/>
    <n v="14.81"/>
    <n v="14.37"/>
    <n v="14.79"/>
    <n v="8202078"/>
    <x v="927"/>
    <x v="4"/>
    <n v="2.6370575988896531E-2"/>
  </r>
  <r>
    <d v="2019-06-24T00:00:00"/>
    <n v="14.88"/>
    <n v="15.06"/>
    <n v="14.73"/>
    <n v="14.91"/>
    <n v="5750771"/>
    <x v="928"/>
    <x v="4"/>
    <n v="2.0161290322580215E-3"/>
  </r>
  <r>
    <d v="2019-06-25T00:00:00"/>
    <n v="14.96"/>
    <n v="15.02"/>
    <n v="14.63"/>
    <n v="14.65"/>
    <n v="6182071"/>
    <x v="929"/>
    <x v="4"/>
    <n v="-2.072192513368987E-2"/>
  </r>
  <r>
    <d v="2019-06-26T00:00:00"/>
    <n v="14.69"/>
    <n v="15.15"/>
    <n v="14.54"/>
    <n v="14.62"/>
    <n v="8507208"/>
    <x v="930"/>
    <x v="4"/>
    <n v="-4.7651463580667313E-3"/>
  </r>
  <r>
    <d v="2019-06-27T00:00:00"/>
    <n v="14.63"/>
    <n v="14.86"/>
    <n v="14.49"/>
    <n v="14.86"/>
    <n v="6339710"/>
    <x v="931"/>
    <x v="4"/>
    <n v="1.5721120984278785E-2"/>
  </r>
  <r>
    <d v="2019-06-28T00:00:00"/>
    <n v="14.73"/>
    <n v="15.01"/>
    <n v="14.72"/>
    <n v="14.9"/>
    <n v="6851384"/>
    <x v="932"/>
    <x v="4"/>
    <n v="1.154107264086897E-2"/>
  </r>
  <r>
    <d v="2019-07-01T00:00:00"/>
    <n v="15.35"/>
    <n v="15.54"/>
    <n v="15.09"/>
    <n v="15.14"/>
    <n v="8237964"/>
    <x v="933"/>
    <x v="4"/>
    <n v="-1.3680781758957594E-2"/>
  </r>
  <r>
    <d v="2019-07-02T00:00:00"/>
    <n v="15.26"/>
    <n v="15.28"/>
    <n v="14.81"/>
    <n v="14.97"/>
    <n v="9259027"/>
    <x v="934"/>
    <x v="4"/>
    <n v="-1.9003931847968489E-2"/>
  </r>
  <r>
    <d v="2019-07-03T00:00:00"/>
    <n v="15.96"/>
    <n v="16.100000000000001"/>
    <n v="15.63"/>
    <n v="15.66"/>
    <n v="14201148"/>
    <x v="935"/>
    <x v="4"/>
    <n v="-1.8796992481203052E-2"/>
  </r>
  <r>
    <d v="2019-07-05T00:00:00"/>
    <n v="15.64"/>
    <n v="15.7"/>
    <n v="15.39"/>
    <n v="15.54"/>
    <n v="7065738"/>
    <x v="936"/>
    <x v="4"/>
    <n v="-6.3938618925832112E-3"/>
  </r>
  <r>
    <d v="2019-07-08T00:00:00"/>
    <n v="15.42"/>
    <n v="15.48"/>
    <n v="15.24"/>
    <n v="15.36"/>
    <n v="5880542"/>
    <x v="937"/>
    <x v="4"/>
    <n v="-3.8910505836576197E-3"/>
  </r>
  <r>
    <d v="2019-07-09T00:00:00"/>
    <n v="15.26"/>
    <n v="15.4"/>
    <n v="15.15"/>
    <n v="15.34"/>
    <n v="6190835"/>
    <x v="938"/>
    <x v="4"/>
    <n v="5.2424639580602927E-3"/>
  </r>
  <r>
    <d v="2019-07-10T00:00:00"/>
    <n v="15.61"/>
    <n v="15.93"/>
    <n v="15.54"/>
    <n v="15.93"/>
    <n v="9145736"/>
    <x v="939"/>
    <x v="4"/>
    <n v="2.0499679692504824E-2"/>
  </r>
  <r>
    <d v="2019-07-11T00:00:00"/>
    <n v="15.88"/>
    <n v="16.100000000000001"/>
    <n v="15.72"/>
    <n v="15.91"/>
    <n v="7514430"/>
    <x v="940"/>
    <x v="4"/>
    <n v="1.8891687657430327E-3"/>
  </r>
  <r>
    <d v="2019-07-12T00:00:00"/>
    <n v="15.98"/>
    <n v="16.36"/>
    <n v="15.98"/>
    <n v="16.34"/>
    <n v="9200521"/>
    <x v="941"/>
    <x v="4"/>
    <n v="2.2528160200250277E-2"/>
  </r>
  <r>
    <d v="2019-07-15T00:00:00"/>
    <n v="16.53"/>
    <n v="16.96"/>
    <n v="16.32"/>
    <n v="16.899999999999999"/>
    <n v="11000092"/>
    <x v="942"/>
    <x v="4"/>
    <n v="2.2383545069570323E-2"/>
  </r>
  <r>
    <d v="2019-07-16T00:00:00"/>
    <n v="16.62"/>
    <n v="16.899999999999999"/>
    <n v="16.53"/>
    <n v="16.829999999999998"/>
    <n v="8148989"/>
    <x v="943"/>
    <x v="4"/>
    <n v="1.2635379061371677E-2"/>
  </r>
  <r>
    <d v="2019-07-17T00:00:00"/>
    <n v="17.04"/>
    <n v="17.22"/>
    <n v="16.89"/>
    <n v="16.989999999999998"/>
    <n v="9764727"/>
    <x v="944"/>
    <x v="4"/>
    <n v="-2.9342723004695255E-3"/>
  </r>
  <r>
    <d v="2019-07-18T00:00:00"/>
    <n v="17"/>
    <n v="17.05"/>
    <n v="16.79"/>
    <n v="16.899999999999999"/>
    <n v="4764483"/>
    <x v="945"/>
    <x v="4"/>
    <n v="-5.8823529411765538E-3"/>
  </r>
  <r>
    <d v="2019-07-19T00:00:00"/>
    <n v="17.05"/>
    <n v="17.329999999999998"/>
    <n v="16.97"/>
    <n v="17.21"/>
    <n v="7048410"/>
    <x v="946"/>
    <x v="4"/>
    <n v="9.384164222873909E-3"/>
  </r>
  <r>
    <d v="2019-07-22T00:00:00"/>
    <n v="17.25"/>
    <n v="17.48"/>
    <n v="16.95"/>
    <n v="17.05"/>
    <n v="6846273"/>
    <x v="947"/>
    <x v="4"/>
    <n v="-1.1594202898550683E-2"/>
  </r>
  <r>
    <d v="2019-07-23T00:00:00"/>
    <n v="17.11"/>
    <n v="17.37"/>
    <n v="16.97"/>
    <n v="17.34"/>
    <n v="5023121"/>
    <x v="948"/>
    <x v="4"/>
    <n v="1.3442431326709551E-2"/>
  </r>
  <r>
    <d v="2019-07-24T00:00:00"/>
    <n v="17.28"/>
    <n v="17.739999999999998"/>
    <n v="17.21"/>
    <n v="17.66"/>
    <n v="11072835"/>
    <x v="949"/>
    <x v="4"/>
    <n v="2.1990740740740682E-2"/>
  </r>
  <r>
    <d v="2019-07-25T00:00:00"/>
    <n v="15.57"/>
    <n v="15.63"/>
    <n v="15.04"/>
    <n v="15.25"/>
    <n v="22418252"/>
    <x v="950"/>
    <x v="4"/>
    <n v="-2.0552344251766236E-2"/>
  </r>
  <r>
    <d v="2019-07-26T00:00:00"/>
    <n v="15.13"/>
    <n v="15.35"/>
    <n v="14.82"/>
    <n v="15.2"/>
    <n v="10027697"/>
    <x v="951"/>
    <x v="4"/>
    <n v="4.6265697290151031E-3"/>
  </r>
  <r>
    <d v="2019-07-29T00:00:00"/>
    <n v="15.14"/>
    <n v="15.73"/>
    <n v="15.07"/>
    <n v="15.72"/>
    <n v="9273331"/>
    <x v="952"/>
    <x v="4"/>
    <n v="3.8309114927344783E-2"/>
  </r>
  <r>
    <d v="2019-07-30T00:00:00"/>
    <n v="15.53"/>
    <n v="16.22"/>
    <n v="15.48"/>
    <n v="16.149999999999999"/>
    <n v="8109014"/>
    <x v="953"/>
    <x v="4"/>
    <n v="3.99227301996136E-2"/>
  </r>
  <r>
    <d v="2019-07-31T00:00:00"/>
    <n v="16.2"/>
    <n v="16.45"/>
    <n v="15.78"/>
    <n v="16.11"/>
    <n v="9178208"/>
    <x v="954"/>
    <x v="4"/>
    <n v="-5.5555555555555471E-3"/>
  </r>
  <r>
    <d v="2019-08-01T00:00:00"/>
    <n v="16.18"/>
    <n v="16.3"/>
    <n v="15.45"/>
    <n v="15.59"/>
    <n v="8259516"/>
    <x v="955"/>
    <x v="4"/>
    <n v="-3.6464771322620514E-2"/>
  </r>
  <r>
    <d v="2019-08-02T00:00:00"/>
    <n v="15.42"/>
    <n v="15.75"/>
    <n v="15.28"/>
    <n v="15.62"/>
    <n v="6136481"/>
    <x v="956"/>
    <x v="4"/>
    <n v="1.2970168612191912E-2"/>
  </r>
  <r>
    <d v="2019-08-05T00:00:00"/>
    <n v="15.31"/>
    <n v="15.42"/>
    <n v="15.05"/>
    <n v="15.22"/>
    <n v="7028279"/>
    <x v="957"/>
    <x v="4"/>
    <n v="-5.8785107772697485E-3"/>
  </r>
  <r>
    <d v="2019-08-06T00:00:00"/>
    <n v="15.46"/>
    <n v="15.5"/>
    <n v="15.05"/>
    <n v="15.38"/>
    <n v="5564200"/>
    <x v="958"/>
    <x v="4"/>
    <n v="-5.1746442432082833E-3"/>
  </r>
  <r>
    <d v="2019-08-07T00:00:00"/>
    <n v="15.1"/>
    <n v="15.57"/>
    <n v="15.05"/>
    <n v="15.56"/>
    <n v="4776500"/>
    <x v="959"/>
    <x v="4"/>
    <n v="3.0463576158940454E-2"/>
  </r>
  <r>
    <d v="2019-08-08T00:00:00"/>
    <n v="15.63"/>
    <n v="15.99"/>
    <n v="15.51"/>
    <n v="15.89"/>
    <n v="5274349"/>
    <x v="960"/>
    <x v="4"/>
    <n v="1.6634676903390901E-2"/>
  </r>
  <r>
    <d v="2019-08-09T00:00:00"/>
    <n v="15.74"/>
    <n v="15.93"/>
    <n v="15.59"/>
    <n v="15.67"/>
    <n v="3898244"/>
    <x v="961"/>
    <x v="4"/>
    <n v="-4.4472681067344528E-3"/>
  </r>
  <r>
    <d v="2019-08-12T00:00:00"/>
    <n v="15.53"/>
    <n v="15.72"/>
    <n v="15.25"/>
    <n v="15.27"/>
    <n v="4663937"/>
    <x v="962"/>
    <x v="4"/>
    <n v="-1.6741790083708939E-2"/>
  </r>
  <r>
    <d v="2019-08-13T00:00:00"/>
    <n v="15.25"/>
    <n v="15.73"/>
    <n v="15.17"/>
    <n v="15.67"/>
    <n v="4868998"/>
    <x v="963"/>
    <x v="4"/>
    <n v="2.7540983606557372E-2"/>
  </r>
  <r>
    <d v="2019-08-14T00:00:00"/>
    <n v="15.41"/>
    <n v="15.43"/>
    <n v="14.45"/>
    <n v="14.64"/>
    <n v="9562591"/>
    <x v="964"/>
    <x v="4"/>
    <n v="-4.9967553536664475E-2"/>
  </r>
  <r>
    <d v="2019-08-15T00:00:00"/>
    <n v="14.72"/>
    <n v="14.77"/>
    <n v="14.1"/>
    <n v="14.38"/>
    <n v="8231952"/>
    <x v="965"/>
    <x v="4"/>
    <n v="-2.309782608695651E-2"/>
  </r>
  <r>
    <d v="2019-08-16T00:00:00"/>
    <n v="14.44"/>
    <n v="14.82"/>
    <n v="14.4"/>
    <n v="14.66"/>
    <n v="5207376"/>
    <x v="966"/>
    <x v="4"/>
    <n v="1.5235457063711957E-2"/>
  </r>
  <r>
    <d v="2019-08-19T00:00:00"/>
    <n v="14.95"/>
    <n v="15.19"/>
    <n v="14.78"/>
    <n v="15.12"/>
    <n v="5311748"/>
    <x v="967"/>
    <x v="4"/>
    <n v="1.1371237458193975E-2"/>
  </r>
  <r>
    <d v="2019-08-20T00:00:00"/>
    <n v="15.17"/>
    <n v="15.27"/>
    <n v="14.97"/>
    <n v="15.06"/>
    <n v="4170527"/>
    <x v="968"/>
    <x v="4"/>
    <n v="-7.25115359261697E-3"/>
  </r>
  <r>
    <d v="2019-08-21T00:00:00"/>
    <n v="14.8"/>
    <n v="14.88"/>
    <n v="14.51"/>
    <n v="14.72"/>
    <n v="7799744"/>
    <x v="969"/>
    <x v="4"/>
    <n v="-5.40540540540541E-3"/>
  </r>
  <r>
    <d v="2019-08-22T00:00:00"/>
    <n v="14.85"/>
    <n v="15.03"/>
    <n v="14.55"/>
    <n v="14.81"/>
    <n v="6564964"/>
    <x v="970"/>
    <x v="4"/>
    <n v="-2.6936026936026361E-3"/>
  </r>
  <r>
    <d v="2019-08-23T00:00:00"/>
    <n v="14.66"/>
    <n v="14.74"/>
    <n v="14.07"/>
    <n v="14.09"/>
    <n v="8559704"/>
    <x v="971"/>
    <x v="4"/>
    <n v="-3.8881309686221027E-2"/>
  </r>
  <r>
    <d v="2019-08-26T00:00:00"/>
    <n v="14.24"/>
    <n v="14.33"/>
    <n v="14.1"/>
    <n v="14.33"/>
    <n v="5054414"/>
    <x v="972"/>
    <x v="4"/>
    <n v="6.3202247191011139E-3"/>
  </r>
  <r>
    <d v="2019-08-27T00:00:00"/>
    <n v="14.38"/>
    <n v="14.59"/>
    <n v="14.14"/>
    <n v="14.27"/>
    <n v="5420727"/>
    <x v="973"/>
    <x v="4"/>
    <n v="-7.6495132127956328E-3"/>
  </r>
  <r>
    <d v="2019-08-28T00:00:00"/>
    <n v="14.25"/>
    <n v="14.48"/>
    <n v="14.15"/>
    <n v="14.37"/>
    <n v="3238625"/>
    <x v="974"/>
    <x v="4"/>
    <n v="8.4210526315788917E-3"/>
  </r>
  <r>
    <d v="2019-08-29T00:00:00"/>
    <n v="14.6"/>
    <n v="14.89"/>
    <n v="14.53"/>
    <n v="14.78"/>
    <n v="5183104"/>
    <x v="975"/>
    <x v="4"/>
    <n v="1.2328767123287652E-2"/>
  </r>
  <r>
    <d v="2019-08-30T00:00:00"/>
    <n v="15.28"/>
    <n v="15.5"/>
    <n v="14.95"/>
    <n v="15.04"/>
    <n v="9327775"/>
    <x v="976"/>
    <x v="4"/>
    <n v="-1.5706806282722526E-2"/>
  </r>
  <r>
    <d v="2019-09-03T00:00:00"/>
    <n v="14.94"/>
    <n v="15.26"/>
    <n v="14.88"/>
    <n v="15"/>
    <n v="5360546"/>
    <x v="977"/>
    <x v="4"/>
    <n v="4.0160642570281459E-3"/>
  </r>
  <r>
    <d v="2019-09-04T00:00:00"/>
    <n v="15.13"/>
    <n v="15.23"/>
    <n v="14.61"/>
    <n v="14.71"/>
    <n v="5768696"/>
    <x v="978"/>
    <x v="4"/>
    <n v="-2.7759418374091203E-2"/>
  </r>
  <r>
    <d v="2019-09-05T00:00:00"/>
    <n v="14.83"/>
    <n v="15.32"/>
    <n v="14.72"/>
    <n v="15.31"/>
    <n v="7403322"/>
    <x v="979"/>
    <x v="4"/>
    <n v="3.23668240053945E-2"/>
  </r>
  <r>
    <d v="2019-09-06T00:00:00"/>
    <n v="15.15"/>
    <n v="15.31"/>
    <n v="15.01"/>
    <n v="15.16"/>
    <n v="4189372"/>
    <x v="980"/>
    <x v="4"/>
    <n v="6.6006600660064598E-4"/>
  </r>
  <r>
    <d v="2019-09-09T00:00:00"/>
    <n v="15.33"/>
    <n v="15.58"/>
    <n v="15.28"/>
    <n v="15.45"/>
    <n v="4802669"/>
    <x v="981"/>
    <x v="4"/>
    <n v="7.8277886497064072E-3"/>
  </r>
  <r>
    <d v="2019-09-10T00:00:00"/>
    <n v="15.39"/>
    <n v="15.7"/>
    <n v="15.26"/>
    <n v="15.7"/>
    <n v="4883714"/>
    <x v="982"/>
    <x v="4"/>
    <n v="2.0142949967511287E-2"/>
  </r>
  <r>
    <d v="2019-09-11T00:00:00"/>
    <n v="15.83"/>
    <n v="16.54"/>
    <n v="15.73"/>
    <n v="16.47"/>
    <n v="10042777"/>
    <x v="983"/>
    <x v="4"/>
    <n v="4.0429564118761765E-2"/>
  </r>
  <r>
    <d v="2019-09-12T00:00:00"/>
    <n v="16.510000000000002"/>
    <n v="16.899999999999999"/>
    <n v="16.29"/>
    <n v="16.39"/>
    <n v="8581210"/>
    <x v="984"/>
    <x v="4"/>
    <n v="-7.2683222289522094E-3"/>
  </r>
  <r>
    <d v="2019-09-13T00:00:00"/>
    <n v="16.46"/>
    <n v="16.559999999999999"/>
    <n v="16.32"/>
    <n v="16.350000000000001"/>
    <n v="5313145"/>
    <x v="985"/>
    <x v="4"/>
    <n v="-6.6828675577156396E-3"/>
  </r>
  <r>
    <d v="2019-09-16T00:00:00"/>
    <n v="16.399999999999999"/>
    <n v="16.5"/>
    <n v="16.079999999999998"/>
    <n v="16.190000000000001"/>
    <n v="4728096"/>
    <x v="986"/>
    <x v="4"/>
    <n v="-1.2804878048780324E-2"/>
  </r>
  <r>
    <d v="2019-09-17T00:00:00"/>
    <n v="16.16"/>
    <n v="16.37"/>
    <n v="16.02"/>
    <n v="16.32"/>
    <n v="3946909"/>
    <x v="987"/>
    <x v="4"/>
    <n v="9.9009900990099098E-3"/>
  </r>
  <r>
    <d v="2019-09-18T00:00:00"/>
    <n v="16.329999999999998"/>
    <n v="16.54"/>
    <n v="16.16"/>
    <n v="16.23"/>
    <n v="4228103"/>
    <x v="988"/>
    <x v="4"/>
    <n v="-6.1236987140231404E-3"/>
  </r>
  <r>
    <d v="2019-09-19T00:00:00"/>
    <n v="16.399999999999999"/>
    <n v="16.53"/>
    <n v="16.32"/>
    <n v="16.440000000000001"/>
    <n v="4883135"/>
    <x v="989"/>
    <x v="4"/>
    <n v="2.4390243902440672E-3"/>
  </r>
  <r>
    <d v="2019-09-20T00:00:00"/>
    <n v="16.43"/>
    <n v="16.46"/>
    <n v="15.88"/>
    <n v="16.04"/>
    <n v="6506264"/>
    <x v="990"/>
    <x v="4"/>
    <n v="-2.3737066342057248E-2"/>
  </r>
  <r>
    <d v="2019-09-23T00:00:00"/>
    <n v="16"/>
    <n v="16.350000000000001"/>
    <n v="15.95"/>
    <n v="16.079999999999998"/>
    <n v="4391630"/>
    <x v="991"/>
    <x v="4"/>
    <n v="4.9999999999998934E-3"/>
  </r>
  <r>
    <d v="2019-09-24T00:00:00"/>
    <n v="16.100000000000001"/>
    <n v="16.13"/>
    <n v="14.84"/>
    <n v="14.88"/>
    <n v="12941112"/>
    <x v="992"/>
    <x v="4"/>
    <n v="-7.5776397515527977E-2"/>
  </r>
  <r>
    <d v="2019-09-25T00:00:00"/>
    <n v="14.97"/>
    <n v="15.27"/>
    <n v="14.56"/>
    <n v="15.25"/>
    <n v="9444286"/>
    <x v="993"/>
    <x v="4"/>
    <n v="1.870407481629922E-2"/>
  </r>
  <r>
    <d v="2019-09-26T00:00:00"/>
    <n v="15.38"/>
    <n v="16.22"/>
    <n v="15.16"/>
    <n v="16.170000000000002"/>
    <n v="12078785"/>
    <x v="994"/>
    <x v="4"/>
    <n v="5.1365409622886923E-2"/>
  </r>
  <r>
    <d v="2019-09-27T00:00:00"/>
    <n v="16.149999999999999"/>
    <n v="16.579999999999998"/>
    <n v="15.92"/>
    <n v="16.14"/>
    <n v="11123179"/>
    <x v="995"/>
    <x v="4"/>
    <n v="-6.1919504643950535E-4"/>
  </r>
  <r>
    <d v="2019-09-30T00:00:00"/>
    <n v="16.2"/>
    <n v="16.27"/>
    <n v="15.74"/>
    <n v="16.059999999999999"/>
    <n v="5946161"/>
    <x v="996"/>
    <x v="4"/>
    <n v="-8.6419753086420109E-3"/>
  </r>
  <r>
    <d v="2019-10-01T00:00:00"/>
    <n v="16.100000000000001"/>
    <n v="16.399999999999999"/>
    <n v="15.94"/>
    <n v="16.309999999999999"/>
    <n v="6196290"/>
    <x v="997"/>
    <x v="4"/>
    <n v="1.3043478260869396E-2"/>
  </r>
  <r>
    <d v="2019-10-02T00:00:00"/>
    <n v="16.22"/>
    <n v="16.309999999999999"/>
    <n v="15.96"/>
    <n v="16.21"/>
    <n v="6256548"/>
    <x v="998"/>
    <x v="4"/>
    <n v="-6.1652281134389711E-4"/>
  </r>
  <r>
    <d v="2019-10-03T00:00:00"/>
    <n v="15.46"/>
    <n v="15.63"/>
    <n v="14.95"/>
    <n v="15.54"/>
    <n v="15137763"/>
    <x v="999"/>
    <x v="4"/>
    <n v="5.1746442432081688E-3"/>
  </r>
  <r>
    <d v="2019-10-04T00:00:00"/>
    <n v="15.44"/>
    <n v="15.65"/>
    <n v="15.2"/>
    <n v="15.43"/>
    <n v="8021180"/>
    <x v="1000"/>
    <x v="4"/>
    <n v="-6.4766839378236967E-4"/>
  </r>
  <r>
    <d v="2019-10-07T00:00:00"/>
    <n v="15.32"/>
    <n v="15.9"/>
    <n v="15.24"/>
    <n v="15.85"/>
    <n v="8086957"/>
    <x v="1001"/>
    <x v="4"/>
    <n v="3.4595300261096563E-2"/>
  </r>
  <r>
    <d v="2019-10-08T00:00:00"/>
    <n v="15.72"/>
    <n v="16.260000000000002"/>
    <n v="15.63"/>
    <n v="16"/>
    <n v="8702338"/>
    <x v="1002"/>
    <x v="4"/>
    <n v="1.7811704834605556E-2"/>
  </r>
  <r>
    <d v="2019-10-09T00:00:00"/>
    <n v="16.09"/>
    <n v="16.489999999999998"/>
    <n v="16.04"/>
    <n v="16.3"/>
    <n v="6935033"/>
    <x v="1003"/>
    <x v="4"/>
    <n v="1.3051584835301482E-2"/>
  </r>
  <r>
    <d v="2019-10-10T00:00:00"/>
    <n v="16.350000000000001"/>
    <n v="16.62"/>
    <n v="16.11"/>
    <n v="16.32"/>
    <n v="6313417"/>
    <x v="1004"/>
    <x v="4"/>
    <n v="-1.8348623853211702E-3"/>
  </r>
  <r>
    <d v="2019-10-11T00:00:00"/>
    <n v="16.48"/>
    <n v="16.739999999999998"/>
    <n v="16.45"/>
    <n v="16.53"/>
    <n v="8488159"/>
    <x v="1005"/>
    <x v="4"/>
    <n v="3.0339805825243147E-3"/>
  </r>
  <r>
    <d v="2019-10-14T00:00:00"/>
    <n v="16.53"/>
    <n v="17.239999999999998"/>
    <n v="16.48"/>
    <n v="17.13"/>
    <n v="10226863"/>
    <x v="1006"/>
    <x v="4"/>
    <n v="3.6297640653357402E-2"/>
  </r>
  <r>
    <d v="2019-10-15T00:00:00"/>
    <n v="17.18"/>
    <n v="17.329999999999998"/>
    <n v="16.940000000000001"/>
    <n v="17.190000000000001"/>
    <n v="6479456"/>
    <x v="1007"/>
    <x v="4"/>
    <n v="5.8207217695003274E-4"/>
  </r>
  <r>
    <d v="2019-10-16T00:00:00"/>
    <n v="17.16"/>
    <n v="17.47"/>
    <n v="17.13"/>
    <n v="17.32"/>
    <n v="6704303"/>
    <x v="1008"/>
    <x v="4"/>
    <n v="9.3240093240093327E-3"/>
  </r>
  <r>
    <d v="2019-10-17T00:00:00"/>
    <n v="17.5"/>
    <n v="17.649999999999999"/>
    <n v="17.34"/>
    <n v="17.46"/>
    <n v="4779043"/>
    <x v="1009"/>
    <x v="4"/>
    <n v="-2.2857142857142369E-3"/>
  </r>
  <r>
    <d v="2019-10-18T00:00:00"/>
    <n v="17.38"/>
    <n v="17.52"/>
    <n v="17.010000000000002"/>
    <n v="17.13"/>
    <n v="5753666"/>
    <x v="1010"/>
    <x v="4"/>
    <n v="-1.4384349827387804E-2"/>
  </r>
  <r>
    <d v="2019-10-21T00:00:00"/>
    <n v="17.22"/>
    <n v="17.3"/>
    <n v="16.68"/>
    <n v="16.899999999999999"/>
    <n v="5108101"/>
    <x v="1011"/>
    <x v="4"/>
    <n v="-1.8583042973286893E-2"/>
  </r>
  <r>
    <d v="2019-10-22T00:00:00"/>
    <n v="16.95"/>
    <n v="17.22"/>
    <n v="16.72"/>
    <n v="17.04"/>
    <n v="4625095"/>
    <x v="1012"/>
    <x v="4"/>
    <n v="5.3097345132743284E-3"/>
  </r>
  <r>
    <d v="2019-10-23T00:00:00"/>
    <n v="16.97"/>
    <n v="17.079999999999998"/>
    <n v="16.760000000000002"/>
    <n v="16.98"/>
    <n v="11216182"/>
    <x v="1013"/>
    <x v="4"/>
    <n v="5.8927519151452939E-4"/>
  </r>
  <r>
    <d v="2019-10-24T00:00:00"/>
    <n v="19.89"/>
    <n v="20.329999999999998"/>
    <n v="19.28"/>
    <n v="19.98"/>
    <n v="29819231"/>
    <x v="1014"/>
    <x v="4"/>
    <n v="4.5248868778280469E-3"/>
  </r>
  <r>
    <d v="2019-10-25T00:00:00"/>
    <n v="19.850000000000001"/>
    <n v="22"/>
    <n v="19.739999999999998"/>
    <n v="21.88"/>
    <n v="30006091"/>
    <x v="1015"/>
    <x v="4"/>
    <n v="0.10226700251889156"/>
  </r>
  <r>
    <d v="2019-10-28T00:00:00"/>
    <n v="21.84"/>
    <n v="22.72"/>
    <n v="21.51"/>
    <n v="21.85"/>
    <n v="18870286"/>
    <x v="1016"/>
    <x v="4"/>
    <n v="4.5787545787552943E-4"/>
  </r>
  <r>
    <d v="2019-10-29T00:00:00"/>
    <n v="21.33"/>
    <n v="21.62"/>
    <n v="20.98"/>
    <n v="21.08"/>
    <n v="12684267"/>
    <x v="1017"/>
    <x v="4"/>
    <n v="-1.1720581340834505E-2"/>
  </r>
  <r>
    <d v="2019-10-30T00:00:00"/>
    <n v="20.87"/>
    <n v="21.25"/>
    <n v="20.66"/>
    <n v="21"/>
    <n v="9641810"/>
    <x v="1018"/>
    <x v="4"/>
    <n v="6.2290368950646382E-3"/>
  </r>
  <r>
    <d v="2019-10-31T00:00:00"/>
    <n v="20.87"/>
    <n v="21.27"/>
    <n v="20.87"/>
    <n v="20.99"/>
    <n v="5066956"/>
    <x v="1019"/>
    <x v="4"/>
    <n v="5.7498802108288186E-3"/>
  </r>
  <r>
    <d v="2019-11-01T00:00:00"/>
    <n v="21.09"/>
    <n v="21.1"/>
    <n v="20.65"/>
    <n v="20.89"/>
    <n v="6383929"/>
    <x v="1020"/>
    <x v="4"/>
    <n v="-9.4831673779041861E-3"/>
  </r>
  <r>
    <d v="2019-11-04T00:00:00"/>
    <n v="20.99"/>
    <n v="21.46"/>
    <n v="20.62"/>
    <n v="21.16"/>
    <n v="8787040"/>
    <x v="1021"/>
    <x v="4"/>
    <n v="8.0990948070510591E-3"/>
  </r>
  <r>
    <d v="2019-11-05T00:00:00"/>
    <n v="21.31"/>
    <n v="21.57"/>
    <n v="21.07"/>
    <n v="21.15"/>
    <n v="6943417"/>
    <x v="1022"/>
    <x v="4"/>
    <n v="-7.50821210699203E-3"/>
  </r>
  <r>
    <d v="2019-11-06T00:00:00"/>
    <n v="21.2"/>
    <n v="21.78"/>
    <n v="20.97"/>
    <n v="21.77"/>
    <n v="7940932"/>
    <x v="1023"/>
    <x v="4"/>
    <n v="2.6886792452830204E-2"/>
  </r>
  <r>
    <d v="2019-11-07T00:00:00"/>
    <n v="21.94"/>
    <n v="22.77"/>
    <n v="21.87"/>
    <n v="22.37"/>
    <n v="14467348"/>
    <x v="1024"/>
    <x v="4"/>
    <n v="1.9598906107566077E-2"/>
  </r>
  <r>
    <d v="2019-11-08T00:00:00"/>
    <n v="22.3"/>
    <n v="22.5"/>
    <n v="22.17"/>
    <n v="22.48"/>
    <n v="6074221"/>
    <x v="1025"/>
    <x v="4"/>
    <n v="8.0717488789237533E-3"/>
  </r>
  <r>
    <d v="2019-11-11T00:00:00"/>
    <n v="22.93"/>
    <n v="23.28"/>
    <n v="22.8"/>
    <n v="23.01"/>
    <n v="9993689"/>
    <x v="1026"/>
    <x v="4"/>
    <n v="3.4888791975578653E-3"/>
  </r>
  <r>
    <d v="2019-11-12T00:00:00"/>
    <n v="23.13"/>
    <n v="23.36"/>
    <n v="22.94"/>
    <n v="23.33"/>
    <n v="7359383"/>
    <x v="1027"/>
    <x v="4"/>
    <n v="8.6467790747946083E-3"/>
  </r>
  <r>
    <d v="2019-11-13T00:00:00"/>
    <n v="23.67"/>
    <n v="23.76"/>
    <n v="23.01"/>
    <n v="23.07"/>
    <n v="8467863"/>
    <x v="1028"/>
    <x v="4"/>
    <n v="-2.5348542458808677E-2"/>
  </r>
  <r>
    <d v="2019-11-14T00:00:00"/>
    <n v="23.07"/>
    <n v="23.59"/>
    <n v="22.86"/>
    <n v="23.29"/>
    <n v="6471703"/>
    <x v="1029"/>
    <x v="4"/>
    <n v="9.5361941915907619E-3"/>
  </r>
  <r>
    <d v="2019-11-15T00:00:00"/>
    <n v="23.38"/>
    <n v="23.52"/>
    <n v="23.22"/>
    <n v="23.48"/>
    <n v="4812563"/>
    <x v="1030"/>
    <x v="4"/>
    <n v="4.277159965782781E-3"/>
  </r>
  <r>
    <d v="2019-11-18T00:00:00"/>
    <n v="23.53"/>
    <n v="23.54"/>
    <n v="23.07"/>
    <n v="23.33"/>
    <n v="4408505"/>
    <x v="1031"/>
    <x v="4"/>
    <n v="-8.499787505312488E-3"/>
  </r>
  <r>
    <d v="2019-11-19T00:00:00"/>
    <n v="23.45"/>
    <n v="24"/>
    <n v="23.19"/>
    <n v="23.97"/>
    <n v="7736078"/>
    <x v="1032"/>
    <x v="4"/>
    <n v="2.217484008528783E-2"/>
  </r>
  <r>
    <d v="2019-11-20T00:00:00"/>
    <n v="24"/>
    <n v="24.08"/>
    <n v="23.3"/>
    <n v="23.48"/>
    <n v="6733965"/>
    <x v="1033"/>
    <x v="4"/>
    <n v="-2.166666666666665E-2"/>
  </r>
  <r>
    <d v="2019-11-21T00:00:00"/>
    <n v="23.63"/>
    <n v="24.06"/>
    <n v="23.6"/>
    <n v="23.66"/>
    <n v="6110013"/>
    <x v="1034"/>
    <x v="4"/>
    <n v="1.26957257723238E-3"/>
  </r>
  <r>
    <d v="2019-11-22T00:00:00"/>
    <n v="22.68"/>
    <n v="22.73"/>
    <n v="22"/>
    <n v="22.2"/>
    <n v="16870642"/>
    <x v="1035"/>
    <x v="4"/>
    <n v="-2.1164021164021184E-2"/>
  </r>
  <r>
    <d v="2019-11-25T00:00:00"/>
    <n v="22.95"/>
    <n v="22.97"/>
    <n v="22.3"/>
    <n v="22.42"/>
    <n v="12345765"/>
    <x v="1036"/>
    <x v="4"/>
    <n v="-2.3093681917211225E-2"/>
  </r>
  <r>
    <d v="2019-11-26T00:00:00"/>
    <n v="22.35"/>
    <n v="22.37"/>
    <n v="21.81"/>
    <n v="21.93"/>
    <n v="7956239"/>
    <x v="1037"/>
    <x v="4"/>
    <n v="-1.8791946308724907E-2"/>
  </r>
  <r>
    <d v="2019-11-27T00:00:00"/>
    <n v="22.07"/>
    <n v="22.26"/>
    <n v="21.9"/>
    <n v="22.09"/>
    <n v="5563459"/>
    <x v="1038"/>
    <x v="4"/>
    <n v="9.0620752152240926E-4"/>
  </r>
  <r>
    <d v="2019-11-29T00:00:00"/>
    <n v="22.07"/>
    <n v="22.08"/>
    <n v="21.83"/>
    <n v="22"/>
    <n v="2465629"/>
    <x v="1039"/>
    <x v="4"/>
    <n v="-3.171726325328513E-3"/>
  </r>
  <r>
    <d v="2019-12-02T00:00:00"/>
    <n v="21.96"/>
    <n v="22.43"/>
    <n v="21.91"/>
    <n v="22.32"/>
    <n v="6081986"/>
    <x v="1040"/>
    <x v="4"/>
    <n v="1.6393442622950793E-2"/>
  </r>
  <r>
    <d v="2019-12-03T00:00:00"/>
    <n v="22.17"/>
    <n v="22.53"/>
    <n v="22.15"/>
    <n v="22.41"/>
    <n v="6613476"/>
    <x v="1041"/>
    <x v="4"/>
    <n v="1.0825439783491132E-2"/>
  </r>
  <r>
    <d v="2019-12-04T00:00:00"/>
    <n v="22.52"/>
    <n v="22.52"/>
    <n v="22.19"/>
    <n v="22.2"/>
    <n v="5536255"/>
    <x v="1042"/>
    <x v="4"/>
    <n v="-1.4209591474245128E-2"/>
  </r>
  <r>
    <d v="2019-12-05T00:00:00"/>
    <n v="22.19"/>
    <n v="22.29"/>
    <n v="21.82"/>
    <n v="22.02"/>
    <n v="3736976"/>
    <x v="1043"/>
    <x v="4"/>
    <n v="-7.6611086074809239E-3"/>
  </r>
  <r>
    <d v="2019-12-06T00:00:00"/>
    <n v="22.33"/>
    <n v="22.59"/>
    <n v="22.32"/>
    <n v="22.39"/>
    <n v="7618937"/>
    <x v="1044"/>
    <x v="4"/>
    <n v="2.6869682042096857E-3"/>
  </r>
  <r>
    <d v="2019-12-09T00:00:00"/>
    <n v="22.44"/>
    <n v="22.96"/>
    <n v="22.34"/>
    <n v="22.64"/>
    <n v="9040217"/>
    <x v="1045"/>
    <x v="4"/>
    <n v="8.9126559714794683E-3"/>
  </r>
  <r>
    <d v="2019-12-10T00:00:00"/>
    <n v="22.66"/>
    <n v="23.38"/>
    <n v="22.62"/>
    <n v="23.26"/>
    <n v="8839951"/>
    <x v="1046"/>
    <x v="4"/>
    <n v="2.6478375992939163E-2"/>
  </r>
  <r>
    <d v="2019-12-11T00:00:00"/>
    <n v="23.46"/>
    <n v="23.81"/>
    <n v="23.41"/>
    <n v="23.51"/>
    <n v="6919162"/>
    <x v="1047"/>
    <x v="4"/>
    <n v="2.1312872975277368E-3"/>
  </r>
  <r>
    <d v="2019-12-12T00:00:00"/>
    <n v="23.66"/>
    <n v="24.18"/>
    <n v="23.55"/>
    <n v="23.98"/>
    <n v="7776211"/>
    <x v="1048"/>
    <x v="4"/>
    <n v="1.352493660185969E-2"/>
  </r>
  <r>
    <d v="2019-12-13T00:00:00"/>
    <n v="24.07"/>
    <n v="24.35"/>
    <n v="23.64"/>
    <n v="23.89"/>
    <n v="6574281"/>
    <x v="1049"/>
    <x v="4"/>
    <n v="-7.478188616535094E-3"/>
  </r>
  <r>
    <d v="2019-12-16T00:00:00"/>
    <n v="24.17"/>
    <n v="25.57"/>
    <n v="24.17"/>
    <n v="25.43"/>
    <n v="18220940"/>
    <x v="1050"/>
    <x v="4"/>
    <n v="5.2130740587505088E-2"/>
  </r>
  <r>
    <d v="2019-12-17T00:00:00"/>
    <n v="25.27"/>
    <n v="25.7"/>
    <n v="25.06"/>
    <n v="25.27"/>
    <n v="8503775"/>
    <x v="1051"/>
    <x v="4"/>
    <n v="0"/>
  </r>
  <r>
    <d v="2019-12-18T00:00:00"/>
    <n v="25.38"/>
    <n v="26.35"/>
    <n v="25.37"/>
    <n v="26.21"/>
    <n v="14136392"/>
    <x v="1052"/>
    <x v="4"/>
    <n v="3.2702915681639161E-2"/>
  </r>
  <r>
    <d v="2019-12-19T00:00:00"/>
    <n v="26.49"/>
    <n v="27.12"/>
    <n v="26.43"/>
    <n v="26.94"/>
    <n v="18120307"/>
    <x v="1053"/>
    <x v="4"/>
    <n v="1.6987542468856281E-2"/>
  </r>
  <r>
    <d v="2019-12-20T00:00:00"/>
    <n v="27.35"/>
    <n v="27.53"/>
    <n v="26.68"/>
    <n v="27.04"/>
    <n v="14785206"/>
    <x v="1054"/>
    <x v="4"/>
    <n v="-1.1334552102376683E-2"/>
  </r>
  <r>
    <d v="2019-12-23T00:00:00"/>
    <n v="27.45"/>
    <n v="28.13"/>
    <n v="27.33"/>
    <n v="27.95"/>
    <n v="13332821"/>
    <x v="1055"/>
    <x v="4"/>
    <n v="1.8214936247723135E-2"/>
  </r>
  <r>
    <d v="2019-12-24T00:00:00"/>
    <n v="27.89"/>
    <n v="28.36"/>
    <n v="27.51"/>
    <n v="28.35"/>
    <n v="8054720"/>
    <x v="1056"/>
    <x v="4"/>
    <n v="1.6493366798135563E-2"/>
  </r>
  <r>
    <d v="2019-12-26T00:00:00"/>
    <n v="28.53"/>
    <n v="28.9"/>
    <n v="28.42"/>
    <n v="28.73"/>
    <n v="10648289"/>
    <x v="1057"/>
    <x v="4"/>
    <n v="7.0101647388713384E-3"/>
  </r>
  <r>
    <d v="2019-12-27T00:00:00"/>
    <n v="29"/>
    <n v="29.02"/>
    <n v="28.41"/>
    <n v="28.69"/>
    <n v="9956827"/>
    <x v="1058"/>
    <x v="4"/>
    <n v="-1.0689655172413749E-2"/>
  </r>
  <r>
    <d v="2019-12-30T00:00:00"/>
    <n v="28.59"/>
    <n v="28.6"/>
    <n v="27.28"/>
    <n v="27.65"/>
    <n v="12601265"/>
    <x v="1059"/>
    <x v="4"/>
    <n v="-3.287862889122075E-2"/>
  </r>
  <r>
    <d v="2019-12-31T00:00:00"/>
    <n v="27"/>
    <n v="28.09"/>
    <n v="26.81"/>
    <n v="27.89"/>
    <n v="10292456"/>
    <x v="1060"/>
    <x v="4"/>
    <n v="3.2962962962962986E-2"/>
  </r>
  <r>
    <d v="2020-01-02T00:00:00"/>
    <n v="28.3"/>
    <n v="28.71"/>
    <n v="28.11"/>
    <n v="28.68"/>
    <n v="9558386"/>
    <x v="1061"/>
    <x v="5"/>
    <n v="1.3427561837455795E-2"/>
  </r>
  <r>
    <d v="2020-01-03T00:00:00"/>
    <n v="29.37"/>
    <n v="30.27"/>
    <n v="29.13"/>
    <n v="29.53"/>
    <n v="17794697"/>
    <x v="1062"/>
    <x v="5"/>
    <n v="5.4477357848144413E-3"/>
  </r>
  <r>
    <d v="2020-01-06T00:00:00"/>
    <n v="29.36"/>
    <n v="30.1"/>
    <n v="29.33"/>
    <n v="30.1"/>
    <n v="10157499"/>
    <x v="1063"/>
    <x v="5"/>
    <n v="2.520435967302459E-2"/>
  </r>
  <r>
    <d v="2020-01-07T00:00:00"/>
    <n v="30.76"/>
    <n v="31.44"/>
    <n v="30.22"/>
    <n v="31.27"/>
    <n v="18209138"/>
    <x v="1064"/>
    <x v="5"/>
    <n v="1.6579973992197593E-2"/>
  </r>
  <r>
    <d v="2020-01-08T00:00:00"/>
    <n v="31.58"/>
    <n v="33.229999999999997"/>
    <n v="31.22"/>
    <n v="32.81"/>
    <n v="31199393"/>
    <x v="1065"/>
    <x v="5"/>
    <n v="3.8948701709943127E-2"/>
  </r>
  <r>
    <d v="2020-01-09T00:00:00"/>
    <n v="33.14"/>
    <n v="33.25"/>
    <n v="31.52"/>
    <n v="32.090000000000003"/>
    <n v="28463186"/>
    <x v="1066"/>
    <x v="5"/>
    <n v="-3.1683765841882837E-2"/>
  </r>
  <r>
    <d v="2020-01-10T00:00:00"/>
    <n v="32.119999999999997"/>
    <n v="32.33"/>
    <n v="31.58"/>
    <n v="31.88"/>
    <n v="12976832"/>
    <x v="1067"/>
    <x v="5"/>
    <n v="-7.4719800747197525E-3"/>
  </r>
  <r>
    <d v="2020-01-13T00:00:00"/>
    <n v="32.9"/>
    <n v="35.04"/>
    <n v="32.799999999999997"/>
    <n v="34.99"/>
    <n v="26634547"/>
    <x v="1068"/>
    <x v="5"/>
    <n v="6.352583586626151E-2"/>
  </r>
  <r>
    <d v="2020-01-14T00:00:00"/>
    <n v="36.28"/>
    <n v="36.49"/>
    <n v="34.99"/>
    <n v="35.86"/>
    <n v="29061377"/>
    <x v="1069"/>
    <x v="5"/>
    <n v="-1.1576626240352859E-2"/>
  </r>
  <r>
    <d v="2020-01-15T00:00:00"/>
    <n v="35.32"/>
    <n v="35.86"/>
    <n v="34.450000000000003"/>
    <n v="34.57"/>
    <n v="17368831"/>
    <x v="1070"/>
    <x v="5"/>
    <n v="-2.1234428086070217E-2"/>
  </r>
  <r>
    <d v="2020-01-16T00:00:00"/>
    <n v="32.92"/>
    <n v="34.299999999999997"/>
    <n v="32.81"/>
    <n v="34.229999999999997"/>
    <n v="21736653"/>
    <x v="1071"/>
    <x v="5"/>
    <n v="3.9793438639125003E-2"/>
  </r>
  <r>
    <d v="2020-01-17T00:00:00"/>
    <n v="33.840000000000003"/>
    <n v="34.380000000000003"/>
    <n v="33.54"/>
    <n v="34.03"/>
    <n v="13629073"/>
    <x v="1072"/>
    <x v="5"/>
    <n v="5.6146572104018239E-3"/>
  </r>
  <r>
    <d v="2020-01-21T00:00:00"/>
    <n v="35.35"/>
    <n v="36.57"/>
    <n v="35.229999999999997"/>
    <n v="36.479999999999997"/>
    <n v="17803471"/>
    <x v="1073"/>
    <x v="5"/>
    <n v="3.1966053748231839E-2"/>
  </r>
  <r>
    <d v="2020-01-22T00:00:00"/>
    <n v="38.130000000000003"/>
    <n v="39.630000000000003"/>
    <n v="37.270000000000003"/>
    <n v="37.97"/>
    <n v="31369028"/>
    <x v="1074"/>
    <x v="5"/>
    <n v="-4.1961709939681005E-3"/>
  </r>
  <r>
    <d v="2020-01-23T00:00:00"/>
    <n v="37.619999999999997"/>
    <n v="38.799999999999997"/>
    <n v="37.04"/>
    <n v="38.15"/>
    <n v="19651042"/>
    <x v="1075"/>
    <x v="5"/>
    <n v="1.4088250930356224E-2"/>
  </r>
  <r>
    <d v="2020-01-24T00:00:00"/>
    <n v="38.04"/>
    <n v="38.26"/>
    <n v="36.950000000000003"/>
    <n v="37.65"/>
    <n v="14353600"/>
    <x v="1076"/>
    <x v="5"/>
    <n v="-1.0252365930599383E-2"/>
  </r>
  <r>
    <d v="2020-01-27T00:00:00"/>
    <n v="36.130000000000003"/>
    <n v="37.630000000000003"/>
    <n v="35.950000000000003"/>
    <n v="37.200000000000003"/>
    <n v="13608068"/>
    <x v="1077"/>
    <x v="5"/>
    <n v="2.9615278162192091E-2"/>
  </r>
  <r>
    <d v="2020-01-28T00:00:00"/>
    <n v="37.9"/>
    <n v="38.450000000000003"/>
    <n v="37.21"/>
    <n v="37.79"/>
    <n v="11788493"/>
    <x v="1078"/>
    <x v="5"/>
    <n v="-2.9023746701846817E-3"/>
  </r>
  <r>
    <d v="2020-01-29T00:00:00"/>
    <n v="38.380000000000003"/>
    <n v="39.32"/>
    <n v="37.83"/>
    <n v="38.729999999999997"/>
    <n v="18216672"/>
    <x v="1079"/>
    <x v="5"/>
    <n v="9.1193329859300225E-3"/>
  </r>
  <r>
    <d v="2020-01-30T00:00:00"/>
    <n v="42.16"/>
    <n v="43.39"/>
    <n v="41.2"/>
    <n v="42.72"/>
    <n v="29005676"/>
    <x v="1080"/>
    <x v="5"/>
    <n v="1.3282732447817892E-2"/>
  </r>
  <r>
    <d v="2020-01-31T00:00:00"/>
    <n v="42.67"/>
    <n v="43.53"/>
    <n v="42.17"/>
    <n v="43.37"/>
    <n v="15719266"/>
    <x v="1081"/>
    <x v="5"/>
    <n v="1.6404968361846631E-2"/>
  </r>
  <r>
    <d v="2020-02-03T00:00:00"/>
    <n v="44.91"/>
    <n v="52.41"/>
    <n v="44.9"/>
    <n v="52"/>
    <n v="47233495"/>
    <x v="1082"/>
    <x v="5"/>
    <n v="0.15787129815185935"/>
  </r>
  <r>
    <d v="2020-02-04T00:00:00"/>
    <n v="58.86"/>
    <n v="64.599999999999994"/>
    <n v="55.59"/>
    <n v="59.14"/>
    <n v="60938758"/>
    <x v="1083"/>
    <x v="5"/>
    <n v="4.7570506286102807E-3"/>
  </r>
  <r>
    <d v="2020-02-05T00:00:00"/>
    <n v="54.88"/>
    <n v="56.4"/>
    <n v="46.94"/>
    <n v="48.98"/>
    <n v="48423837"/>
    <x v="1084"/>
    <x v="5"/>
    <n v="-0.10750728862973771"/>
  </r>
  <r>
    <d v="2020-02-06T00:00:00"/>
    <n v="46.66"/>
    <n v="53.06"/>
    <n v="45.8"/>
    <n v="49.93"/>
    <n v="39880752"/>
    <x v="1085"/>
    <x v="5"/>
    <n v="7.008144020574375E-2"/>
  </r>
  <r>
    <d v="2020-02-07T00:00:00"/>
    <n v="48.7"/>
    <n v="51.32"/>
    <n v="48.67"/>
    <n v="49.87"/>
    <n v="17063521"/>
    <x v="1086"/>
    <x v="5"/>
    <n v="2.4024640657084078E-2"/>
  </r>
  <r>
    <d v="2020-02-10T00:00:00"/>
    <n v="53.33"/>
    <n v="54.67"/>
    <n v="50.16"/>
    <n v="51.42"/>
    <n v="24689163"/>
    <x v="1087"/>
    <x v="5"/>
    <n v="-3.5814738421151258E-2"/>
  </r>
  <r>
    <d v="2020-02-11T00:00:00"/>
    <n v="51.25"/>
    <n v="52.23"/>
    <n v="50.53"/>
    <n v="51.63"/>
    <n v="11697473"/>
    <x v="1088"/>
    <x v="5"/>
    <n v="7.4146341463415134E-3"/>
  </r>
  <r>
    <d v="2020-02-12T00:00:00"/>
    <n v="51.86"/>
    <n v="52.65"/>
    <n v="50.89"/>
    <n v="51.15"/>
    <n v="12022470"/>
    <x v="1089"/>
    <x v="5"/>
    <n v="-1.3690705746239894E-2"/>
  </r>
  <r>
    <d v="2020-02-13T00:00:00"/>
    <n v="49.46"/>
    <n v="54.53"/>
    <n v="49"/>
    <n v="53.6"/>
    <n v="26289348"/>
    <x v="1090"/>
    <x v="5"/>
    <n v="8.3704003234937333E-2"/>
  </r>
  <r>
    <d v="2020-02-14T00:00:00"/>
    <n v="52.48"/>
    <n v="54.2"/>
    <n v="52.37"/>
    <n v="53.34"/>
    <n v="15693711"/>
    <x v="1091"/>
    <x v="5"/>
    <n v="1.6387195121951345E-2"/>
  </r>
  <r>
    <d v="2020-02-18T00:00:00"/>
    <n v="56.11"/>
    <n v="57.33"/>
    <n v="55.49"/>
    <n v="57.23"/>
    <n v="16698369"/>
    <x v="1092"/>
    <x v="5"/>
    <n v="1.9960791302798028E-2"/>
  </r>
  <r>
    <d v="2020-02-19T00:00:00"/>
    <n v="61.57"/>
    <n v="62.99"/>
    <n v="60.07"/>
    <n v="61.16"/>
    <n v="25422958"/>
    <x v="1093"/>
    <x v="5"/>
    <n v="-6.6590872178009372E-3"/>
  </r>
  <r>
    <d v="2020-02-20T00:00:00"/>
    <n v="60.8"/>
    <n v="60.8"/>
    <n v="57.33"/>
    <n v="59.96"/>
    <n v="17634893"/>
    <x v="1094"/>
    <x v="5"/>
    <n v="-1.3815789473684151E-2"/>
  </r>
  <r>
    <d v="2020-02-21T00:00:00"/>
    <n v="60.47"/>
    <n v="60.87"/>
    <n v="58.7"/>
    <n v="60.07"/>
    <n v="14339446"/>
    <x v="1095"/>
    <x v="5"/>
    <n v="-6.6148503390110565E-3"/>
  </r>
  <r>
    <d v="2020-02-24T00:00:00"/>
    <n v="55.93"/>
    <n v="57.57"/>
    <n v="54.81"/>
    <n v="55.59"/>
    <n v="15192163"/>
    <x v="1096"/>
    <x v="5"/>
    <n v="-6.0790273556230344E-3"/>
  </r>
  <r>
    <d v="2020-02-25T00:00:00"/>
    <n v="56.6"/>
    <n v="57.11"/>
    <n v="52.47"/>
    <n v="53.33"/>
    <n v="17290481"/>
    <x v="1097"/>
    <x v="5"/>
    <n v="-5.7773851590106062E-2"/>
  </r>
  <r>
    <d v="2020-02-26T00:00:00"/>
    <n v="52.17"/>
    <n v="54.22"/>
    <n v="51.74"/>
    <n v="51.92"/>
    <n v="14153843"/>
    <x v="1098"/>
    <x v="5"/>
    <n v="-4.7920260686218135E-3"/>
  </r>
  <r>
    <d v="2020-02-27T00:00:00"/>
    <n v="48.67"/>
    <n v="49.32"/>
    <n v="44.6"/>
    <n v="45.27"/>
    <n v="24277160"/>
    <x v="1099"/>
    <x v="5"/>
    <n v="-6.9858228888432267E-2"/>
  </r>
  <r>
    <d v="2020-02-28T00:00:00"/>
    <n v="41.98"/>
    <n v="46.03"/>
    <n v="40.770000000000003"/>
    <n v="44.53"/>
    <n v="24564171"/>
    <x v="1100"/>
    <x v="5"/>
    <n v="6.0743211052882433E-2"/>
  </r>
  <r>
    <d v="2020-03-02T00:00:00"/>
    <n v="47.42"/>
    <n v="49.58"/>
    <n v="45.78"/>
    <n v="49.57"/>
    <n v="20194991"/>
    <x v="1101"/>
    <x v="5"/>
    <n v="4.5339519190215068E-2"/>
  </r>
  <r>
    <d v="2020-03-03T00:00:00"/>
    <n v="53.67"/>
    <n v="53.8"/>
    <n v="47.74"/>
    <n v="49.7"/>
    <n v="25784003"/>
    <x v="1102"/>
    <x v="5"/>
    <n v="-7.3970560834730734E-2"/>
  </r>
  <r>
    <d v="2020-03-04T00:00:00"/>
    <n v="50.93"/>
    <n v="51.1"/>
    <n v="48.32"/>
    <n v="49.97"/>
    <n v="15048977"/>
    <x v="1103"/>
    <x v="5"/>
    <n v="-1.8849401138818004E-2"/>
  </r>
  <r>
    <d v="2020-03-05T00:00:00"/>
    <n v="48.25"/>
    <n v="49.72"/>
    <n v="47.87"/>
    <n v="48.3"/>
    <n v="10852657"/>
    <x v="1104"/>
    <x v="5"/>
    <n v="1.0362694300517547E-3"/>
  </r>
  <r>
    <d v="2020-03-06T00:00:00"/>
    <n v="46"/>
    <n v="47.13"/>
    <n v="45.62"/>
    <n v="46.9"/>
    <n v="12662918"/>
    <x v="1105"/>
    <x v="5"/>
    <n v="1.9565217391304318E-2"/>
  </r>
  <r>
    <d v="2020-03-09T00:00:00"/>
    <n v="40.36"/>
    <n v="44.2"/>
    <n v="40.33"/>
    <n v="40.53"/>
    <n v="17073740"/>
    <x v="1106"/>
    <x v="5"/>
    <n v="4.2120911793855726E-3"/>
  </r>
  <r>
    <d v="2020-03-10T00:00:00"/>
    <n v="43.96"/>
    <n v="44.53"/>
    <n v="40.53"/>
    <n v="43.02"/>
    <n v="15594443"/>
    <x v="1107"/>
    <x v="5"/>
    <n v="-2.1383075523202861E-2"/>
  </r>
  <r>
    <d v="2020-03-11T00:00:00"/>
    <n v="42.68"/>
    <n v="43.57"/>
    <n v="40.869999999999997"/>
    <n v="42.28"/>
    <n v="13413587"/>
    <x v="1108"/>
    <x v="5"/>
    <n v="-9.3720712277412972E-3"/>
  </r>
  <r>
    <d v="2020-03-12T00:00:00"/>
    <n v="38.729999999999997"/>
    <n v="39.630000000000003"/>
    <n v="36.42"/>
    <n v="37.369999999999997"/>
    <n v="18909052"/>
    <x v="1109"/>
    <x v="5"/>
    <n v="-3.5114898011877088E-2"/>
  </r>
  <r>
    <d v="2020-03-13T00:00:00"/>
    <n v="39.67"/>
    <n v="40.5"/>
    <n v="33.47"/>
    <n v="36.44"/>
    <n v="22640254"/>
    <x v="1110"/>
    <x v="5"/>
    <n v="-8.1421729266448292E-2"/>
  </r>
  <r>
    <d v="2020-03-16T00:00:00"/>
    <n v="31.3"/>
    <n v="32.99"/>
    <n v="29.48"/>
    <n v="29.67"/>
    <n v="20489464"/>
    <x v="1111"/>
    <x v="5"/>
    <n v="-5.2076677316293896E-2"/>
  </r>
  <r>
    <d v="2020-03-17T00:00:00"/>
    <n v="29.33"/>
    <n v="31.46"/>
    <n v="26.4"/>
    <n v="28.68"/>
    <n v="23994580"/>
    <x v="1112"/>
    <x v="5"/>
    <n v="-2.2161609273781066E-2"/>
  </r>
  <r>
    <d v="2020-03-18T00:00:00"/>
    <n v="25.93"/>
    <n v="26.99"/>
    <n v="23.37"/>
    <n v="24.08"/>
    <n v="23786162"/>
    <x v="1113"/>
    <x v="5"/>
    <n v="-7.1345931353644476E-2"/>
  </r>
  <r>
    <d v="2020-03-19T00:00:00"/>
    <n v="24.98"/>
    <n v="30.13"/>
    <n v="23.9"/>
    <n v="28.51"/>
    <n v="30195460"/>
    <x v="1114"/>
    <x v="5"/>
    <n v="0.14131305044035233"/>
  </r>
  <r>
    <d v="2020-03-20T00:00:00"/>
    <n v="29.21"/>
    <n v="31.8"/>
    <n v="28.39"/>
    <n v="28.5"/>
    <n v="28285502"/>
    <x v="1115"/>
    <x v="5"/>
    <n v="-2.4306744265662473E-2"/>
  </r>
  <r>
    <d v="2020-03-23T00:00:00"/>
    <n v="28.91"/>
    <n v="29.47"/>
    <n v="27.37"/>
    <n v="28.95"/>
    <n v="16454549"/>
    <x v="1116"/>
    <x v="5"/>
    <n v="1.383604289173267E-3"/>
  </r>
  <r>
    <d v="2020-03-24T00:00:00"/>
    <n v="31.82"/>
    <n v="34.25"/>
    <n v="31.6"/>
    <n v="33.67"/>
    <n v="22895170"/>
    <x v="1117"/>
    <x v="5"/>
    <n v="5.8139534883720971E-2"/>
  </r>
  <r>
    <d v="2020-03-25T00:00:00"/>
    <n v="36.35"/>
    <n v="37.130000000000003"/>
    <n v="34.07"/>
    <n v="35.950000000000003"/>
    <n v="21222745"/>
    <x v="1118"/>
    <x v="5"/>
    <n v="-1.1004126547455256E-2"/>
  </r>
  <r>
    <d v="2020-03-26T00:00:00"/>
    <n v="36.49"/>
    <n v="37.33"/>
    <n v="34.15"/>
    <n v="35.21"/>
    <n v="17422082"/>
    <x v="1119"/>
    <x v="5"/>
    <n v="-3.5078103590024695E-2"/>
  </r>
  <r>
    <d v="2020-03-27T00:00:00"/>
    <n v="33.67"/>
    <n v="35.049999999999997"/>
    <n v="32.94"/>
    <n v="34.29"/>
    <n v="14377408"/>
    <x v="1120"/>
    <x v="5"/>
    <n v="1.8414018414018338E-2"/>
  </r>
  <r>
    <d v="2020-03-30T00:00:00"/>
    <n v="34.020000000000003"/>
    <n v="34.44"/>
    <n v="32.75"/>
    <n v="33.479999999999997"/>
    <n v="11998067"/>
    <x v="1121"/>
    <x v="5"/>
    <n v="-1.5873015873016056E-2"/>
  </r>
  <r>
    <d v="2020-03-31T00:00:00"/>
    <n v="33.42"/>
    <n v="36.200000000000003"/>
    <n v="33.130000000000003"/>
    <n v="34.93"/>
    <n v="17771485"/>
    <x v="1122"/>
    <x v="5"/>
    <n v="4.518252543387187E-2"/>
  </r>
  <r>
    <d v="2020-04-01T00:00:00"/>
    <n v="33.6"/>
    <n v="34.26"/>
    <n v="31.67"/>
    <n v="32.1"/>
    <n v="13353180"/>
    <x v="1123"/>
    <x v="5"/>
    <n v="-4.4642857142857144E-2"/>
  </r>
  <r>
    <d v="2020-04-02T00:00:00"/>
    <n v="32.07"/>
    <n v="32.950000000000003"/>
    <n v="29.76"/>
    <n v="30.3"/>
    <n v="19858427"/>
    <x v="1124"/>
    <x v="5"/>
    <n v="-5.5191768007483613E-2"/>
  </r>
  <r>
    <d v="2020-04-03T00:00:00"/>
    <n v="33.97"/>
    <n v="34.369999999999997"/>
    <n v="31.23"/>
    <n v="32"/>
    <n v="22562076"/>
    <x v="1125"/>
    <x v="5"/>
    <n v="-5.7992346187812745E-2"/>
  </r>
  <r>
    <d v="2020-04-06T00:00:00"/>
    <n v="34.08"/>
    <n v="34.729999999999997"/>
    <n v="33.200000000000003"/>
    <n v="34.42"/>
    <n v="14901836"/>
    <x v="1126"/>
    <x v="5"/>
    <n v="9.9765258215963448E-3"/>
  </r>
  <r>
    <d v="2020-04-07T00:00:00"/>
    <n v="36.33"/>
    <n v="37.67"/>
    <n v="35.49"/>
    <n v="36.36"/>
    <n v="17919784"/>
    <x v="1127"/>
    <x v="5"/>
    <n v="8.2576383154420966E-4"/>
  </r>
  <r>
    <d v="2020-04-08T00:00:00"/>
    <n v="36.950000000000003"/>
    <n v="37.15"/>
    <n v="35.56"/>
    <n v="36.590000000000003"/>
    <n v="12656024"/>
    <x v="1128"/>
    <x v="5"/>
    <n v="-9.7428958051420673E-3"/>
  </r>
  <r>
    <d v="2020-04-09T00:00:00"/>
    <n v="37.47"/>
    <n v="38.35"/>
    <n v="37.14"/>
    <n v="38.200000000000003"/>
    <n v="13650000"/>
    <x v="1129"/>
    <x v="5"/>
    <n v="1.9482252468641686E-2"/>
  </r>
  <r>
    <d v="2020-04-13T00:00:00"/>
    <n v="39.340000000000003"/>
    <n v="43.47"/>
    <n v="38.700000000000003"/>
    <n v="43.4"/>
    <n v="22475421"/>
    <x v="1130"/>
    <x v="5"/>
    <n v="0.10320284697508883"/>
  </r>
  <r>
    <d v="2020-04-14T00:00:00"/>
    <n v="46.6"/>
    <n v="49.46"/>
    <n v="46.16"/>
    <n v="47.33"/>
    <n v="30576511"/>
    <x v="1131"/>
    <x v="5"/>
    <n v="1.5665236051502079E-2"/>
  </r>
  <r>
    <d v="2020-04-15T00:00:00"/>
    <n v="49.47"/>
    <n v="50.21"/>
    <n v="47.33"/>
    <n v="48.66"/>
    <n v="23577001"/>
    <x v="1132"/>
    <x v="5"/>
    <n v="-1.6373559733171665E-2"/>
  </r>
  <r>
    <d v="2020-04-16T00:00:00"/>
    <n v="47.8"/>
    <n v="50.63"/>
    <n v="47.11"/>
    <n v="49.68"/>
    <n v="20657862"/>
    <x v="1133"/>
    <x v="5"/>
    <n v="3.9330543933054449E-2"/>
  </r>
  <r>
    <d v="2020-04-17T00:00:00"/>
    <n v="51.49"/>
    <n v="51.66"/>
    <n v="49.84"/>
    <n v="50.26"/>
    <n v="13128237"/>
    <x v="1134"/>
    <x v="5"/>
    <n v="-2.3888133618178365E-2"/>
  </r>
  <r>
    <d v="2020-04-20T00:00:00"/>
    <n v="48.85"/>
    <n v="51.04"/>
    <n v="47.48"/>
    <n v="49.76"/>
    <n v="14746577"/>
    <x v="1135"/>
    <x v="5"/>
    <n v="1.8628454452405251E-2"/>
  </r>
  <r>
    <d v="2020-04-21T00:00:00"/>
    <n v="48.67"/>
    <n v="50.22"/>
    <n v="44.92"/>
    <n v="45.78"/>
    <n v="20209093"/>
    <x v="1136"/>
    <x v="5"/>
    <n v="-5.9379494555167465E-2"/>
  </r>
  <r>
    <d v="2020-04-22T00:00:00"/>
    <n v="46.93"/>
    <n v="48.93"/>
    <n v="45.91"/>
    <n v="48.81"/>
    <n v="14224831"/>
    <x v="1137"/>
    <x v="5"/>
    <n v="4.0059663328361445E-2"/>
  </r>
  <r>
    <d v="2020-04-23T00:00:00"/>
    <n v="48.51"/>
    <n v="48.93"/>
    <n v="46.88"/>
    <n v="47.04"/>
    <n v="13236697"/>
    <x v="1138"/>
    <x v="5"/>
    <n v="-3.030303030303028E-2"/>
  </r>
  <r>
    <d v="2020-04-24T00:00:00"/>
    <n v="47.39"/>
    <n v="48.72"/>
    <n v="46.55"/>
    <n v="48.34"/>
    <n v="13237612"/>
    <x v="1139"/>
    <x v="5"/>
    <n v="2.0046423296054081E-2"/>
  </r>
  <r>
    <d v="2020-04-27T00:00:00"/>
    <n v="49.17"/>
    <n v="53.3"/>
    <n v="49"/>
    <n v="53.25"/>
    <n v="20681442"/>
    <x v="1140"/>
    <x v="5"/>
    <n v="8.2977425259304419E-2"/>
  </r>
  <r>
    <d v="2020-04-28T00:00:00"/>
    <n v="53.04"/>
    <n v="53.67"/>
    <n v="50.45"/>
    <n v="51.27"/>
    <n v="15221964"/>
    <x v="1141"/>
    <x v="5"/>
    <n v="-3.3371040723981824E-2"/>
  </r>
  <r>
    <d v="2020-04-29T00:00:00"/>
    <n v="52.68"/>
    <n v="53.55"/>
    <n v="52.21"/>
    <n v="53.37"/>
    <n v="16215982"/>
    <x v="1142"/>
    <x v="5"/>
    <n v="1.3097949886104741E-2"/>
  </r>
  <r>
    <d v="2020-04-30T00:00:00"/>
    <n v="57.01"/>
    <n v="57.99"/>
    <n v="50.9"/>
    <n v="52.13"/>
    <n v="28471854"/>
    <x v="1143"/>
    <x v="5"/>
    <n v="-8.5599017716190065E-2"/>
  </r>
  <r>
    <d v="2020-05-01T00:00:00"/>
    <n v="50.33"/>
    <n v="51.52"/>
    <n v="45.54"/>
    <n v="46.75"/>
    <n v="32531807"/>
    <x v="1144"/>
    <x v="5"/>
    <n v="-7.1130538446254693E-2"/>
  </r>
  <r>
    <d v="2020-05-04T00:00:00"/>
    <n v="46.73"/>
    <n v="50.8"/>
    <n v="46.53"/>
    <n v="50.75"/>
    <n v="19237090"/>
    <x v="1145"/>
    <x v="5"/>
    <n v="8.6026107425636711E-2"/>
  </r>
  <r>
    <d v="2020-05-05T00:00:00"/>
    <n v="52.65"/>
    <n v="53.26"/>
    <n v="50.81"/>
    <n v="51.21"/>
    <n v="16991656"/>
    <x v="1146"/>
    <x v="5"/>
    <n v="-2.7350427350427309E-2"/>
  </r>
  <r>
    <d v="2020-05-06T00:00:00"/>
    <n v="51.77"/>
    <n v="52.65"/>
    <n v="50.74"/>
    <n v="52.17"/>
    <n v="11123231"/>
    <x v="1147"/>
    <x v="5"/>
    <n v="7.726482518833273E-3"/>
  </r>
  <r>
    <d v="2020-05-07T00:00:00"/>
    <n v="51.81"/>
    <n v="53.09"/>
    <n v="51.49"/>
    <n v="52"/>
    <n v="11527686"/>
    <x v="1148"/>
    <x v="5"/>
    <n v="3.667245705462222E-3"/>
  </r>
  <r>
    <d v="2020-05-08T00:00:00"/>
    <n v="52.92"/>
    <n v="54.93"/>
    <n v="52.47"/>
    <n v="54.63"/>
    <n v="16130087"/>
    <x v="1149"/>
    <x v="5"/>
    <n v="3.2312925170068042E-2"/>
  </r>
  <r>
    <d v="2020-05-11T00:00:00"/>
    <n v="52.7"/>
    <n v="54.93"/>
    <n v="52.33"/>
    <n v="54.09"/>
    <n v="16519601"/>
    <x v="1150"/>
    <x v="5"/>
    <n v="2.6375711574952571E-2"/>
  </r>
  <r>
    <d v="2020-05-12T00:00:00"/>
    <n v="55.13"/>
    <n v="56.22"/>
    <n v="53.87"/>
    <n v="53.96"/>
    <n v="15906905"/>
    <x v="1151"/>
    <x v="5"/>
    <n v="-2.1222564846725949E-2"/>
  </r>
  <r>
    <d v="2020-05-13T00:00:00"/>
    <n v="54.72"/>
    <n v="55.07"/>
    <n v="50.89"/>
    <n v="52.73"/>
    <n v="19065491"/>
    <x v="1152"/>
    <x v="5"/>
    <n v="-3.636695906432752E-2"/>
  </r>
  <r>
    <d v="2020-05-14T00:00:00"/>
    <n v="52"/>
    <n v="53.56"/>
    <n v="50.93"/>
    <n v="53.56"/>
    <n v="13682188"/>
    <x v="1153"/>
    <x v="5"/>
    <n v="3.0000000000000044E-2"/>
  </r>
  <r>
    <d v="2020-05-15T00:00:00"/>
    <n v="52.69"/>
    <n v="53.67"/>
    <n v="52.44"/>
    <n v="53.28"/>
    <n v="10518428"/>
    <x v="1154"/>
    <x v="5"/>
    <n v="1.119757069652692E-2"/>
  </r>
  <r>
    <d v="2020-05-18T00:00:00"/>
    <n v="55.19"/>
    <n v="55.65"/>
    <n v="53.59"/>
    <n v="54.24"/>
    <n v="11698102"/>
    <x v="1155"/>
    <x v="5"/>
    <n v="-1.7213263272331868E-2"/>
  </r>
  <r>
    <d v="2020-05-19T00:00:00"/>
    <n v="54.34"/>
    <n v="54.8"/>
    <n v="53.74"/>
    <n v="53.87"/>
    <n v="9636522"/>
    <x v="1156"/>
    <x v="5"/>
    <n v="-8.6492454913508644E-3"/>
  </r>
  <r>
    <d v="2020-05-20T00:00:00"/>
    <n v="54.7"/>
    <n v="55.07"/>
    <n v="54.12"/>
    <n v="54.37"/>
    <n v="7309271"/>
    <x v="1157"/>
    <x v="5"/>
    <n v="-6.0329067641682887E-3"/>
  </r>
  <r>
    <d v="2020-05-21T00:00:00"/>
    <n v="54.4"/>
    <n v="55.5"/>
    <n v="53.07"/>
    <n v="55.17"/>
    <n v="12254584"/>
    <x v="1158"/>
    <x v="5"/>
    <n v="1.415441176470594E-2"/>
  </r>
  <r>
    <d v="2020-05-22T00:00:00"/>
    <n v="54.81"/>
    <n v="55.45"/>
    <n v="54.13"/>
    <n v="54.46"/>
    <n v="9987475"/>
    <x v="1159"/>
    <x v="5"/>
    <n v="-6.3856960408684802E-3"/>
  </r>
  <r>
    <d v="2020-05-26T00:00:00"/>
    <n v="55.63"/>
    <n v="55.64"/>
    <n v="54.38"/>
    <n v="54.59"/>
    <n v="8089736"/>
    <x v="1160"/>
    <x v="5"/>
    <n v="-1.8694948768649994E-2"/>
  </r>
  <r>
    <d v="2020-05-27T00:00:00"/>
    <n v="54.72"/>
    <n v="55.18"/>
    <n v="52.33"/>
    <n v="54.68"/>
    <n v="11549530"/>
    <x v="1161"/>
    <x v="5"/>
    <n v="-7.3099415204676808E-4"/>
  </r>
  <r>
    <d v="2020-05-28T00:00:00"/>
    <n v="54.23"/>
    <n v="54.98"/>
    <n v="53.45"/>
    <n v="53.72"/>
    <n v="7275774"/>
    <x v="1162"/>
    <x v="5"/>
    <n v="-9.4043887147335064E-3"/>
  </r>
  <r>
    <d v="2020-05-29T00:00:00"/>
    <n v="53.92"/>
    <n v="55.67"/>
    <n v="53.61"/>
    <n v="55.67"/>
    <n v="11812489"/>
    <x v="1163"/>
    <x v="5"/>
    <n v="3.245548961424332E-2"/>
  </r>
  <r>
    <d v="2020-06-01T00:00:00"/>
    <n v="57.2"/>
    <n v="59.93"/>
    <n v="56.94"/>
    <n v="59.87"/>
    <n v="15085297"/>
    <x v="1164"/>
    <x v="5"/>
    <n v="4.6678321678321581E-2"/>
  </r>
  <r>
    <d v="2020-06-02T00:00:00"/>
    <n v="59.65"/>
    <n v="60.58"/>
    <n v="58.07"/>
    <n v="58.77"/>
    <n v="13565596"/>
    <x v="1165"/>
    <x v="5"/>
    <n v="-1.4752724224643679E-2"/>
  </r>
  <r>
    <d v="2020-06-03T00:00:00"/>
    <n v="59.21"/>
    <n v="59.86"/>
    <n v="58.67"/>
    <n v="58.86"/>
    <n v="7949469"/>
    <x v="1166"/>
    <x v="5"/>
    <n v="-5.9111636547880663E-3"/>
  </r>
  <r>
    <d v="2020-06-04T00:00:00"/>
    <n v="59.33"/>
    <n v="59.72"/>
    <n v="57.23"/>
    <n v="57.63"/>
    <n v="8887713"/>
    <x v="1167"/>
    <x v="5"/>
    <n v="-2.8653295128939757E-2"/>
  </r>
  <r>
    <d v="2020-06-05T00:00:00"/>
    <n v="58.52"/>
    <n v="59.1"/>
    <n v="57.75"/>
    <n v="59.04"/>
    <n v="7811917"/>
    <x v="1168"/>
    <x v="5"/>
    <n v="8.8858509911140804E-3"/>
  </r>
  <r>
    <d v="2020-06-08T00:00:00"/>
    <n v="61.27"/>
    <n v="63.33"/>
    <n v="60.61"/>
    <n v="63.33"/>
    <n v="14174727"/>
    <x v="1169"/>
    <x v="5"/>
    <n v="3.3621674555247186E-2"/>
  </r>
  <r>
    <d v="2020-06-09T00:00:00"/>
    <n v="62.67"/>
    <n v="63.63"/>
    <n v="61.6"/>
    <n v="62.71"/>
    <n v="11388154"/>
    <x v="1170"/>
    <x v="5"/>
    <n v="6.3826392213178784E-4"/>
  </r>
  <r>
    <d v="2020-06-10T00:00:00"/>
    <n v="66.13"/>
    <n v="68.5"/>
    <n v="65.5"/>
    <n v="68.34"/>
    <n v="18563413"/>
    <x v="1171"/>
    <x v="5"/>
    <n v="3.3419023136246909E-2"/>
  </r>
  <r>
    <d v="2020-06-11T00:00:00"/>
    <n v="66.010000000000005"/>
    <n v="67.930000000000007"/>
    <n v="64.8"/>
    <n v="64.86"/>
    <n v="15916482"/>
    <x v="1172"/>
    <x v="5"/>
    <n v="-1.7421602787456532E-2"/>
  </r>
  <r>
    <d v="2020-06-12T00:00:00"/>
    <n v="65.33"/>
    <n v="65.87"/>
    <n v="60.84"/>
    <n v="62.35"/>
    <n v="16763374"/>
    <x v="1173"/>
    <x v="5"/>
    <n v="-4.5614572172049547E-2"/>
  </r>
  <r>
    <d v="2020-06-15T00:00:00"/>
    <n v="61.19"/>
    <n v="66.59"/>
    <n v="60.57"/>
    <n v="66.06"/>
    <n v="15697178"/>
    <x v="1174"/>
    <x v="5"/>
    <n v="7.9588168001307483E-2"/>
  </r>
  <r>
    <d v="2020-06-16T00:00:00"/>
    <n v="67.459999999999994"/>
    <n v="67.53"/>
    <n v="64.16"/>
    <n v="65.48"/>
    <n v="14051078"/>
    <x v="1175"/>
    <x v="5"/>
    <n v="-2.9350726356359175E-2"/>
  </r>
  <r>
    <d v="2020-06-17T00:00:00"/>
    <n v="65.849999999999994"/>
    <n v="67"/>
    <n v="65.5"/>
    <n v="66.12"/>
    <n v="9890800"/>
    <x v="1176"/>
    <x v="5"/>
    <n v="4.1002277904329575E-3"/>
  </r>
  <r>
    <d v="2020-06-18T00:00:00"/>
    <n v="66.87"/>
    <n v="67.95"/>
    <n v="66.3"/>
    <n v="66.930000000000007"/>
    <n v="9751936"/>
    <x v="1177"/>
    <x v="5"/>
    <n v="8.9726334679231744E-4"/>
  </r>
  <r>
    <d v="2020-06-19T00:00:00"/>
    <n v="67.52"/>
    <n v="67.73"/>
    <n v="66.09"/>
    <n v="66.73"/>
    <n v="8679749"/>
    <x v="1178"/>
    <x v="5"/>
    <n v="-1.1700236966824528E-2"/>
  </r>
  <r>
    <d v="2020-06-22T00:00:00"/>
    <n v="66.66"/>
    <n v="67.260000000000005"/>
    <n v="66"/>
    <n v="66.290000000000006"/>
    <n v="6362350"/>
    <x v="1179"/>
    <x v="5"/>
    <n v="-5.5505550555054062E-3"/>
  </r>
  <r>
    <d v="2020-06-23T00:00:00"/>
    <n v="66.59"/>
    <n v="67.47"/>
    <n v="66.27"/>
    <n v="66.790000000000006"/>
    <n v="6365271"/>
    <x v="1180"/>
    <x v="5"/>
    <n v="3.0034539720679206E-3"/>
  </r>
  <r>
    <d v="2020-06-24T00:00:00"/>
    <n v="66.27"/>
    <n v="66.73"/>
    <n v="63.54"/>
    <n v="64.06"/>
    <n v="10959593"/>
    <x v="1181"/>
    <x v="5"/>
    <n v="-3.3348423117549326E-2"/>
  </r>
  <r>
    <d v="2020-06-25T00:00:00"/>
    <n v="63.62"/>
    <n v="65.73"/>
    <n v="62.48"/>
    <n v="65.73"/>
    <n v="9254549"/>
    <x v="1182"/>
    <x v="5"/>
    <n v="3.3165671172587341E-2"/>
  </r>
  <r>
    <d v="2020-06-26T00:00:00"/>
    <n v="66.319999999999993"/>
    <n v="66.33"/>
    <n v="63.66"/>
    <n v="63.98"/>
    <n v="8854908"/>
    <x v="1183"/>
    <x v="5"/>
    <n v="-3.5283474065138667E-2"/>
  </r>
  <r>
    <d v="2020-06-29T00:00:00"/>
    <n v="64.599999999999994"/>
    <n v="67.33"/>
    <n v="63.23"/>
    <n v="67.290000000000006"/>
    <n v="9026404"/>
    <x v="1184"/>
    <x v="5"/>
    <n v="4.1640866873065202E-2"/>
  </r>
  <r>
    <d v="2020-06-30T00:00:00"/>
    <n v="67.099999999999994"/>
    <n v="72.510000000000005"/>
    <n v="66.92"/>
    <n v="71.989999999999995"/>
    <n v="16918501"/>
    <x v="1185"/>
    <x v="5"/>
    <n v="7.2876304023845026E-2"/>
  </r>
  <r>
    <d v="2020-07-01T00:00:00"/>
    <n v="72.2"/>
    <n v="75.69"/>
    <n v="72.03"/>
    <n v="74.64"/>
    <n v="13326896"/>
    <x v="1186"/>
    <x v="5"/>
    <n v="3.379501385041548E-2"/>
  </r>
  <r>
    <d v="2020-07-02T00:00:00"/>
    <n v="81.430000000000007"/>
    <n v="81.87"/>
    <n v="79.040000000000006"/>
    <n v="80.58"/>
    <n v="17250115"/>
    <x v="1187"/>
    <x v="5"/>
    <n v="-1.0438413361169206E-2"/>
  </r>
  <r>
    <d v="2020-07-06T00:00:00"/>
    <n v="85.11"/>
    <n v="91.85"/>
    <n v="84.4"/>
    <n v="91.44"/>
    <n v="20569864"/>
    <x v="1188"/>
    <x v="5"/>
    <n v="7.4374339090588631E-2"/>
  </r>
  <r>
    <d v="2020-07-07T00:00:00"/>
    <n v="93.67"/>
    <n v="95.3"/>
    <n v="89.11"/>
    <n v="92.66"/>
    <n v="21489661"/>
    <x v="1189"/>
    <x v="5"/>
    <n v="-1.0782534429379792E-2"/>
  </r>
  <r>
    <d v="2020-07-08T00:00:00"/>
    <n v="93.67"/>
    <n v="94.48"/>
    <n v="87.42"/>
    <n v="91.06"/>
    <n v="16311312"/>
    <x v="1190"/>
    <x v="5"/>
    <n v="-2.7863777089783274E-2"/>
  </r>
  <r>
    <d v="2020-07-09T00:00:00"/>
    <n v="93.13"/>
    <n v="93.9"/>
    <n v="90.09"/>
    <n v="92.95"/>
    <n v="11717598"/>
    <x v="1191"/>
    <x v="5"/>
    <n v="-1.9327821325028736E-3"/>
  </r>
  <r>
    <d v="2020-07-10T00:00:00"/>
    <n v="93.07"/>
    <n v="103.26"/>
    <n v="91.73"/>
    <n v="102.98"/>
    <n v="23337553"/>
    <x v="1192"/>
    <x v="5"/>
    <n v="0.10647899430536167"/>
  </r>
  <r>
    <d v="2020-07-13T00:00:00"/>
    <n v="110.6"/>
    <n v="119.67"/>
    <n v="98.07"/>
    <n v="99.8"/>
    <n v="38985362"/>
    <x v="1193"/>
    <x v="5"/>
    <n v="-9.7649186256781179E-2"/>
  </r>
  <r>
    <d v="2020-07-14T00:00:00"/>
    <n v="103.73"/>
    <n v="106"/>
    <n v="95.4"/>
    <n v="101.12"/>
    <n v="23418140"/>
    <x v="1194"/>
    <x v="5"/>
    <n v="-2.5161476911211792E-2"/>
  </r>
  <r>
    <d v="2020-07-15T00:00:00"/>
    <n v="102.87"/>
    <n v="103.33"/>
    <n v="97.13"/>
    <n v="103.07"/>
    <n v="16367829"/>
    <x v="1195"/>
    <x v="5"/>
    <n v="1.9442014192669254E-3"/>
  </r>
  <r>
    <d v="2020-07-16T00:00:00"/>
    <n v="98.48"/>
    <n v="102.11"/>
    <n v="97.73"/>
    <n v="100.04"/>
    <n v="14300785"/>
    <x v="1196"/>
    <x v="5"/>
    <n v="1.584077985377744E-2"/>
  </r>
  <r>
    <d v="2020-07-17T00:00:00"/>
    <n v="100.9"/>
    <n v="102.5"/>
    <n v="99.33"/>
    <n v="100.06"/>
    <n v="9329972"/>
    <x v="1197"/>
    <x v="5"/>
    <n v="-8.3250743310208462E-3"/>
  </r>
  <r>
    <d v="2020-07-20T00:00:00"/>
    <n v="101.27"/>
    <n v="110"/>
    <n v="99.2"/>
    <n v="109.53"/>
    <n v="17121367"/>
    <x v="1198"/>
    <x v="5"/>
    <n v="8.1564135479411534E-2"/>
  </r>
  <r>
    <d v="2020-07-21T00:00:00"/>
    <n v="109.33"/>
    <n v="111.67"/>
    <n v="103.87"/>
    <n v="104.56"/>
    <n v="16157280"/>
    <x v="1199"/>
    <x v="5"/>
    <n v="-4.3629378944479977E-2"/>
  </r>
  <r>
    <d v="2020-07-22T00:00:00"/>
    <n v="106.6"/>
    <n v="108.43"/>
    <n v="104.13"/>
    <n v="106.16"/>
    <n v="14161080"/>
    <x v="1200"/>
    <x v="5"/>
    <n v="-4.1275797373358141E-3"/>
  </r>
  <r>
    <d v="2020-07-23T00:00:00"/>
    <n v="111.93"/>
    <n v="112.6"/>
    <n v="98.72"/>
    <n v="100.87"/>
    <n v="24328504"/>
    <x v="1201"/>
    <x v="5"/>
    <n v="-9.881175734834273E-2"/>
  </r>
  <r>
    <d v="2020-07-24T00:00:00"/>
    <n v="94.4"/>
    <n v="97.67"/>
    <n v="91.1"/>
    <n v="94.47"/>
    <n v="19396616"/>
    <x v="1202"/>
    <x v="5"/>
    <n v="7.4152542372874126E-4"/>
  </r>
  <r>
    <d v="2020-07-27T00:00:00"/>
    <n v="95.67"/>
    <n v="103.2"/>
    <n v="94.2"/>
    <n v="102.64"/>
    <n v="16048669"/>
    <x v="1203"/>
    <x v="5"/>
    <n v="7.2854604369185727E-2"/>
  </r>
  <r>
    <d v="2020-07-28T00:00:00"/>
    <n v="100.27"/>
    <n v="104.31"/>
    <n v="98.29"/>
    <n v="98.43"/>
    <n v="15808700"/>
    <x v="1204"/>
    <x v="5"/>
    <n v="-1.8350453774807911E-2"/>
  </r>
  <r>
    <d v="2020-07-29T00:00:00"/>
    <n v="100.07"/>
    <n v="102.32"/>
    <n v="99.13"/>
    <n v="99.94"/>
    <n v="9426893"/>
    <x v="1205"/>
    <x v="5"/>
    <n v="-1.2990906365543666E-3"/>
  </r>
  <r>
    <d v="2020-07-30T00:00:00"/>
    <n v="99.2"/>
    <n v="100.88"/>
    <n v="98.07"/>
    <n v="99.17"/>
    <n v="7621039"/>
    <x v="1206"/>
    <x v="5"/>
    <n v="-3.0241935483872113E-4"/>
  </r>
  <r>
    <d v="2020-07-31T00:00:00"/>
    <n v="101"/>
    <n v="101.14"/>
    <n v="94.73"/>
    <n v="95.38"/>
    <n v="12246960"/>
    <x v="1207"/>
    <x v="5"/>
    <n v="-5.5643564356435686E-2"/>
  </r>
  <r>
    <d v="2020-08-03T00:00:00"/>
    <n v="96.61"/>
    <n v="100.65"/>
    <n v="96.29"/>
    <n v="99"/>
    <n v="8809346"/>
    <x v="1208"/>
    <x v="5"/>
    <n v="2.4738639892350693E-2"/>
  </r>
  <r>
    <d v="2020-08-04T00:00:00"/>
    <n v="99.67"/>
    <n v="101.83"/>
    <n v="97.47"/>
    <n v="99.13"/>
    <n v="8414990"/>
    <x v="1209"/>
    <x v="5"/>
    <n v="-5.4178790007023804E-3"/>
  </r>
  <r>
    <d v="2020-08-05T00:00:00"/>
    <n v="99.53"/>
    <n v="99.99"/>
    <n v="97.89"/>
    <n v="99"/>
    <n v="4978015"/>
    <x v="1210"/>
    <x v="5"/>
    <n v="-5.3250276298603553E-3"/>
  </r>
  <r>
    <d v="2020-08-06T00:00:00"/>
    <n v="99.39"/>
    <n v="101.15"/>
    <n v="98.48"/>
    <n v="99.31"/>
    <n v="5992313"/>
    <x v="1211"/>
    <x v="5"/>
    <n v="-8.049099506992483E-4"/>
  </r>
  <r>
    <d v="2020-08-07T00:00:00"/>
    <n v="99.97"/>
    <n v="99.98"/>
    <n v="94.33"/>
    <n v="96.85"/>
    <n v="8896420"/>
    <x v="1212"/>
    <x v="5"/>
    <n v="-3.1209362808842699E-2"/>
  </r>
  <r>
    <d v="2020-08-10T00:00:00"/>
    <n v="96.53"/>
    <n v="97.17"/>
    <n v="92.39"/>
    <n v="94.57"/>
    <n v="7522264"/>
    <x v="1213"/>
    <x v="5"/>
    <n v="-2.0304568527918863E-2"/>
  </r>
  <r>
    <d v="2020-08-11T00:00:00"/>
    <n v="93.07"/>
    <n v="94.67"/>
    <n v="91"/>
    <n v="91.63"/>
    <n v="8625834"/>
    <x v="1214"/>
    <x v="5"/>
    <n v="-1.5472225206833543E-2"/>
  </r>
  <r>
    <d v="2020-08-12T00:00:00"/>
    <n v="98"/>
    <n v="105.67"/>
    <n v="95.67"/>
    <n v="103.65"/>
    <n v="21898834"/>
    <x v="1215"/>
    <x v="5"/>
    <n v="5.7653061224489856E-2"/>
  </r>
  <r>
    <d v="2020-08-13T00:00:00"/>
    <n v="107.4"/>
    <n v="110.08"/>
    <n v="104.48"/>
    <n v="108.07"/>
    <n v="20425308"/>
    <x v="1216"/>
    <x v="5"/>
    <n v="6.2383612662941105E-3"/>
  </r>
  <r>
    <d v="2020-08-14T00:00:00"/>
    <n v="111"/>
    <n v="111.25"/>
    <n v="108.44"/>
    <n v="110.05"/>
    <n v="12577614"/>
    <x v="1217"/>
    <x v="5"/>
    <n v="-8.5585585585585839E-3"/>
  </r>
  <r>
    <d v="2020-08-17T00:00:00"/>
    <n v="111.8"/>
    <n v="123.06"/>
    <n v="111.52"/>
    <n v="122.38"/>
    <n v="20242323"/>
    <x v="1218"/>
    <x v="5"/>
    <n v="9.4633273703041129E-2"/>
  </r>
  <r>
    <d v="2020-08-18T00:00:00"/>
    <n v="126.6"/>
    <n v="128.26"/>
    <n v="123.01"/>
    <n v="125.81"/>
    <n v="16474491"/>
    <x v="1219"/>
    <x v="5"/>
    <n v="-6.2401263823064143E-3"/>
  </r>
  <r>
    <d v="2020-08-19T00:00:00"/>
    <n v="124.33"/>
    <n v="127.4"/>
    <n v="122.75"/>
    <n v="125.24"/>
    <n v="12205331"/>
    <x v="1220"/>
    <x v="5"/>
    <n v="7.3192310785811674E-3"/>
  </r>
  <r>
    <d v="2020-08-20T00:00:00"/>
    <n v="124.05"/>
    <n v="134.80000000000001"/>
    <n v="123.8"/>
    <n v="133.46"/>
    <n v="20611796"/>
    <x v="1221"/>
    <x v="5"/>
    <n v="7.5856509471987188E-2"/>
  </r>
  <r>
    <d v="2020-08-21T00:00:00"/>
    <n v="136.32"/>
    <n v="139.69999999999999"/>
    <n v="135"/>
    <n v="136.66999999999999"/>
    <n v="21489559"/>
    <x v="1222"/>
    <x v="5"/>
    <n v="2.5674882629107567E-3"/>
  </r>
  <r>
    <d v="2020-08-24T00:00:00"/>
    <n v="141.75"/>
    <n v="141.93"/>
    <n v="128.5"/>
    <n v="134.28"/>
    <n v="20063621"/>
    <x v="1223"/>
    <x v="5"/>
    <n v="-5.2698412698412689E-2"/>
  </r>
  <r>
    <d v="2020-08-25T00:00:00"/>
    <n v="131.66"/>
    <n v="135.19999999999999"/>
    <n v="131.19999999999999"/>
    <n v="134.88999999999999"/>
    <n v="10658893"/>
    <x v="1224"/>
    <x v="5"/>
    <n v="2.4532887741151373E-2"/>
  </r>
  <r>
    <d v="2020-08-26T00:00:00"/>
    <n v="137.33000000000001"/>
    <n v="144.4"/>
    <n v="136.91"/>
    <n v="143.54"/>
    <n v="14239382"/>
    <x v="1225"/>
    <x v="5"/>
    <n v="4.5219544163693143E-2"/>
  </r>
  <r>
    <d v="2020-08-27T00:00:00"/>
    <n v="145.36000000000001"/>
    <n v="153.04"/>
    <n v="142.83000000000001"/>
    <n v="149.25"/>
    <n v="23693043"/>
    <x v="1226"/>
    <x v="5"/>
    <n v="2.6761144744083559E-2"/>
  </r>
  <r>
    <d v="2020-08-28T00:00:00"/>
    <n v="153.01"/>
    <n v="154.57"/>
    <n v="145.77000000000001"/>
    <n v="147.56"/>
    <n v="20081176"/>
    <x v="1227"/>
    <x v="5"/>
    <n v="-3.5618587020456109E-2"/>
  </r>
  <r>
    <d v="2020-08-31T00:00:00"/>
    <n v="148.19999999999999"/>
    <n v="166.71"/>
    <n v="146.69999999999999"/>
    <n v="166.11"/>
    <n v="118374406"/>
    <x v="1228"/>
    <x v="5"/>
    <n v="0.12085020242914997"/>
  </r>
  <r>
    <d v="2020-09-01T00:00:00"/>
    <n v="167.38"/>
    <n v="167.5"/>
    <n v="156.84"/>
    <n v="158.35"/>
    <n v="90119419"/>
    <x v="1229"/>
    <x v="5"/>
    <n v="-5.3949097861154267E-2"/>
  </r>
  <r>
    <d v="2020-09-02T00:00:00"/>
    <n v="159.66"/>
    <n v="159.68"/>
    <n v="135.04"/>
    <n v="149.12"/>
    <n v="96176128"/>
    <x v="1230"/>
    <x v="5"/>
    <n v="-6.6015282475259882E-2"/>
  </r>
  <r>
    <d v="2020-09-03T00:00:00"/>
    <n v="135.74"/>
    <n v="143.93"/>
    <n v="134"/>
    <n v="135.66999999999999"/>
    <n v="87596086"/>
    <x v="1231"/>
    <x v="5"/>
    <n v="-5.1569176366599088E-4"/>
  </r>
  <r>
    <d v="2020-09-04T00:00:00"/>
    <n v="134.27000000000001"/>
    <n v="142.66999999999999"/>
    <n v="124.01"/>
    <n v="139.44"/>
    <n v="110321885"/>
    <x v="1232"/>
    <x v="5"/>
    <n v="3.8504505846428741E-2"/>
  </r>
  <r>
    <d v="2020-09-08T00:00:00"/>
    <n v="118.67"/>
    <n v="122.91"/>
    <n v="109.96"/>
    <n v="110.07"/>
    <n v="115465691"/>
    <x v="1233"/>
    <x v="5"/>
    <n v="-7.246987444172924E-2"/>
  </r>
  <r>
    <d v="2020-09-09T00:00:00"/>
    <n v="118.87"/>
    <n v="123"/>
    <n v="113.84"/>
    <n v="122.09"/>
    <n v="79465769"/>
    <x v="1234"/>
    <x v="5"/>
    <n v="2.7088415916547478E-2"/>
  </r>
  <r>
    <d v="2020-09-10T00:00:00"/>
    <n v="128.74"/>
    <n v="133"/>
    <n v="120.19"/>
    <n v="123.78"/>
    <n v="84930608"/>
    <x v="1235"/>
    <x v="5"/>
    <n v="-3.8527264253534317E-2"/>
  </r>
  <r>
    <d v="2020-09-11T00:00:00"/>
    <n v="127.31"/>
    <n v="127.5"/>
    <n v="120.17"/>
    <n v="124.24"/>
    <n v="60717459"/>
    <x v="1236"/>
    <x v="5"/>
    <n v="-2.4114366506951593E-2"/>
  </r>
  <r>
    <d v="2020-09-14T00:00:00"/>
    <n v="126.98"/>
    <n v="140"/>
    <n v="124.43"/>
    <n v="139.87"/>
    <n v="83020608"/>
    <x v="1237"/>
    <x v="5"/>
    <n v="0.1015120491415971"/>
  </r>
  <r>
    <d v="2020-09-15T00:00:00"/>
    <n v="145.52000000000001"/>
    <n v="153.97999999999999"/>
    <n v="143.57"/>
    <n v="149.91999999999999"/>
    <n v="97298228"/>
    <x v="1238"/>
    <x v="5"/>
    <n v="3.0236393622869551E-2"/>
  </r>
  <r>
    <d v="2020-09-16T00:00:00"/>
    <n v="146.62"/>
    <n v="152.6"/>
    <n v="145.1"/>
    <n v="147.25"/>
    <n v="72546760"/>
    <x v="1239"/>
    <x v="5"/>
    <n v="4.2968217160005142E-3"/>
  </r>
  <r>
    <d v="2020-09-17T00:00:00"/>
    <n v="138.53"/>
    <n v="145.93"/>
    <n v="136"/>
    <n v="141.13999999999999"/>
    <n v="76779163"/>
    <x v="1240"/>
    <x v="5"/>
    <n v="1.8840684328304231E-2"/>
  </r>
  <r>
    <d v="2020-09-18T00:00:00"/>
    <n v="149.31"/>
    <n v="150.33000000000001"/>
    <n v="142.93"/>
    <n v="147.38"/>
    <n v="86406819"/>
    <x v="1241"/>
    <x v="5"/>
    <n v="-1.2926126850177529E-2"/>
  </r>
  <r>
    <d v="2020-09-21T00:00:00"/>
    <n v="151.04"/>
    <n v="151.88999999999999"/>
    <n v="135.69"/>
    <n v="149.80000000000001"/>
    <n v="109476800"/>
    <x v="1242"/>
    <x v="5"/>
    <n v="-8.2097457627117367E-3"/>
  </r>
  <r>
    <d v="2020-09-22T00:00:00"/>
    <n v="143.19999999999999"/>
    <n v="145.91999999999999"/>
    <n v="139.19999999999999"/>
    <n v="141.41"/>
    <n v="79580795"/>
    <x v="1243"/>
    <x v="5"/>
    <n v="-1.2499999999999945E-2"/>
  </r>
  <r>
    <d v="2020-09-23T00:00:00"/>
    <n v="135.05000000000001"/>
    <n v="137.38"/>
    <n v="125.29"/>
    <n v="126.79"/>
    <n v="95074176"/>
    <x v="1244"/>
    <x v="5"/>
    <n v="-6.1162532395409142E-2"/>
  </r>
  <r>
    <d v="2020-09-24T00:00:00"/>
    <n v="121.27"/>
    <n v="133.16999999999999"/>
    <n v="117.1"/>
    <n v="129.26"/>
    <n v="96561061"/>
    <x v="1245"/>
    <x v="5"/>
    <n v="6.5886039416178738E-2"/>
  </r>
  <r>
    <d v="2020-09-25T00:00:00"/>
    <n v="131.16"/>
    <n v="136.24"/>
    <n v="130.43"/>
    <n v="135.78"/>
    <n v="67208459"/>
    <x v="1246"/>
    <x v="5"/>
    <n v="3.5224153705398026E-2"/>
  </r>
  <r>
    <d v="2020-09-28T00:00:00"/>
    <n v="141.54"/>
    <n v="142.69"/>
    <n v="138.52000000000001"/>
    <n v="140.4"/>
    <n v="49719561"/>
    <x v="1247"/>
    <x v="5"/>
    <n v="-8.054260279779471E-3"/>
  </r>
  <r>
    <d v="2020-09-29T00:00:00"/>
    <n v="138.66999999999999"/>
    <n v="142.83000000000001"/>
    <n v="137.19999999999999"/>
    <n v="139.69"/>
    <n v="50341404"/>
    <x v="1248"/>
    <x v="5"/>
    <n v="7.3555924136439769E-3"/>
  </r>
  <r>
    <d v="2020-09-30T00:00:00"/>
    <n v="140.44"/>
    <n v="144.63999999999999"/>
    <n v="140.16"/>
    <n v="143"/>
    <n v="48145566"/>
    <x v="1249"/>
    <x v="5"/>
    <n v="1.8228424950156669E-2"/>
  </r>
  <r>
    <d v="2020-10-01T00:00:00"/>
    <n v="146.91999999999999"/>
    <n v="149.63"/>
    <n v="144.81"/>
    <n v="149.38999999999999"/>
    <n v="50741454"/>
    <x v="1250"/>
    <x v="5"/>
    <n v="1.681187040566294E-2"/>
  </r>
  <r>
    <d v="2020-10-02T00:00:00"/>
    <n v="140.46"/>
    <n v="146.38"/>
    <n v="138.33000000000001"/>
    <n v="138.36000000000001"/>
    <n v="71430025"/>
    <x v="1251"/>
    <x v="5"/>
    <n v="-1.4950875694147759E-2"/>
  </r>
  <r>
    <d v="2020-10-05T00:00:00"/>
    <n v="141.12"/>
    <n v="144.55000000000001"/>
    <n v="139.78"/>
    <n v="141.88999999999999"/>
    <n v="44722786"/>
    <x v="1252"/>
    <x v="5"/>
    <n v="5.4563492063490777E-3"/>
  </r>
  <r>
    <d v="2020-10-06T00:00:00"/>
    <n v="141.26"/>
    <n v="142.93"/>
    <n v="135.35"/>
    <n v="137.99"/>
    <n v="49146259"/>
    <x v="1253"/>
    <x v="5"/>
    <n v="-2.314880362452203E-2"/>
  </r>
  <r>
    <d v="2020-10-07T00:00:00"/>
    <n v="139.96"/>
    <n v="143.30000000000001"/>
    <n v="137.94999999999999"/>
    <n v="141.77000000000001"/>
    <n v="43127709"/>
    <x v="1254"/>
    <x v="5"/>
    <n v="1.2932266361817678E-2"/>
  </r>
  <r>
    <d v="2020-10-08T00:00:00"/>
    <n v="146.15"/>
    <n v="146.33000000000001"/>
    <n v="141.77000000000001"/>
    <n v="141.97"/>
    <n v="40421116"/>
    <x v="1255"/>
    <x v="5"/>
    <n v="-2.8600752651385609E-2"/>
  </r>
  <r>
    <d v="2020-10-09T00:00:00"/>
    <n v="143.38"/>
    <n v="144.86000000000001"/>
    <n v="142.15"/>
    <n v="144.66999999999999"/>
    <n v="28925656"/>
    <x v="1256"/>
    <x v="5"/>
    <n v="8.997070721160497E-3"/>
  </r>
  <r>
    <d v="2020-10-12T00:00:00"/>
    <n v="147.33000000000001"/>
    <n v="149.58000000000001"/>
    <n v="146.19"/>
    <n v="147.43"/>
    <n v="38791133"/>
    <x v="1257"/>
    <x v="5"/>
    <n v="6.7874838797253991E-4"/>
  </r>
  <r>
    <d v="2020-10-13T00:00:00"/>
    <n v="147.78"/>
    <n v="149.63"/>
    <n v="145.53"/>
    <n v="148.88"/>
    <n v="34463665"/>
    <x v="1258"/>
    <x v="5"/>
    <n v="7.4434970902692811E-3"/>
  </r>
  <r>
    <d v="2020-10-14T00:00:00"/>
    <n v="149.93"/>
    <n v="155.30000000000001"/>
    <n v="149.12"/>
    <n v="153.77000000000001"/>
    <n v="48045394"/>
    <x v="1259"/>
    <x v="5"/>
    <n v="2.5611952244380731E-2"/>
  </r>
  <r>
    <d v="2020-10-15T00:00:00"/>
    <n v="150.1"/>
    <n v="152.19"/>
    <n v="147.5"/>
    <n v="149.63"/>
    <n v="35672354"/>
    <x v="1260"/>
    <x v="5"/>
    <n v="-3.131245836109253E-3"/>
  </r>
  <r>
    <d v="2020-10-16T00:00:00"/>
    <n v="151.47999999999999"/>
    <n v="151.97999999999999"/>
    <n v="146.28"/>
    <n v="146.56"/>
    <n v="32775879"/>
    <x v="1261"/>
    <x v="5"/>
    <n v="-3.2479535252178428E-2"/>
  </r>
  <r>
    <d v="2020-10-19T00:00:00"/>
    <n v="148.75"/>
    <n v="149"/>
    <n v="142.96"/>
    <n v="143.61000000000001"/>
    <n v="36287843"/>
    <x v="1262"/>
    <x v="5"/>
    <n v="-3.4554621848739406E-2"/>
  </r>
  <r>
    <d v="2020-10-20T00:00:00"/>
    <n v="143.91999999999999"/>
    <n v="143.91999999999999"/>
    <n v="139.68"/>
    <n v="140.65"/>
    <n v="31656289"/>
    <x v="1263"/>
    <x v="5"/>
    <n v="-2.2720956086714716E-2"/>
  </r>
  <r>
    <d v="2020-10-21T00:00:00"/>
    <n v="140.9"/>
    <n v="144.32"/>
    <n v="140.41999999999999"/>
    <n v="140.88"/>
    <n v="32370461"/>
    <x v="1264"/>
    <x v="5"/>
    <n v="-1.4194464158985261E-4"/>
  </r>
  <r>
    <d v="2020-10-22T00:00:00"/>
    <n v="147.31"/>
    <n v="148.41"/>
    <n v="141.5"/>
    <n v="141.93"/>
    <n v="39993191"/>
    <x v="1265"/>
    <x v="5"/>
    <n v="-3.652162107121034E-2"/>
  </r>
  <r>
    <d v="2020-10-23T00:00:00"/>
    <n v="140.61000000000001"/>
    <n v="140.96"/>
    <n v="135.79"/>
    <n v="140.21"/>
    <n v="33716980"/>
    <x v="1266"/>
    <x v="5"/>
    <n v="-2.8447478842188014E-3"/>
  </r>
  <r>
    <d v="2020-10-26T00:00:00"/>
    <n v="137.21"/>
    <n v="141.91999999999999"/>
    <n v="136.66999999999999"/>
    <n v="140.09"/>
    <n v="28239161"/>
    <x v="1267"/>
    <x v="5"/>
    <n v="2.0989723781065485E-2"/>
  </r>
  <r>
    <d v="2020-10-27T00:00:00"/>
    <n v="141.25"/>
    <n v="143.5"/>
    <n v="140.03"/>
    <n v="141.56"/>
    <n v="22686506"/>
    <x v="1268"/>
    <x v="5"/>
    <n v="2.194690265486742E-3"/>
  </r>
  <r>
    <d v="2020-10-28T00:00:00"/>
    <n v="138.83000000000001"/>
    <n v="139.53"/>
    <n v="135.33000000000001"/>
    <n v="135.34"/>
    <n v="25451409"/>
    <x v="1269"/>
    <x v="5"/>
    <n v="-2.5138658791327585E-2"/>
  </r>
  <r>
    <d v="2020-10-29T00:00:00"/>
    <n v="136.65"/>
    <n v="139.35"/>
    <n v="135.49"/>
    <n v="136.94"/>
    <n v="22655308"/>
    <x v="1270"/>
    <x v="5"/>
    <n v="2.1222100256128211E-3"/>
  </r>
  <r>
    <d v="2020-10-30T00:00:00"/>
    <n v="135.63"/>
    <n v="135.86000000000001"/>
    <n v="126.37"/>
    <n v="129.35"/>
    <n v="42587639"/>
    <x v="1271"/>
    <x v="5"/>
    <n v="-4.6302440463024418E-2"/>
  </r>
  <r>
    <d v="2020-11-02T00:00:00"/>
    <n v="131.33000000000001"/>
    <n v="135.66"/>
    <n v="130.77000000000001"/>
    <n v="133.5"/>
    <n v="29021118"/>
    <x v="1272"/>
    <x v="5"/>
    <n v="1.6523262011726089E-2"/>
  </r>
  <r>
    <d v="2020-11-03T00:00:00"/>
    <n v="136.58000000000001"/>
    <n v="142.59"/>
    <n v="135.56"/>
    <n v="141.30000000000001"/>
    <n v="34351715"/>
    <x v="1273"/>
    <x v="5"/>
    <n v="3.4558500512520123E-2"/>
  </r>
  <r>
    <d v="2020-11-04T00:00:00"/>
    <n v="143.54"/>
    <n v="145.13"/>
    <n v="139.03"/>
    <n v="140.33000000000001"/>
    <n v="32143057"/>
    <x v="1274"/>
    <x v="5"/>
    <n v="-2.2363104361153543E-2"/>
  </r>
  <r>
    <d v="2020-11-05T00:00:00"/>
    <n v="142.77000000000001"/>
    <n v="146.66999999999999"/>
    <n v="141.33000000000001"/>
    <n v="146.03"/>
    <n v="28414523"/>
    <x v="1275"/>
    <x v="5"/>
    <n v="2.2833928696504802E-2"/>
  </r>
  <r>
    <d v="2020-11-06T00:00:00"/>
    <n v="145.37"/>
    <n v="145.52000000000001"/>
    <n v="141.43"/>
    <n v="143.32"/>
    <n v="21706014"/>
    <x v="1276"/>
    <x v="5"/>
    <n v="-1.4101946756552323E-2"/>
  </r>
  <r>
    <d v="2020-11-09T00:00:00"/>
    <n v="146.5"/>
    <n v="150.83000000000001"/>
    <n v="140.33000000000001"/>
    <n v="140.41999999999999"/>
    <n v="34833025"/>
    <x v="1277"/>
    <x v="5"/>
    <n v="-4.1501706484641722E-2"/>
  </r>
  <r>
    <d v="2020-11-10T00:00:00"/>
    <n v="140.03"/>
    <n v="140.03"/>
    <n v="132.01"/>
    <n v="136.79"/>
    <n v="30284224"/>
    <x v="1278"/>
    <x v="5"/>
    <n v="-2.3137899021638285E-2"/>
  </r>
  <r>
    <d v="2020-11-11T00:00:00"/>
    <n v="138.82"/>
    <n v="139.57"/>
    <n v="136.86000000000001"/>
    <n v="139.04"/>
    <n v="17357722"/>
    <x v="1279"/>
    <x v="5"/>
    <n v="1.5847860538827177E-3"/>
  </r>
  <r>
    <d v="2020-11-12T00:00:00"/>
    <n v="138.35"/>
    <n v="141"/>
    <n v="136.51"/>
    <n v="137.25"/>
    <n v="19940500"/>
    <x v="1280"/>
    <x v="5"/>
    <n v="-7.9508492952655892E-3"/>
  </r>
  <r>
    <d v="2020-11-13T00:00:00"/>
    <n v="136.94999999999999"/>
    <n v="137.51"/>
    <n v="133.88999999999999"/>
    <n v="136.16999999999999"/>
    <n v="19830351"/>
    <x v="1281"/>
    <x v="5"/>
    <n v="-5.6955093099671497E-3"/>
  </r>
  <r>
    <d v="2020-11-16T00:00:00"/>
    <n v="136.31"/>
    <n v="137.47999999999999"/>
    <n v="134.69999999999999"/>
    <n v="136.03"/>
    <n v="26838635"/>
    <x v="1282"/>
    <x v="5"/>
    <n v="-2.0541412955762681E-3"/>
  </r>
  <r>
    <d v="2020-11-17T00:00:00"/>
    <n v="153.38999999999999"/>
    <n v="154"/>
    <n v="144.34"/>
    <n v="147.19999999999999"/>
    <n v="61188281"/>
    <x v="1283"/>
    <x v="5"/>
    <n v="-4.0354651541821489E-2"/>
  </r>
  <r>
    <d v="2020-11-18T00:00:00"/>
    <n v="149.44999999999999"/>
    <n v="165.33"/>
    <n v="147.83000000000001"/>
    <n v="162.21"/>
    <n v="78044024"/>
    <x v="1284"/>
    <x v="5"/>
    <n v="8.5379725660756245E-2"/>
  </r>
  <r>
    <d v="2020-11-19T00:00:00"/>
    <n v="164"/>
    <n v="169.54"/>
    <n v="162.52000000000001"/>
    <n v="166.42"/>
    <n v="62475346"/>
    <x v="1285"/>
    <x v="5"/>
    <n v="1.4756097560975533E-2"/>
  </r>
  <r>
    <d v="2020-11-20T00:00:00"/>
    <n v="166"/>
    <n v="167.5"/>
    <n v="163.02000000000001"/>
    <n v="163.19999999999999"/>
    <n v="32911922"/>
    <x v="1286"/>
    <x v="5"/>
    <n v="-1.6867469879518142E-2"/>
  </r>
  <r>
    <d v="2020-11-23T00:00:00"/>
    <n v="167.83"/>
    <n v="175.33"/>
    <n v="167.26"/>
    <n v="173.95"/>
    <n v="50260304"/>
    <x v="1287"/>
    <x v="5"/>
    <n v="3.6465471012333765E-2"/>
  </r>
  <r>
    <d v="2020-11-24T00:00:00"/>
    <n v="180.13"/>
    <n v="186.66"/>
    <n v="175.4"/>
    <n v="185.13"/>
    <n v="53648494"/>
    <x v="1288"/>
    <x v="5"/>
    <n v="2.7757730527952034E-2"/>
  </r>
  <r>
    <d v="2020-11-25T00:00:00"/>
    <n v="183.35"/>
    <n v="191.33"/>
    <n v="181.79"/>
    <n v="191.33"/>
    <n v="48930162"/>
    <x v="1289"/>
    <x v="5"/>
    <n v="4.3523316062176264E-2"/>
  </r>
  <r>
    <d v="2020-11-27T00:00:00"/>
    <n v="193.72"/>
    <n v="199.59"/>
    <n v="192.82"/>
    <n v="195.25"/>
    <n v="37561078"/>
    <x v="1290"/>
    <x v="5"/>
    <n v="7.8979971092298217E-3"/>
  </r>
  <r>
    <d v="2020-11-30T00:00:00"/>
    <n v="200.74"/>
    <n v="202.6"/>
    <n v="184.84"/>
    <n v="189.2"/>
    <n v="63003052"/>
    <x v="1291"/>
    <x v="5"/>
    <n v="-5.7487297001096047E-2"/>
  </r>
  <r>
    <d v="2020-12-01T00:00:00"/>
    <n v="199.2"/>
    <n v="199.28"/>
    <n v="190.68"/>
    <n v="194.92"/>
    <n v="40382832"/>
    <x v="1292"/>
    <x v="5"/>
    <n v="-2.1485943775100408E-2"/>
  </r>
  <r>
    <d v="2020-12-02T00:00:00"/>
    <n v="185.48"/>
    <n v="190.51"/>
    <n v="180.4"/>
    <n v="189.61"/>
    <n v="47775653"/>
    <x v="1293"/>
    <x v="5"/>
    <n v="2.2266551649773689E-2"/>
  </r>
  <r>
    <d v="2020-12-03T00:00:00"/>
    <n v="196.67"/>
    <n v="199.66"/>
    <n v="194.14"/>
    <n v="197.79"/>
    <n v="42552003"/>
    <x v="1294"/>
    <x v="5"/>
    <n v="5.6948187318859233E-3"/>
  </r>
  <r>
    <d v="2020-12-04T00:00:00"/>
    <n v="197"/>
    <n v="199.68"/>
    <n v="195.17"/>
    <n v="199.68"/>
    <n v="29401314"/>
    <x v="1295"/>
    <x v="5"/>
    <n v="1.3604060913705618E-2"/>
  </r>
  <r>
    <d v="2020-12-07T00:00:00"/>
    <n v="201.64"/>
    <n v="216.26"/>
    <n v="201.02"/>
    <n v="213.92"/>
    <n v="56309709"/>
    <x v="1296"/>
    <x v="5"/>
    <n v="6.090061495734974E-2"/>
  </r>
  <r>
    <d v="2020-12-08T00:00:00"/>
    <n v="208.5"/>
    <n v="217.09"/>
    <n v="206.17"/>
    <n v="216.63"/>
    <n v="64265029"/>
    <x v="1297"/>
    <x v="5"/>
    <n v="3.8992805755395661E-2"/>
  </r>
  <r>
    <d v="2020-12-09T00:00:00"/>
    <n v="217.9"/>
    <n v="218.11"/>
    <n v="196"/>
    <n v="201.49"/>
    <n v="71291190"/>
    <x v="1298"/>
    <x v="5"/>
    <n v="-7.5309775126204667E-2"/>
  </r>
  <r>
    <d v="2020-12-10T00:00:00"/>
    <n v="191.46"/>
    <n v="209.25"/>
    <n v="188.78"/>
    <n v="209.02"/>
    <n v="67083153"/>
    <x v="1299"/>
    <x v="5"/>
    <n v="9.1716285385981408E-2"/>
  </r>
  <r>
    <d v="2020-12-11T00:00:00"/>
    <n v="205"/>
    <n v="208"/>
    <n v="198.93"/>
    <n v="203.33"/>
    <n v="46474974"/>
    <x v="1300"/>
    <x v="5"/>
    <n v="-8.1463414634145737E-3"/>
  </r>
  <r>
    <d v="2020-12-14T00:00:00"/>
    <n v="206.33"/>
    <n v="214.25"/>
    <n v="203.4"/>
    <n v="213.28"/>
    <n v="52040649"/>
    <x v="1301"/>
    <x v="5"/>
    <n v="3.3683904424950263E-2"/>
  </r>
  <r>
    <d v="2020-12-15T00:00:00"/>
    <n v="214.43"/>
    <n v="215.63"/>
    <n v="207.93"/>
    <n v="211.08"/>
    <n v="45223559"/>
    <x v="1302"/>
    <x v="5"/>
    <n v="-1.5622813971925543E-2"/>
  </r>
  <r>
    <d v="2020-12-16T00:00:00"/>
    <n v="209.41"/>
    <n v="210.83"/>
    <n v="201.67"/>
    <n v="207.59"/>
    <n v="42095813"/>
    <x v="1303"/>
    <x v="5"/>
    <n v="-8.6910844754309411E-3"/>
  </r>
  <r>
    <d v="2020-12-17T00:00:00"/>
    <n v="209.4"/>
    <n v="219.61"/>
    <n v="206.5"/>
    <n v="218.63"/>
    <n v="56270144"/>
    <x v="1304"/>
    <x v="5"/>
    <n v="4.4078319006685719E-2"/>
  </r>
  <r>
    <d v="2020-12-18T00:00:00"/>
    <n v="222.97"/>
    <n v="231.67"/>
    <n v="209.51"/>
    <n v="231.67"/>
    <n v="222126194"/>
    <x v="1305"/>
    <x v="5"/>
    <n v="3.9018702067542668E-2"/>
  </r>
  <r>
    <d v="2020-12-21T00:00:00"/>
    <n v="222.08"/>
    <n v="222.83"/>
    <n v="215.36"/>
    <n v="216.62"/>
    <n v="58045264"/>
    <x v="1306"/>
    <x v="5"/>
    <n v="-2.4585734870317039E-2"/>
  </r>
  <r>
    <d v="2020-12-22T00:00:00"/>
    <n v="216"/>
    <n v="216.63"/>
    <n v="204.74"/>
    <n v="213.45"/>
    <n v="51861644"/>
    <x v="1307"/>
    <x v="5"/>
    <n v="-1.1805555555555609E-2"/>
  </r>
  <r>
    <d v="2020-12-23T00:00:00"/>
    <n v="210.73"/>
    <n v="217.17"/>
    <n v="207.52"/>
    <n v="215.33"/>
    <n v="33172972"/>
    <x v="1308"/>
    <x v="5"/>
    <n v="2.1828880558060187E-2"/>
  </r>
  <r>
    <d v="2020-12-24T00:00:00"/>
    <n v="214.33"/>
    <n v="222.03"/>
    <n v="213.67"/>
    <n v="220.59"/>
    <n v="22865568"/>
    <x v="1309"/>
    <x v="5"/>
    <n v="2.9207297158587182E-2"/>
  </r>
  <r>
    <d v="2020-12-28T00:00:00"/>
    <n v="224.84"/>
    <n v="227.13"/>
    <n v="220.27"/>
    <n v="221.23"/>
    <n v="32278561"/>
    <x v="1310"/>
    <x v="5"/>
    <n v="-1.6055861946272964E-2"/>
  </r>
  <r>
    <d v="2020-12-29T00:00:00"/>
    <n v="220.33"/>
    <n v="223.3"/>
    <n v="218.33"/>
    <n v="222"/>
    <n v="22910811"/>
    <x v="1311"/>
    <x v="5"/>
    <n v="7.579539781237178E-3"/>
  </r>
  <r>
    <d v="2020-12-30T00:00:00"/>
    <n v="224"/>
    <n v="232.2"/>
    <n v="222.79"/>
    <n v="231.59"/>
    <n v="42846021"/>
    <x v="1312"/>
    <x v="5"/>
    <n v="3.3883928571428586E-2"/>
  </r>
  <r>
    <d v="2020-12-31T00:00:00"/>
    <n v="233.33"/>
    <n v="239.57"/>
    <n v="230.37"/>
    <n v="235.22"/>
    <n v="49649928"/>
    <x v="1313"/>
    <x v="5"/>
    <n v="8.1001157159387403E-3"/>
  </r>
  <r>
    <d v="2021-01-04T00:00:00"/>
    <n v="239.82"/>
    <n v="248.16"/>
    <n v="239.06"/>
    <n v="243.26"/>
    <n v="48638189"/>
    <x v="1314"/>
    <x v="6"/>
    <n v="1.4344091401884737E-2"/>
  </r>
  <r>
    <d v="2021-01-05T00:00:00"/>
    <n v="241.22"/>
    <n v="246.95"/>
    <n v="239.73"/>
    <n v="245.04"/>
    <n v="32245165"/>
    <x v="1315"/>
    <x v="6"/>
    <n v="1.5836166155376807E-2"/>
  </r>
  <r>
    <d v="2021-01-06T00:00:00"/>
    <n v="252.83"/>
    <n v="258"/>
    <n v="249.7"/>
    <n v="251.99"/>
    <n v="44699965"/>
    <x v="1316"/>
    <x v="6"/>
    <n v="-3.3223905390974305E-3"/>
  </r>
  <r>
    <d v="2021-01-07T00:00:00"/>
    <n v="259.20999999999998"/>
    <n v="272.33"/>
    <n v="258.39999999999998"/>
    <n v="272.01"/>
    <n v="51498948"/>
    <x v="1317"/>
    <x v="6"/>
    <n v="4.9380810925504462E-2"/>
  </r>
  <r>
    <d v="2021-01-08T00:00:00"/>
    <n v="285.33"/>
    <n v="294.83"/>
    <n v="279.45999999999998"/>
    <n v="293.33999999999997"/>
    <n v="75055528"/>
    <x v="1318"/>
    <x v="6"/>
    <n v="2.8072757859320757E-2"/>
  </r>
  <r>
    <d v="2021-01-11T00:00:00"/>
    <n v="283.13"/>
    <n v="284.81"/>
    <n v="267.87"/>
    <n v="270.39999999999998"/>
    <n v="59554146"/>
    <x v="1319"/>
    <x v="6"/>
    <n v="-4.4961678380955807E-2"/>
  </r>
  <r>
    <d v="2021-01-12T00:00:00"/>
    <n v="277"/>
    <n v="289.33"/>
    <n v="275.77999999999997"/>
    <n v="283.14999999999998"/>
    <n v="46270720"/>
    <x v="1320"/>
    <x v="6"/>
    <n v="2.2202166064981866E-2"/>
  </r>
  <r>
    <d v="2021-01-13T00:00:00"/>
    <n v="284.25"/>
    <n v="286.82"/>
    <n v="277.33"/>
    <n v="284.8"/>
    <n v="33312496"/>
    <x v="1321"/>
    <x v="6"/>
    <n v="1.9349164467898376E-3"/>
  </r>
  <r>
    <d v="2021-01-14T00:00:00"/>
    <n v="281.13"/>
    <n v="287.67"/>
    <n v="279.58"/>
    <n v="281.67"/>
    <n v="31266327"/>
    <x v="1322"/>
    <x v="6"/>
    <n v="1.9208195496746006E-3"/>
  </r>
  <r>
    <d v="2021-01-15T00:00:00"/>
    <n v="284"/>
    <n v="286.63"/>
    <n v="273.02999999999997"/>
    <n v="275.39"/>
    <n v="38777596"/>
    <x v="1323"/>
    <x v="6"/>
    <n v="-3.0316901408450753E-2"/>
  </r>
  <r>
    <d v="2021-01-19T00:00:00"/>
    <n v="279.27"/>
    <n v="283.33"/>
    <n v="277.67"/>
    <n v="281.52"/>
    <n v="25366980"/>
    <x v="1324"/>
    <x v="6"/>
    <n v="8.0567193038994529E-3"/>
  </r>
  <r>
    <d v="2021-01-20T00:00:00"/>
    <n v="286.25"/>
    <n v="286.5"/>
    <n v="279.08999999999997"/>
    <n v="283.48"/>
    <n v="25665883"/>
    <x v="1325"/>
    <x v="6"/>
    <n v="-9.6768558951964428E-3"/>
  </r>
  <r>
    <d v="2021-01-21T00:00:00"/>
    <n v="285"/>
    <n v="285.24"/>
    <n v="280.47000000000003"/>
    <n v="281.66000000000003"/>
    <n v="20598133"/>
    <x v="1326"/>
    <x v="6"/>
    <n v="-1.1719298245613947E-2"/>
  </r>
  <r>
    <d v="2021-01-22T00:00:00"/>
    <n v="278.10000000000002"/>
    <n v="282.67"/>
    <n v="276.20999999999998"/>
    <n v="282.20999999999998"/>
    <n v="20066497"/>
    <x v="1327"/>
    <x v="6"/>
    <n v="1.4778856526429185E-2"/>
  </r>
  <r>
    <d v="2021-01-25T00:00:00"/>
    <n v="285"/>
    <n v="300.13"/>
    <n v="279.61"/>
    <n v="293.60000000000002"/>
    <n v="41173397"/>
    <x v="1328"/>
    <x v="6"/>
    <n v="3.0175438596491307E-2"/>
  </r>
  <r>
    <d v="2021-01-26T00:00:00"/>
    <n v="297.13"/>
    <n v="298.63"/>
    <n v="290.52999999999997"/>
    <n v="294.36"/>
    <n v="23131603"/>
    <x v="1329"/>
    <x v="6"/>
    <n v="-9.3225187628310224E-3"/>
  </r>
  <r>
    <d v="2021-01-27T00:00:00"/>
    <n v="290.12"/>
    <n v="297.17"/>
    <n v="286.22000000000003"/>
    <n v="288.05"/>
    <n v="27333955"/>
    <x v="1330"/>
    <x v="6"/>
    <n v="-7.1349786295325833E-3"/>
  </r>
  <r>
    <d v="2021-01-28T00:00:00"/>
    <n v="273.33"/>
    <n v="282.67"/>
    <n v="267"/>
    <n v="278.48"/>
    <n v="26378048"/>
    <x v="1331"/>
    <x v="6"/>
    <n v="1.8841693191380508E-2"/>
  </r>
  <r>
    <d v="2021-01-29T00:00:00"/>
    <n v="276.67"/>
    <n v="280.8"/>
    <n v="260.02999999999997"/>
    <n v="264.51"/>
    <n v="34990754"/>
    <x v="1332"/>
    <x v="6"/>
    <n v="-4.3951277695449542E-2"/>
  </r>
  <r>
    <d v="2021-02-01T00:00:00"/>
    <n v="271.43"/>
    <n v="280.67"/>
    <n v="265.19"/>
    <n v="279.94"/>
    <n v="25391385"/>
    <x v="1333"/>
    <x v="6"/>
    <n v="3.1352466565965409E-2"/>
  </r>
  <r>
    <d v="2021-02-02T00:00:00"/>
    <n v="281.56"/>
    <n v="293.5"/>
    <n v="280.73"/>
    <n v="290.93"/>
    <n v="24346213"/>
    <x v="1334"/>
    <x v="6"/>
    <n v="3.3278874840176179E-2"/>
  </r>
  <r>
    <d v="2021-02-03T00:00:00"/>
    <n v="292.33999999999997"/>
    <n v="292.69"/>
    <n v="284.35000000000002"/>
    <n v="284.89999999999998"/>
    <n v="18343510"/>
    <x v="1335"/>
    <x v="6"/>
    <n v="-2.5449818704248471E-2"/>
  </r>
  <r>
    <d v="2021-02-04T00:00:00"/>
    <n v="285"/>
    <n v="285.5"/>
    <n v="277.81"/>
    <n v="283.33"/>
    <n v="15812661"/>
    <x v="1336"/>
    <x v="6"/>
    <n v="-5.8596491228070733E-3"/>
  </r>
  <r>
    <d v="2021-02-05T00:00:00"/>
    <n v="281.67"/>
    <n v="288.26"/>
    <n v="279.66000000000003"/>
    <n v="284.08"/>
    <n v="18566637"/>
    <x v="1337"/>
    <x v="6"/>
    <n v="8.5561117619908696E-3"/>
  </r>
  <r>
    <d v="2021-02-08T00:00:00"/>
    <n v="289.89"/>
    <n v="292.58999999999997"/>
    <n v="284.92"/>
    <n v="287.81"/>
    <n v="20161719"/>
    <x v="1338"/>
    <x v="6"/>
    <n v="-7.1751353961847049E-3"/>
  </r>
  <r>
    <d v="2021-02-09T00:00:00"/>
    <n v="285.04000000000002"/>
    <n v="286.60000000000002"/>
    <n v="280.58"/>
    <n v="283.14999999999998"/>
    <n v="15157651"/>
    <x v="1339"/>
    <x v="6"/>
    <n v="-6.6306483300590906E-3"/>
  </r>
  <r>
    <d v="2021-02-10T00:00:00"/>
    <n v="281.20999999999998"/>
    <n v="281.61"/>
    <n v="266.67"/>
    <n v="268.27"/>
    <n v="36216090"/>
    <x v="1340"/>
    <x v="6"/>
    <n v="-4.6015433306070191E-2"/>
  </r>
  <r>
    <d v="2021-02-11T00:00:00"/>
    <n v="270.81"/>
    <n v="276.63"/>
    <n v="267.24"/>
    <n v="270.55"/>
    <n v="21622753"/>
    <x v="1341"/>
    <x v="6"/>
    <n v="-9.6008271481847385E-4"/>
  </r>
  <r>
    <d v="2021-02-12T00:00:00"/>
    <n v="267.08999999999997"/>
    <n v="272.44"/>
    <n v="261.77999999999997"/>
    <n v="272.04000000000002"/>
    <n v="23768313"/>
    <x v="1342"/>
    <x v="6"/>
    <n v="1.8533078737504385E-2"/>
  </r>
  <r>
    <d v="2021-02-16T00:00:00"/>
    <n v="272.67"/>
    <n v="273.67"/>
    <n v="264.14999999999998"/>
    <n v="265.41000000000003"/>
    <n v="19802324"/>
    <x v="1343"/>
    <x v="6"/>
    <n v="-2.6625591374188545E-2"/>
  </r>
  <r>
    <d v="2021-02-17T00:00:00"/>
    <n v="259.7"/>
    <n v="266.61"/>
    <n v="254"/>
    <n v="266.05"/>
    <n v="26078898"/>
    <x v="1344"/>
    <x v="6"/>
    <n v="2.4451289949942331E-2"/>
  </r>
  <r>
    <d v="2021-02-18T00:00:00"/>
    <n v="260.3"/>
    <n v="264.89999999999998"/>
    <n v="258.76"/>
    <n v="262.45999999999998"/>
    <n v="17957058"/>
    <x v="1345"/>
    <x v="6"/>
    <n v="8.2981175566652632E-3"/>
  </r>
  <r>
    <d v="2021-02-19T00:00:00"/>
    <n v="265"/>
    <n v="265.60000000000002"/>
    <n v="259.12"/>
    <n v="260.43"/>
    <n v="18958255"/>
    <x v="1346"/>
    <x v="6"/>
    <n v="-1.72452830188679E-2"/>
  </r>
  <r>
    <d v="2021-02-22T00:00:00"/>
    <n v="254.21"/>
    <n v="256.17"/>
    <n v="236.73"/>
    <n v="238.17"/>
    <n v="37269716"/>
    <x v="1347"/>
    <x v="6"/>
    <n v="-6.309743912513284E-2"/>
  </r>
  <r>
    <d v="2021-02-23T00:00:00"/>
    <n v="220.71"/>
    <n v="237.87"/>
    <n v="206.33"/>
    <n v="232.95"/>
    <n v="66606882"/>
    <x v="1348"/>
    <x v="6"/>
    <n v="5.5457387522087717E-2"/>
  </r>
  <r>
    <d v="2021-02-24T00:00:00"/>
    <n v="237.28"/>
    <n v="248.33"/>
    <n v="231.39"/>
    <n v="247.34"/>
    <n v="36766950"/>
    <x v="1349"/>
    <x v="6"/>
    <n v="4.2397167902899539E-2"/>
  </r>
  <r>
    <d v="2021-02-25T00:00:00"/>
    <n v="242.05"/>
    <n v="245.74"/>
    <n v="223.53"/>
    <n v="227.41"/>
    <n v="39023855"/>
    <x v="1350"/>
    <x v="6"/>
    <n v="-6.0483371204296692E-2"/>
  </r>
  <r>
    <d v="2021-02-26T00:00:00"/>
    <n v="233.33"/>
    <n v="235.57"/>
    <n v="219.84"/>
    <n v="225.17"/>
    <n v="41089173"/>
    <x v="1351"/>
    <x v="6"/>
    <n v="-3.4971928170402539E-2"/>
  </r>
  <r>
    <d v="2021-03-01T00:00:00"/>
    <n v="230.04"/>
    <n v="290.67"/>
    <n v="228.35"/>
    <n v="239.48"/>
    <n v="27136239"/>
    <x v="1352"/>
    <x v="6"/>
    <n v="4.1036341505825066E-2"/>
  </r>
  <r>
    <d v="2021-03-02T00:00:00"/>
    <n v="239.43"/>
    <n v="240.37"/>
    <n v="228.33"/>
    <n v="228.81"/>
    <n v="23732158"/>
    <x v="1353"/>
    <x v="6"/>
    <n v="-4.4355343941861941E-2"/>
  </r>
  <r>
    <d v="2021-03-03T00:00:00"/>
    <n v="229.33"/>
    <n v="233.57"/>
    <n v="217.24"/>
    <n v="217.73"/>
    <n v="30207960"/>
    <x v="1354"/>
    <x v="6"/>
    <n v="-5.0582130554223267E-2"/>
  </r>
  <r>
    <d v="2021-03-04T00:00:00"/>
    <n v="218.6"/>
    <n v="291.31"/>
    <n v="200"/>
    <n v="207.15"/>
    <n v="65919530"/>
    <x v="1355"/>
    <x v="6"/>
    <n v="-5.2378774016468385E-2"/>
  </r>
  <r>
    <d v="2021-03-05T00:00:00"/>
    <n v="208.69"/>
    <n v="209.28"/>
    <n v="179.83"/>
    <n v="199.32"/>
    <n v="89396459"/>
    <x v="1356"/>
    <x v="6"/>
    <n v="-4.4899132684843572E-2"/>
  </r>
  <r>
    <d v="2021-03-08T00:00:00"/>
    <n v="200.18"/>
    <n v="206.71"/>
    <n v="186.26"/>
    <n v="187.67"/>
    <n v="51786958"/>
    <x v="1357"/>
    <x v="6"/>
    <n v="-6.2493755619942144E-2"/>
  </r>
  <r>
    <d v="2021-03-09T00:00:00"/>
    <n v="202.73"/>
    <n v="226.03"/>
    <n v="198.4"/>
    <n v="224.53"/>
    <n v="67523328"/>
    <x v="1358"/>
    <x v="6"/>
    <n v="0.10753218566566375"/>
  </r>
  <r>
    <d v="2021-03-10T00:00:00"/>
    <n v="233.43"/>
    <n v="239.28"/>
    <n v="218.35"/>
    <n v="222.69"/>
    <n v="60605672"/>
    <x v="1359"/>
    <x v="6"/>
    <n v="-4.6009510345713954E-2"/>
  </r>
  <r>
    <d v="2021-03-11T00:00:00"/>
    <n v="233.13"/>
    <n v="234.17"/>
    <n v="225.73"/>
    <n v="233.2"/>
    <n v="36253892"/>
    <x v="1360"/>
    <x v="6"/>
    <n v="3.0026165658642468E-4"/>
  </r>
  <r>
    <d v="2021-03-12T00:00:00"/>
    <n v="223.33"/>
    <n v="231.63"/>
    <n v="222.05"/>
    <n v="231.24"/>
    <n v="33583840"/>
    <x v="1361"/>
    <x v="6"/>
    <n v="3.5418439081180302E-2"/>
  </r>
  <r>
    <d v="2021-03-15T00:00:00"/>
    <n v="231.36"/>
    <n v="237.73"/>
    <n v="228.01"/>
    <n v="235.98"/>
    <n v="29423479"/>
    <x v="1362"/>
    <x v="6"/>
    <n v="1.9968879668049687E-2"/>
  </r>
  <r>
    <d v="2021-03-16T00:00:00"/>
    <n v="234.45"/>
    <n v="235.97"/>
    <n v="223.67"/>
    <n v="225.63"/>
    <n v="32195672"/>
    <x v="1363"/>
    <x v="6"/>
    <n v="-3.7619961612284043E-2"/>
  </r>
  <r>
    <d v="2021-03-17T00:00:00"/>
    <n v="218.96"/>
    <n v="234.58"/>
    <n v="217"/>
    <n v="233.94"/>
    <n v="40372453"/>
    <x v="1364"/>
    <x v="6"/>
    <n v="6.8414322250639342E-2"/>
  </r>
  <r>
    <d v="2021-03-18T00:00:00"/>
    <n v="228.1"/>
    <n v="229.74"/>
    <n v="217.33"/>
    <n v="217.72"/>
    <n v="33369022"/>
    <x v="1365"/>
    <x v="6"/>
    <n v="-4.5506356861025846E-2"/>
  </r>
  <r>
    <d v="2021-03-19T00:00:00"/>
    <n v="215.53"/>
    <n v="219.08"/>
    <n v="208.21"/>
    <n v="218.29"/>
    <n v="42893978"/>
    <x v="1366"/>
    <x v="6"/>
    <n v="1.2805641905999122E-2"/>
  </r>
  <r>
    <d v="2021-03-22T00:00:00"/>
    <n v="228.2"/>
    <n v="233.21"/>
    <n v="222.92"/>
    <n v="223.33"/>
    <n v="39512221"/>
    <x v="1367"/>
    <x v="6"/>
    <n v="-2.1340929009640564E-2"/>
  </r>
  <r>
    <d v="2021-03-23T00:00:00"/>
    <n v="225.26"/>
    <n v="225.93"/>
    <n v="219.17"/>
    <n v="220.72"/>
    <n v="30491870"/>
    <x v="1368"/>
    <x v="6"/>
    <n v="-2.0154488147030063E-2"/>
  </r>
  <r>
    <d v="2021-03-24T00:00:00"/>
    <n v="222.64"/>
    <n v="222.67"/>
    <n v="210.04"/>
    <n v="210.09"/>
    <n v="33795174"/>
    <x v="1369"/>
    <x v="6"/>
    <n v="-5.6369026230686237E-2"/>
  </r>
  <r>
    <d v="2021-03-25T00:00:00"/>
    <n v="204.33"/>
    <n v="215.17"/>
    <n v="203.17"/>
    <n v="213.46"/>
    <n v="39224850"/>
    <x v="1370"/>
    <x v="6"/>
    <n v="4.4682621249938798E-2"/>
  </r>
  <r>
    <d v="2021-03-26T00:00:00"/>
    <n v="213.96"/>
    <n v="214.61"/>
    <n v="199.96"/>
    <n v="206.24"/>
    <n v="33852827"/>
    <x v="1371"/>
    <x v="6"/>
    <n v="-3.6081510562721998E-2"/>
  </r>
  <r>
    <d v="2021-03-29T00:00:00"/>
    <n v="205.21"/>
    <n v="205.49"/>
    <n v="198.67"/>
    <n v="203.76"/>
    <n v="28636985"/>
    <x v="1372"/>
    <x v="6"/>
    <n v="-7.0659324594318845E-3"/>
  </r>
  <r>
    <d v="2021-03-30T00:00:00"/>
    <n v="200.58"/>
    <n v="212.55"/>
    <n v="197"/>
    <n v="211.87"/>
    <n v="39432359"/>
    <x v="1373"/>
    <x v="6"/>
    <n v="5.628676837172196E-2"/>
  </r>
  <r>
    <d v="2021-03-31T00:00:00"/>
    <n v="215.54"/>
    <n v="224"/>
    <n v="213.7"/>
    <n v="222.64"/>
    <n v="33337288"/>
    <x v="1374"/>
    <x v="6"/>
    <n v="3.2940521480931587E-2"/>
  </r>
  <r>
    <d v="2021-04-01T00:00:00"/>
    <n v="229.46"/>
    <n v="230.81"/>
    <n v="219.81"/>
    <n v="220.58"/>
    <n v="35298378"/>
    <x v="1375"/>
    <x v="6"/>
    <n v="-3.8699555478078948E-2"/>
  </r>
  <r>
    <d v="2021-04-05T00:00:00"/>
    <n v="235.9"/>
    <n v="236.05"/>
    <n v="228.23"/>
    <n v="230.35"/>
    <n v="41842767"/>
    <x v="1376"/>
    <x v="6"/>
    <n v="-2.3526918185671944E-2"/>
  </r>
  <r>
    <d v="2021-04-06T00:00:00"/>
    <n v="230.1"/>
    <n v="232.18"/>
    <n v="227.12"/>
    <n v="230.54"/>
    <n v="28271839"/>
    <x v="1377"/>
    <x v="6"/>
    <n v="1.9122120817035974E-3"/>
  </r>
  <r>
    <d v="2021-04-07T00:00:00"/>
    <n v="229"/>
    <n v="230.46"/>
    <n v="222.61"/>
    <n v="223.66"/>
    <n v="26309433"/>
    <x v="1378"/>
    <x v="6"/>
    <n v="-2.3318777292576434E-2"/>
  </r>
  <r>
    <d v="2021-04-08T00:00:00"/>
    <n v="225.79"/>
    <n v="229.85"/>
    <n v="223.88"/>
    <n v="227.93"/>
    <n v="23924329"/>
    <x v="1379"/>
    <x v="6"/>
    <n v="9.4778333850038306E-3"/>
  </r>
  <r>
    <d v="2021-04-09T00:00:00"/>
    <n v="225.92"/>
    <n v="226.99"/>
    <n v="223.14"/>
    <n v="225.67"/>
    <n v="21437087"/>
    <x v="1380"/>
    <x v="6"/>
    <n v="-1.106586402266289E-3"/>
  </r>
  <r>
    <d v="2021-04-12T00:00:00"/>
    <n v="228.57"/>
    <n v="234.93"/>
    <n v="227.36"/>
    <n v="233.99"/>
    <n v="29135670"/>
    <x v="1381"/>
    <x v="6"/>
    <n v="2.3712648204051345E-2"/>
  </r>
  <r>
    <d v="2021-04-13T00:00:00"/>
    <n v="237.57"/>
    <n v="254.33"/>
    <n v="236.89"/>
    <n v="254.11"/>
    <n v="44652808"/>
    <x v="1382"/>
    <x v="6"/>
    <n v="6.962158521698876E-2"/>
  </r>
  <r>
    <d v="2021-04-14T00:00:00"/>
    <n v="256.89999999999998"/>
    <n v="260.26"/>
    <n v="242.68"/>
    <n v="244.08"/>
    <n v="49017434"/>
    <x v="1383"/>
    <x v="6"/>
    <n v="-4.9902685869988188E-2"/>
  </r>
  <r>
    <d v="2021-04-15T00:00:00"/>
    <n v="247.7"/>
    <n v="247.9"/>
    <n v="240.44"/>
    <n v="246.28"/>
    <n v="27848900"/>
    <x v="1384"/>
    <x v="6"/>
    <n v="-5.7327412192167441E-3"/>
  </r>
  <r>
    <d v="2021-04-16T00:00:00"/>
    <n v="242.88"/>
    <n v="249.8"/>
    <n v="241.53"/>
    <n v="246.59"/>
    <n v="27979526"/>
    <x v="1385"/>
    <x v="6"/>
    <n v="1.5275032938076449E-2"/>
  </r>
  <r>
    <d v="2021-04-19T00:00:00"/>
    <n v="239.87"/>
    <n v="241.8"/>
    <n v="230.6"/>
    <n v="238.21"/>
    <n v="39686226"/>
    <x v="1386"/>
    <x v="6"/>
    <n v="-6.9204152249134803E-3"/>
  </r>
  <r>
    <d v="2021-04-20T00:00:00"/>
    <n v="239.14"/>
    <n v="245.75"/>
    <n v="236.9"/>
    <n v="239.66"/>
    <n v="35609038"/>
    <x v="1387"/>
    <x v="6"/>
    <n v="2.174458476206449E-3"/>
  </r>
  <r>
    <d v="2021-04-21T00:00:00"/>
    <n v="234.92"/>
    <n v="248.28"/>
    <n v="232.67"/>
    <n v="248.04"/>
    <n v="31215514"/>
    <x v="1388"/>
    <x v="6"/>
    <n v="5.5848799591350272E-2"/>
  </r>
  <r>
    <d v="2021-04-22T00:00:00"/>
    <n v="247.17"/>
    <n v="251.26"/>
    <n v="239.35"/>
    <n v="239.9"/>
    <n v="35590255"/>
    <x v="1389"/>
    <x v="6"/>
    <n v="-2.9412954646599435E-2"/>
  </r>
  <r>
    <d v="2021-04-23T00:00:00"/>
    <n v="239.93"/>
    <n v="245.79"/>
    <n v="238.49"/>
    <n v="243.13"/>
    <n v="28413889"/>
    <x v="1390"/>
    <x v="6"/>
    <n v="1.3337223356812356E-2"/>
  </r>
  <r>
    <d v="2021-04-26T00:00:00"/>
    <n v="247"/>
    <n v="249.77"/>
    <n v="244.2"/>
    <n v="246.07"/>
    <n v="31038502"/>
    <x v="1391"/>
    <x v="6"/>
    <n v="-3.7651821862348454E-3"/>
  </r>
  <r>
    <d v="2021-04-27T00:00:00"/>
    <n v="239.32"/>
    <n v="241.33"/>
    <n v="234.45"/>
    <n v="234.91"/>
    <n v="29436995"/>
    <x v="1392"/>
    <x v="6"/>
    <n v="-1.8427210429550377E-2"/>
  </r>
  <r>
    <d v="2021-04-28T00:00:00"/>
    <n v="232.14"/>
    <n v="236.17"/>
    <n v="231.2"/>
    <n v="231.47"/>
    <n v="22271047"/>
    <x v="1393"/>
    <x v="6"/>
    <n v="-2.8861893684844816E-3"/>
  </r>
  <r>
    <d v="2021-04-29T00:00:00"/>
    <n v="233.17"/>
    <n v="234.08"/>
    <n v="222.83"/>
    <n v="225.67"/>
    <n v="28845449"/>
    <x v="1394"/>
    <x v="6"/>
    <n v="-3.216537290388987E-2"/>
  </r>
  <r>
    <d v="2021-04-30T00:00:00"/>
    <n v="222.53"/>
    <n v="238.49"/>
    <n v="222.05"/>
    <n v="236.48"/>
    <n v="40758722"/>
    <x v="1395"/>
    <x v="6"/>
    <n v="6.2688176875028034E-2"/>
  </r>
  <r>
    <d v="2021-05-03T00:00:00"/>
    <n v="234.6"/>
    <n v="235.33"/>
    <n v="226.83"/>
    <n v="228.3"/>
    <n v="27043143"/>
    <x v="1396"/>
    <x v="6"/>
    <n v="-2.6854219948849033E-2"/>
  </r>
  <r>
    <d v="2021-05-04T00:00:00"/>
    <n v="226.31"/>
    <n v="227.82"/>
    <n v="219.23"/>
    <n v="224.53"/>
    <n v="29739319"/>
    <x v="1397"/>
    <x v="6"/>
    <n v="-7.8653174848658976E-3"/>
  </r>
  <r>
    <d v="2021-05-05T00:00:00"/>
    <n v="227.02"/>
    <n v="228.43"/>
    <n v="222.45"/>
    <n v="223.65"/>
    <n v="21901894"/>
    <x v="1398"/>
    <x v="6"/>
    <n v="-1.4844507091886196E-2"/>
  </r>
  <r>
    <d v="2021-05-06T00:00:00"/>
    <n v="226.92"/>
    <n v="227.01"/>
    <n v="216.67"/>
    <n v="221.18"/>
    <n v="27784619"/>
    <x v="1399"/>
    <x v="6"/>
    <n v="-2.5295258240789622E-2"/>
  </r>
  <r>
    <d v="2021-05-07T00:00:00"/>
    <n v="221.93"/>
    <n v="230"/>
    <n v="220.07"/>
    <n v="224.12"/>
    <n v="23469172"/>
    <x v="1400"/>
    <x v="6"/>
    <n v="9.8679763889514601E-3"/>
  </r>
  <r>
    <d v="2021-05-10T00:00:00"/>
    <n v="221.63"/>
    <n v="221.68"/>
    <n v="209.2"/>
    <n v="209.68"/>
    <n v="31392417"/>
    <x v="1401"/>
    <x v="6"/>
    <n v="-5.3918693317691599E-2"/>
  </r>
  <r>
    <d v="2021-05-11T00:00:00"/>
    <n v="199.75"/>
    <n v="209.03"/>
    <n v="198.53"/>
    <n v="205.73"/>
    <n v="46503896"/>
    <x v="1402"/>
    <x v="6"/>
    <n v="2.9937421777221477E-2"/>
  </r>
  <r>
    <d v="2021-05-12T00:00:00"/>
    <n v="200.83"/>
    <n v="206.8"/>
    <n v="195.59"/>
    <n v="196.63"/>
    <n v="33823646"/>
    <x v="1403"/>
    <x v="6"/>
    <n v="-2.0913210177762369E-2"/>
  </r>
  <r>
    <d v="2021-05-13T00:00:00"/>
    <n v="200.52"/>
    <n v="202.15"/>
    <n v="186.55"/>
    <n v="190.56"/>
    <n v="44184916"/>
    <x v="1404"/>
    <x v="6"/>
    <n v="-4.9670855774985076E-2"/>
  </r>
  <r>
    <d v="2021-05-14T00:00:00"/>
    <n v="194.47"/>
    <n v="197.62"/>
    <n v="190.15"/>
    <n v="196.58"/>
    <n v="33370856"/>
    <x v="1405"/>
    <x v="6"/>
    <n v="1.0850002571090726E-2"/>
  </r>
  <r>
    <d v="2021-05-17T00:00:00"/>
    <n v="191.85"/>
    <n v="196.58"/>
    <n v="187.07"/>
    <n v="192.28"/>
    <n v="32390360"/>
    <x v="1406"/>
    <x v="6"/>
    <n v="2.2413343758144739E-3"/>
  </r>
  <r>
    <d v="2021-05-18T00:00:00"/>
    <n v="189.33"/>
    <n v="198.75"/>
    <n v="187.79"/>
    <n v="192.62"/>
    <n v="36830567"/>
    <x v="1407"/>
    <x v="6"/>
    <n v="1.7377066497649564E-2"/>
  </r>
  <r>
    <d v="2021-05-19T00:00:00"/>
    <n v="184.18"/>
    <n v="188.74"/>
    <n v="182.33"/>
    <n v="187.82"/>
    <n v="39578395"/>
    <x v="1408"/>
    <x v="6"/>
    <n v="1.9763275057009373E-2"/>
  </r>
  <r>
    <d v="2021-05-20T00:00:00"/>
    <n v="191.67"/>
    <n v="196.28"/>
    <n v="190.36"/>
    <n v="195.59"/>
    <n v="30821119"/>
    <x v="1409"/>
    <x v="6"/>
    <n v="2.045181822924827E-2"/>
  </r>
  <r>
    <d v="2021-05-21T00:00:00"/>
    <n v="198.7"/>
    <n v="198.89"/>
    <n v="193.33"/>
    <n v="193.63"/>
    <n v="26030595"/>
    <x v="1410"/>
    <x v="6"/>
    <n v="-2.551585304479111E-2"/>
  </r>
  <r>
    <d v="2021-05-24T00:00:00"/>
    <n v="193.87"/>
    <n v="204.83"/>
    <n v="191.22"/>
    <n v="202.15"/>
    <n v="34558089"/>
    <x v="1411"/>
    <x v="6"/>
    <n v="4.270903182545005E-2"/>
  </r>
  <r>
    <d v="2021-05-25T00:00:00"/>
    <n v="202.44"/>
    <n v="204.66"/>
    <n v="198.57"/>
    <n v="201.56"/>
    <n v="28005933"/>
    <x v="1412"/>
    <x v="6"/>
    <n v="-4.3469670025686399E-3"/>
  </r>
  <r>
    <d v="2021-05-26T00:00:00"/>
    <n v="202.52"/>
    <n v="208.72"/>
    <n v="200.5"/>
    <n v="206.38"/>
    <n v="28639305"/>
    <x v="1413"/>
    <x v="6"/>
    <n v="1.9059845941141542E-2"/>
  </r>
  <r>
    <d v="2021-05-27T00:00:00"/>
    <n v="206.75"/>
    <n v="210.38"/>
    <n v="205.4"/>
    <n v="210.28"/>
    <n v="26370593"/>
    <x v="1414"/>
    <x v="6"/>
    <n v="1.7073760580411129E-2"/>
  </r>
  <r>
    <d v="2021-05-28T00:00:00"/>
    <n v="209.5"/>
    <n v="211.86"/>
    <n v="207.46"/>
    <n v="208.41"/>
    <n v="22737038"/>
    <x v="1415"/>
    <x v="6"/>
    <n v="-5.2028639618138589E-3"/>
  </r>
  <r>
    <d v="2021-06-01T00:00:00"/>
    <n v="209.27"/>
    <n v="211.27"/>
    <n v="206.85"/>
    <n v="207.97"/>
    <n v="18084890"/>
    <x v="1416"/>
    <x v="6"/>
    <n v="-6.2120705308931585E-3"/>
  </r>
  <r>
    <d v="2021-06-02T00:00:00"/>
    <n v="206.71"/>
    <n v="207.79"/>
    <n v="199.71"/>
    <n v="201.71"/>
    <n v="23302779"/>
    <x v="1417"/>
    <x v="6"/>
    <n v="-2.4188476609743118E-2"/>
  </r>
  <r>
    <d v="2021-06-03T00:00:00"/>
    <n v="200.6"/>
    <n v="201.52"/>
    <n v="190.41"/>
    <n v="190.95"/>
    <n v="30111893"/>
    <x v="1418"/>
    <x v="6"/>
    <n v="-4.8105682951146589E-2"/>
  </r>
  <r>
    <d v="2021-06-04T00:00:00"/>
    <n v="193.24"/>
    <n v="200.2"/>
    <n v="192.4"/>
    <n v="199.68"/>
    <n v="24036896"/>
    <x v="1419"/>
    <x v="6"/>
    <n v="3.3326433450631326E-2"/>
  </r>
  <r>
    <d v="2021-06-07T00:00:00"/>
    <n v="197.28"/>
    <n v="203.33"/>
    <n v="194.29"/>
    <n v="201.71"/>
    <n v="22543682"/>
    <x v="1420"/>
    <x v="6"/>
    <n v="2.2455393349553966E-2"/>
  </r>
  <r>
    <d v="2021-06-08T00:00:00"/>
    <n v="207.67"/>
    <n v="207.7"/>
    <n v="198.5"/>
    <n v="201.2"/>
    <n v="26053405"/>
    <x v="1421"/>
    <x v="6"/>
    <n v="-3.1155198150912503E-2"/>
  </r>
  <r>
    <d v="2021-06-09T00:00:00"/>
    <n v="200.72"/>
    <n v="203.93"/>
    <n v="199.21"/>
    <n v="199.59"/>
    <n v="16584566"/>
    <x v="1422"/>
    <x v="6"/>
    <n v="-5.629732961339156E-3"/>
  </r>
  <r>
    <d v="2021-06-10T00:00:00"/>
    <n v="201.29"/>
    <n v="205.53"/>
    <n v="200.17"/>
    <n v="203.37"/>
    <n v="23919606"/>
    <x v="1423"/>
    <x v="6"/>
    <n v="1.0333349893188994E-2"/>
  </r>
  <r>
    <d v="2021-06-11T00:00:00"/>
    <n v="203.41"/>
    <n v="204.19"/>
    <n v="200.51"/>
    <n v="203.3"/>
    <n v="16205303"/>
    <x v="1424"/>
    <x v="6"/>
    <n v="-5.4077970601241446E-4"/>
  </r>
  <r>
    <d v="2021-06-14T00:00:00"/>
    <n v="204.08"/>
    <n v="208.5"/>
    <n v="203.06"/>
    <n v="205.9"/>
    <n v="20423983"/>
    <x v="1425"/>
    <x v="6"/>
    <n v="8.9180713445707223E-3"/>
  </r>
  <r>
    <d v="2021-06-15T00:00:00"/>
    <n v="205.56"/>
    <n v="205.6"/>
    <n v="199.41"/>
    <n v="199.79"/>
    <n v="17764145"/>
    <x v="1426"/>
    <x v="6"/>
    <n v="-2.8069663358630134E-2"/>
  </r>
  <r>
    <d v="2021-06-16T00:00:00"/>
    <n v="199.18"/>
    <n v="202.83"/>
    <n v="197.83"/>
    <n v="201.62"/>
    <n v="22144127"/>
    <x v="1427"/>
    <x v="6"/>
    <n v="1.2250225926297809E-2"/>
  </r>
  <r>
    <d v="2021-06-17T00:00:00"/>
    <n v="200.63"/>
    <n v="207.16"/>
    <n v="200.45"/>
    <n v="205.53"/>
    <n v="22701350"/>
    <x v="1428"/>
    <x v="6"/>
    <n v="2.4423067337885688E-2"/>
  </r>
  <r>
    <d v="2021-06-18T00:00:00"/>
    <n v="204.46"/>
    <n v="209.45"/>
    <n v="203.93"/>
    <n v="207.77"/>
    <n v="24560905"/>
    <x v="1429"/>
    <x v="6"/>
    <n v="1.6188985620659308E-2"/>
  </r>
  <r>
    <d v="2021-06-21T00:00:00"/>
    <n v="208.16"/>
    <n v="210.46"/>
    <n v="202.96"/>
    <n v="206.94"/>
    <n v="24812741"/>
    <x v="1430"/>
    <x v="6"/>
    <n v="-5.8608762490391956E-3"/>
  </r>
  <r>
    <d v="2021-06-22T00:00:00"/>
    <n v="206.08"/>
    <n v="209.52"/>
    <n v="205.17"/>
    <n v="207.9"/>
    <n v="19158892"/>
    <x v="1431"/>
    <x v="6"/>
    <n v="8.8315217391304011E-3"/>
  </r>
  <r>
    <d v="2021-06-23T00:00:00"/>
    <n v="210.67"/>
    <n v="219.07"/>
    <n v="210.01"/>
    <n v="218.86"/>
    <n v="31099228"/>
    <x v="1432"/>
    <x v="6"/>
    <n v="3.8875967152418603E-2"/>
  </r>
  <r>
    <d v="2021-06-24T00:00:00"/>
    <n v="225"/>
    <n v="232.54"/>
    <n v="222.54"/>
    <n v="226.61"/>
    <n v="45982386"/>
    <x v="1433"/>
    <x v="6"/>
    <n v="7.1555555555556163E-3"/>
  </r>
  <r>
    <d v="2021-06-25T00:00:00"/>
    <n v="229.86"/>
    <n v="231.27"/>
    <n v="222.9"/>
    <n v="223.96"/>
    <n v="32496707"/>
    <x v="1434"/>
    <x v="6"/>
    <n v="-2.5667797789959129E-2"/>
  </r>
  <r>
    <d v="2021-06-28T00:00:00"/>
    <n v="223.88"/>
    <n v="231.57"/>
    <n v="223.44"/>
    <n v="229.57"/>
    <n v="21628159"/>
    <x v="1435"/>
    <x v="6"/>
    <n v="2.5415401107736279E-2"/>
  </r>
  <r>
    <d v="2021-06-29T00:00:00"/>
    <n v="228.22"/>
    <n v="229.17"/>
    <n v="225.3"/>
    <n v="226.92"/>
    <n v="17381313"/>
    <x v="1436"/>
    <x v="6"/>
    <n v="-5.6962579966699295E-3"/>
  </r>
  <r>
    <d v="2021-06-30T00:00:00"/>
    <n v="226.59"/>
    <n v="230.94"/>
    <n v="226.05"/>
    <n v="226.57"/>
    <n v="18924862"/>
    <x v="1437"/>
    <x v="6"/>
    <n v="-8.8265148506157522E-5"/>
  </r>
  <r>
    <d v="2021-07-01T00:00:00"/>
    <n v="227.97"/>
    <n v="229.33"/>
    <n v="224.27"/>
    <n v="225.97"/>
    <n v="18634522"/>
    <x v="1438"/>
    <x v="6"/>
    <n v="-8.7730841777426856E-3"/>
  </r>
  <r>
    <d v="2021-07-02T00:00:00"/>
    <n v="226.33"/>
    <n v="233.33"/>
    <n v="224.42"/>
    <n v="226.3"/>
    <n v="27097374"/>
    <x v="1439"/>
    <x v="6"/>
    <n v="-1.3254981663942533E-4"/>
  </r>
  <r>
    <d v="2021-07-06T00:00:00"/>
    <n v="227.24"/>
    <n v="228"/>
    <n v="217.13"/>
    <n v="219.86"/>
    <n v="23284450"/>
    <x v="1440"/>
    <x v="6"/>
    <n v="-3.2476676641436344E-2"/>
  </r>
  <r>
    <d v="2021-07-07T00:00:00"/>
    <n v="221.42"/>
    <n v="221.9"/>
    <n v="212.77"/>
    <n v="214.88"/>
    <n v="18791960"/>
    <x v="1441"/>
    <x v="6"/>
    <n v="-2.9536627224279615E-2"/>
  </r>
  <r>
    <d v="2021-07-08T00:00:00"/>
    <n v="209.46"/>
    <n v="218.14"/>
    <n v="206.82"/>
    <n v="217.6"/>
    <n v="22773316"/>
    <x v="1442"/>
    <x v="6"/>
    <n v="3.8861835195263948E-2"/>
  </r>
  <r>
    <d v="2021-07-09T00:00:00"/>
    <n v="217.73"/>
    <n v="219.64"/>
    <n v="214.9"/>
    <n v="218.98"/>
    <n v="18140548"/>
    <x v="1443"/>
    <x v="6"/>
    <n v="5.7410554356312864E-3"/>
  </r>
  <r>
    <d v="2021-07-12T00:00:00"/>
    <n v="220.73"/>
    <n v="229.08"/>
    <n v="220.72"/>
    <n v="228.57"/>
    <n v="25927042"/>
    <x v="1444"/>
    <x v="6"/>
    <n v="3.5518506772980581E-2"/>
  </r>
  <r>
    <d v="2021-07-13T00:00:00"/>
    <n v="228.77"/>
    <n v="231.09"/>
    <n v="222.1"/>
    <n v="222.85"/>
    <n v="20966092"/>
    <x v="1445"/>
    <x v="6"/>
    <n v="-2.5877518905450959E-2"/>
  </r>
  <r>
    <d v="2021-07-14T00:00:00"/>
    <n v="223.58"/>
    <n v="226.2"/>
    <n v="217.61"/>
    <n v="217.79"/>
    <n v="21641190"/>
    <x v="1446"/>
    <x v="6"/>
    <n v="-2.5896770730834691E-2"/>
  </r>
  <r>
    <d v="2021-07-15T00:00:00"/>
    <n v="219.46"/>
    <n v="222.05"/>
    <n v="212.63"/>
    <n v="216.87"/>
    <n v="20209571"/>
    <x v="1447"/>
    <x v="6"/>
    <n v="-1.1801695069716593E-2"/>
  </r>
  <r>
    <d v="2021-07-16T00:00:00"/>
    <n v="218.23"/>
    <n v="218.9"/>
    <n v="214.07"/>
    <n v="214.74"/>
    <n v="16370970"/>
    <x v="1448"/>
    <x v="6"/>
    <n v="-1.5992301700041154E-2"/>
  </r>
  <r>
    <d v="2021-07-19T00:00:00"/>
    <n v="209.96"/>
    <n v="215.73"/>
    <n v="207.1"/>
    <n v="215.41"/>
    <n v="21297090"/>
    <x v="1449"/>
    <x v="6"/>
    <n v="2.595732520480086E-2"/>
  </r>
  <r>
    <d v="2021-07-20T00:00:00"/>
    <n v="217.33"/>
    <n v="220.8"/>
    <n v="213.5"/>
    <n v="220.17"/>
    <n v="15487127"/>
    <x v="1450"/>
    <x v="6"/>
    <n v="1.3067685087194473E-2"/>
  </r>
  <r>
    <d v="2021-07-21T00:00:00"/>
    <n v="219.87"/>
    <n v="221.62"/>
    <n v="216.76"/>
    <n v="218.43"/>
    <n v="13953338"/>
    <x v="1451"/>
    <x v="6"/>
    <n v="-6.5493246009005216E-3"/>
  </r>
  <r>
    <d v="2021-07-22T00:00:00"/>
    <n v="218.81"/>
    <n v="220.72"/>
    <n v="214.87"/>
    <n v="216.42"/>
    <n v="15105727"/>
    <x v="1452"/>
    <x v="6"/>
    <n v="-1.0922718340112493E-2"/>
  </r>
  <r>
    <d v="2021-07-23T00:00:00"/>
    <n v="215.45"/>
    <n v="216.27"/>
    <n v="212.43"/>
    <n v="214.46"/>
    <n v="14604944"/>
    <x v="1453"/>
    <x v="6"/>
    <n v="-4.5950336504988658E-3"/>
  </r>
  <r>
    <d v="2021-07-26T00:00:00"/>
    <n v="216.99"/>
    <n v="222.73"/>
    <n v="215.7"/>
    <n v="219.21"/>
    <n v="25336556"/>
    <x v="1454"/>
    <x v="6"/>
    <n v="1.0230886215954646E-2"/>
  </r>
  <r>
    <d v="2021-07-27T00:00:00"/>
    <n v="221.13"/>
    <n v="222.17"/>
    <n v="209.08"/>
    <n v="214.93"/>
    <n v="32813290"/>
    <x v="1455"/>
    <x v="6"/>
    <n v="-2.8037805815583544E-2"/>
  </r>
  <r>
    <d v="2021-07-28T00:00:00"/>
    <n v="215.67"/>
    <n v="218.32"/>
    <n v="213.13"/>
    <n v="215.66"/>
    <n v="16006596"/>
    <x v="1456"/>
    <x v="6"/>
    <n v="-4.6367134974687743E-5"/>
  </r>
  <r>
    <d v="2021-07-29T00:00:00"/>
    <n v="216.6"/>
    <n v="227.9"/>
    <n v="216.27"/>
    <n v="225.78"/>
    <n v="30394637"/>
    <x v="1457"/>
    <x v="6"/>
    <n v="4.2382271468144078E-2"/>
  </r>
  <r>
    <d v="2021-07-30T00:00:00"/>
    <n v="223.92"/>
    <n v="232.51"/>
    <n v="223"/>
    <n v="229.07"/>
    <n v="29656411"/>
    <x v="1458"/>
    <x v="6"/>
    <n v="2.299928545909256E-2"/>
  </r>
  <r>
    <d v="2021-08-02T00:00:00"/>
    <n v="233.33"/>
    <n v="242.31"/>
    <n v="232.8"/>
    <n v="236.56"/>
    <n v="33615765"/>
    <x v="1459"/>
    <x v="6"/>
    <n v="1.3843054900784251E-2"/>
  </r>
  <r>
    <d v="2021-08-03T00:00:00"/>
    <n v="239.67"/>
    <n v="240.88"/>
    <n v="233.67"/>
    <n v="236.58"/>
    <n v="21620253"/>
    <x v="1460"/>
    <x v="6"/>
    <n v="-1.2892727500312827E-2"/>
  </r>
  <r>
    <d v="2021-08-04T00:00:00"/>
    <n v="237"/>
    <n v="241.63"/>
    <n v="236.31"/>
    <n v="236.97"/>
    <n v="17002647"/>
    <x v="1461"/>
    <x v="6"/>
    <n v="-1.2658227848101746E-4"/>
  </r>
  <r>
    <d v="2021-08-05T00:00:00"/>
    <n v="238.67"/>
    <n v="240.32"/>
    <n v="237.14"/>
    <n v="238.21"/>
    <n v="12919637"/>
    <x v="1462"/>
    <x v="6"/>
    <n v="-1.9273473834163471E-3"/>
  </r>
  <r>
    <d v="2021-08-06T00:00:00"/>
    <n v="237.3"/>
    <n v="238.78"/>
    <n v="232.54"/>
    <n v="233.03"/>
    <n v="15623049"/>
    <x v="1463"/>
    <x v="6"/>
    <n v="-1.7994100294985292E-2"/>
  </r>
  <r>
    <d v="2021-08-09T00:00:00"/>
    <n v="236.72"/>
    <n v="239.68"/>
    <n v="235.04"/>
    <n v="237.92"/>
    <n v="14715349"/>
    <x v="1464"/>
    <x v="6"/>
    <n v="5.0692801622169168E-3"/>
  </r>
  <r>
    <d v="2021-08-10T00:00:00"/>
    <n v="238"/>
    <n v="238.86"/>
    <n v="233.96"/>
    <n v="236.66"/>
    <n v="13432305"/>
    <x v="1465"/>
    <x v="6"/>
    <n v="-5.6302521008403505E-3"/>
  </r>
  <r>
    <d v="2021-08-11T00:00:00"/>
    <n v="237.57"/>
    <n v="238.39"/>
    <n v="234.74"/>
    <n v="235.94"/>
    <n v="9800558"/>
    <x v="1466"/>
    <x v="6"/>
    <n v="-6.8611356652775839E-3"/>
  </r>
  <r>
    <d v="2021-08-12T00:00:00"/>
    <n v="235.45"/>
    <n v="240.93"/>
    <n v="233.13"/>
    <n v="240.75"/>
    <n v="17681686"/>
    <x v="1467"/>
    <x v="6"/>
    <n v="2.2510087067317951E-2"/>
  </r>
  <r>
    <d v="2021-08-13T00:00:00"/>
    <n v="241.24"/>
    <n v="243.3"/>
    <n v="238.11"/>
    <n v="239.06"/>
    <n v="16731467"/>
    <x v="1468"/>
    <x v="6"/>
    <n v="-9.0366440059691869E-3"/>
  </r>
  <r>
    <d v="2021-08-16T00:00:00"/>
    <n v="235.02"/>
    <n v="236.5"/>
    <n v="225.47"/>
    <n v="228.72"/>
    <n v="23103303"/>
    <x v="1469"/>
    <x v="6"/>
    <n v="-2.6806229257084549E-2"/>
  </r>
  <r>
    <d v="2021-08-17T00:00:00"/>
    <n v="224.22"/>
    <n v="224.86"/>
    <n v="216.28"/>
    <n v="221.9"/>
    <n v="23721279"/>
    <x v="1470"/>
    <x v="6"/>
    <n v="-1.0346980644010316E-2"/>
  </r>
  <r>
    <d v="2021-08-18T00:00:00"/>
    <n v="223.25"/>
    <n v="231.92"/>
    <n v="223.12"/>
    <n v="229.66"/>
    <n v="20349375"/>
    <x v="1471"/>
    <x v="6"/>
    <n v="2.8712206047032458E-2"/>
  </r>
  <r>
    <d v="2021-08-19T00:00:00"/>
    <n v="226.07"/>
    <n v="228.85"/>
    <n v="222.53"/>
    <n v="224.49"/>
    <n v="14313486"/>
    <x v="1472"/>
    <x v="6"/>
    <n v="-6.9889857123898976E-3"/>
  </r>
  <r>
    <d v="2021-08-20T00:00:00"/>
    <n v="227.62"/>
    <n v="230.71"/>
    <n v="224.57"/>
    <n v="226.75"/>
    <n v="14841865"/>
    <x v="1473"/>
    <x v="6"/>
    <n v="-3.8221597399174263E-3"/>
  </r>
  <r>
    <d v="2021-08-23T00:00:00"/>
    <n v="228.48"/>
    <n v="237.38"/>
    <n v="226.92"/>
    <n v="235.43"/>
    <n v="20264859"/>
    <x v="1474"/>
    <x v="6"/>
    <n v="3.0418417366946855E-2"/>
  </r>
  <r>
    <d v="2021-08-24T00:00:00"/>
    <n v="236.89"/>
    <n v="238.41"/>
    <n v="234.21"/>
    <n v="236.16"/>
    <n v="13083071"/>
    <x v="1475"/>
    <x v="6"/>
    <n v="-3.0815990544133978E-3"/>
  </r>
  <r>
    <d v="2021-08-25T00:00:00"/>
    <n v="235.68"/>
    <n v="238.99"/>
    <n v="234.67"/>
    <n v="237.07"/>
    <n v="12645562"/>
    <x v="1476"/>
    <x v="6"/>
    <n v="5.8978275627969545E-3"/>
  </r>
  <r>
    <d v="2021-08-26T00:00:00"/>
    <n v="236.1"/>
    <n v="238.47"/>
    <n v="232.54"/>
    <n v="233.72"/>
    <n v="13214292"/>
    <x v="1477"/>
    <x v="6"/>
    <n v="-1.0080474375264699E-2"/>
  </r>
  <r>
    <d v="2021-08-27T00:00:00"/>
    <n v="235"/>
    <n v="238.33"/>
    <n v="234.03"/>
    <n v="237.31"/>
    <n v="13833763"/>
    <x v="1478"/>
    <x v="6"/>
    <n v="9.8297872340425627E-3"/>
  </r>
  <r>
    <d v="2021-08-30T00:00:00"/>
    <n v="238.24"/>
    <n v="243.67"/>
    <n v="237.58"/>
    <n v="243.64"/>
    <n v="18604220"/>
    <x v="1479"/>
    <x v="6"/>
    <n v="2.2666218938885062E-2"/>
  </r>
  <r>
    <d v="2021-08-31T00:00:00"/>
    <n v="244.33"/>
    <n v="246.8"/>
    <n v="242.15"/>
    <n v="245.24"/>
    <n v="20855436"/>
    <x v="1480"/>
    <x v="6"/>
    <n v="3.7244710023328961E-3"/>
  </r>
  <r>
    <d v="2021-09-01T00:00:00"/>
    <n v="244.69"/>
    <n v="247.33"/>
    <n v="243.76"/>
    <n v="244.7"/>
    <n v="13204335"/>
    <x v="1481"/>
    <x v="6"/>
    <n v="4.0868037108140524E-5"/>
  </r>
  <r>
    <d v="2021-09-02T00:00:00"/>
    <n v="244.83"/>
    <n v="246.99"/>
    <n v="243.51"/>
    <n v="244.13"/>
    <n v="12796739"/>
    <x v="1482"/>
    <x v="6"/>
    <n v="-2.8591267410040316E-3"/>
  </r>
  <r>
    <d v="2021-09-03T00:00:00"/>
    <n v="244.08"/>
    <n v="244.67"/>
    <n v="241.4"/>
    <n v="244.52"/>
    <n v="15271045"/>
    <x v="1483"/>
    <x v="6"/>
    <n v="1.8026876433955986E-3"/>
  </r>
  <r>
    <d v="2021-09-07T00:00:00"/>
    <n v="246.67"/>
    <n v="253.4"/>
    <n v="246.42"/>
    <n v="250.97"/>
    <n v="20039825"/>
    <x v="1484"/>
    <x v="6"/>
    <n v="1.743219686220461E-2"/>
  </r>
  <r>
    <d v="2021-09-08T00:00:00"/>
    <n v="253.86"/>
    <n v="254.82"/>
    <n v="246.92"/>
    <n v="251.29"/>
    <n v="18793036"/>
    <x v="1485"/>
    <x v="6"/>
    <n v="-1.0123690222957621E-2"/>
  </r>
  <r>
    <d v="2021-09-09T00:00:00"/>
    <n v="251.14"/>
    <n v="254.03"/>
    <n v="250.54"/>
    <n v="251.62"/>
    <n v="14077731"/>
    <x v="1486"/>
    <x v="6"/>
    <n v="1.9112845424863352E-3"/>
  </r>
  <r>
    <d v="2021-09-10T00:00:00"/>
    <n v="253.2"/>
    <n v="254.2"/>
    <n v="244.84"/>
    <n v="245.42"/>
    <n v="15184170"/>
    <x v="1487"/>
    <x v="6"/>
    <n v="-3.0726698262243293E-2"/>
  </r>
  <r>
    <d v="2021-09-13T00:00:00"/>
    <n v="246.74"/>
    <n v="248.26"/>
    <n v="236.28"/>
    <n v="247.67"/>
    <n v="22952482"/>
    <x v="1488"/>
    <x v="6"/>
    <n v="3.7691497122476223E-3"/>
  </r>
  <r>
    <d v="2021-09-14T00:00:00"/>
    <n v="247.52"/>
    <n v="251.49"/>
    <n v="245.47"/>
    <n v="248.16"/>
    <n v="18524881"/>
    <x v="1489"/>
    <x v="6"/>
    <n v="2.5856496444731187E-3"/>
  </r>
  <r>
    <d v="2021-09-15T00:00:00"/>
    <n v="248.33"/>
    <n v="252.29"/>
    <n v="246.12"/>
    <n v="251.94"/>
    <n v="15357685"/>
    <x v="1490"/>
    <x v="6"/>
    <n v="1.4537107880642632E-2"/>
  </r>
  <r>
    <d v="2021-09-16T00:00:00"/>
    <n v="250.94"/>
    <n v="252.97"/>
    <n v="249.2"/>
    <n v="252.33"/>
    <n v="13923393"/>
    <x v="1491"/>
    <x v="6"/>
    <n v="5.5391727106081723E-3"/>
  </r>
  <r>
    <d v="2021-09-17T00:00:00"/>
    <n v="252.38"/>
    <n v="253.68"/>
    <n v="250"/>
    <n v="253.16"/>
    <n v="28204176"/>
    <x v="1492"/>
    <x v="6"/>
    <n v="3.0905777002932133E-3"/>
  </r>
  <r>
    <d v="2021-09-20T00:00:00"/>
    <n v="244.85"/>
    <n v="247.33"/>
    <n v="239.54"/>
    <n v="243.39"/>
    <n v="24757652"/>
    <x v="1493"/>
    <x v="6"/>
    <n v="-5.9628343884010945E-3"/>
  </r>
  <r>
    <d v="2021-09-21T00:00:00"/>
    <n v="244.93"/>
    <n v="248.25"/>
    <n v="243.48"/>
    <n v="246.46"/>
    <n v="16330723"/>
    <x v="1494"/>
    <x v="6"/>
    <n v="6.2466827256767287E-3"/>
  </r>
  <r>
    <d v="2021-09-22T00:00:00"/>
    <n v="247.84"/>
    <n v="251.22"/>
    <n v="246.37"/>
    <n v="250.65"/>
    <n v="15126272"/>
    <x v="1495"/>
    <x v="6"/>
    <n v="1.1337959974176897E-2"/>
  </r>
  <r>
    <d v="2021-09-23T00:00:00"/>
    <n v="251.67"/>
    <n v="252.73"/>
    <n v="249.31"/>
    <n v="251.21"/>
    <n v="11947527"/>
    <x v="1496"/>
    <x v="6"/>
    <n v="-1.8277903603924964E-3"/>
  </r>
  <r>
    <d v="2021-09-24T00:00:00"/>
    <n v="248.63"/>
    <n v="258.27"/>
    <n v="248.19"/>
    <n v="258.13"/>
    <n v="21373022"/>
    <x v="1497"/>
    <x v="6"/>
    <n v="3.8209387443188678E-2"/>
  </r>
  <r>
    <d v="2021-09-27T00:00:00"/>
    <n v="257.70999999999998"/>
    <n v="266.33"/>
    <n v="256.44"/>
    <n v="263.79000000000002"/>
    <n v="28070657"/>
    <x v="1498"/>
    <x v="6"/>
    <n v="2.3592410073338409E-2"/>
  </r>
  <r>
    <d v="2021-09-28T00:00:00"/>
    <n v="262.39999999999998"/>
    <n v="265.20999999999998"/>
    <n v="255.39"/>
    <n v="259.19"/>
    <n v="25381422"/>
    <x v="1499"/>
    <x v="6"/>
    <n v="-1.2233231707316996E-2"/>
  </r>
  <r>
    <d v="2021-09-29T00:00:00"/>
    <n v="259.93"/>
    <n v="264.5"/>
    <n v="256.89"/>
    <n v="260.44"/>
    <n v="20942877"/>
    <x v="1500"/>
    <x v="6"/>
    <n v="1.962066710268114E-3"/>
  </r>
  <r>
    <d v="2021-09-30T00:00:00"/>
    <n v="260.33"/>
    <n v="263.04000000000002"/>
    <n v="258.33"/>
    <n v="258.49"/>
    <n v="17955961"/>
    <x v="1501"/>
    <x v="6"/>
    <n v="-7.0679522144968887E-3"/>
  </r>
  <r>
    <d v="2021-10-01T00:00:00"/>
    <n v="259.47000000000003"/>
    <n v="260.26"/>
    <n v="254.53"/>
    <n v="258.41000000000003"/>
    <n v="17031414"/>
    <x v="1502"/>
    <x v="6"/>
    <n v="-4.0852507033568514E-3"/>
  </r>
  <r>
    <d v="2021-10-04T00:00:00"/>
    <n v="265.5"/>
    <n v="268.99"/>
    <n v="258.70999999999998"/>
    <n v="260.51"/>
    <n v="30483341"/>
    <x v="1503"/>
    <x v="6"/>
    <n v="-1.8794726930320183E-2"/>
  </r>
  <r>
    <d v="2021-10-05T00:00:00"/>
    <n v="261.60000000000002"/>
    <n v="265.77"/>
    <n v="258.07"/>
    <n v="260.2"/>
    <n v="18432625"/>
    <x v="1504"/>
    <x v="6"/>
    <n v="-5.3516819571866742E-3"/>
  </r>
  <r>
    <d v="2021-10-06T00:00:00"/>
    <n v="258.73"/>
    <n v="262.22000000000003"/>
    <n v="257.74"/>
    <n v="260.92"/>
    <n v="14632768"/>
    <x v="1505"/>
    <x v="6"/>
    <n v="8.4644223708112611E-3"/>
  </r>
  <r>
    <d v="2021-10-07T00:00:00"/>
    <n v="261.82"/>
    <n v="268.33"/>
    <n v="261.13"/>
    <n v="264.54000000000002"/>
    <n v="19195782"/>
    <x v="1506"/>
    <x v="6"/>
    <n v="1.038881674432827E-2"/>
  </r>
  <r>
    <d v="2021-10-08T00:00:00"/>
    <n v="265.39999999999998"/>
    <n v="265.45999999999998"/>
    <n v="260.3"/>
    <n v="261.83"/>
    <n v="16738604"/>
    <x v="1507"/>
    <x v="6"/>
    <n v="-1.3451394122079855E-2"/>
  </r>
  <r>
    <d v="2021-10-11T00:00:00"/>
    <n v="262.55"/>
    <n v="267.08"/>
    <n v="261.83"/>
    <n v="263.98"/>
    <n v="14200322"/>
    <x v="1508"/>
    <x v="6"/>
    <n v="5.4465816035041206E-3"/>
  </r>
  <r>
    <d v="2021-10-12T00:00:00"/>
    <n v="266.98"/>
    <n v="270.77"/>
    <n v="265.52"/>
    <n v="268.57"/>
    <n v="22020040"/>
    <x v="1509"/>
    <x v="6"/>
    <n v="5.9555022848152483E-3"/>
  </r>
  <r>
    <d v="2021-10-13T00:00:00"/>
    <n v="270.16000000000003"/>
    <n v="271.8"/>
    <n v="268.58999999999997"/>
    <n v="270.36"/>
    <n v="14120075"/>
    <x v="1510"/>
    <x v="6"/>
    <n v="7.4030204323359712E-4"/>
  </r>
  <r>
    <d v="2021-10-14T00:00:00"/>
    <n v="271.83"/>
    <n v="273.42"/>
    <n v="271.12"/>
    <n v="272.77"/>
    <n v="12247170"/>
    <x v="1511"/>
    <x v="6"/>
    <n v="3.4580436302100496E-3"/>
  </r>
  <r>
    <d v="2021-10-15T00:00:00"/>
    <n v="274.58"/>
    <n v="281.07"/>
    <n v="274.12"/>
    <n v="281.01"/>
    <n v="18924567"/>
    <x v="1512"/>
    <x v="6"/>
    <n v="2.3417583218005706E-2"/>
  </r>
  <r>
    <d v="2021-10-18T00:00:00"/>
    <n v="283.93"/>
    <n v="291.75"/>
    <n v="283.82"/>
    <n v="290.04000000000002"/>
    <n v="24207244"/>
    <x v="1513"/>
    <x v="6"/>
    <n v="2.1519388581692719E-2"/>
  </r>
  <r>
    <d v="2021-10-19T00:00:00"/>
    <n v="292.51"/>
    <n v="292.64999999999998"/>
    <n v="287.5"/>
    <n v="288.08999999999997"/>
    <n v="17381128"/>
    <x v="1514"/>
    <x v="6"/>
    <n v="-1.5110594509589471E-2"/>
  </r>
  <r>
    <d v="2021-10-20T00:00:00"/>
    <n v="288.45"/>
    <n v="289.83"/>
    <n v="285.79000000000002"/>
    <n v="288.60000000000002"/>
    <n v="14032052"/>
    <x v="1515"/>
    <x v="6"/>
    <n v="5.2002080083215151E-4"/>
  </r>
  <r>
    <d v="2021-10-21T00:00:00"/>
    <n v="285.33"/>
    <n v="300"/>
    <n v="285.17"/>
    <n v="298"/>
    <n v="31481454"/>
    <x v="1516"/>
    <x v="6"/>
    <n v="4.4404724354256533E-2"/>
  </r>
  <r>
    <d v="2021-10-22T00:00:00"/>
    <n v="298.5"/>
    <n v="303.33"/>
    <n v="296.99"/>
    <n v="303.23"/>
    <n v="22880835"/>
    <x v="1517"/>
    <x v="6"/>
    <n v="1.5845896147403747E-2"/>
  </r>
  <r>
    <d v="2021-10-25T00:00:00"/>
    <n v="316.83999999999997"/>
    <n v="348.34"/>
    <n v="314.73"/>
    <n v="341.62"/>
    <n v="62852099"/>
    <x v="1518"/>
    <x v="6"/>
    <n v="7.8209821992172801E-2"/>
  </r>
  <r>
    <d v="2021-10-26T00:00:00"/>
    <n v="341.56"/>
    <n v="364.98"/>
    <n v="333.81"/>
    <n v="339.48"/>
    <n v="62414968"/>
    <x v="1519"/>
    <x v="6"/>
    <n v="-6.0897060545730885E-3"/>
  </r>
  <r>
    <d v="2021-10-27T00:00:00"/>
    <n v="346.55"/>
    <n v="356.96"/>
    <n v="343.59"/>
    <n v="345.95"/>
    <n v="38526459"/>
    <x v="1520"/>
    <x v="6"/>
    <n v="-1.7313518972731864E-3"/>
  </r>
  <r>
    <d v="2021-10-28T00:00:00"/>
    <n v="356.1"/>
    <n v="360.33"/>
    <n v="351.4"/>
    <n v="359.01"/>
    <n v="27213173"/>
    <x v="1521"/>
    <x v="6"/>
    <n v="8.1718618365626741E-3"/>
  </r>
  <r>
    <d v="2021-10-29T00:00:00"/>
    <n v="360.62"/>
    <n v="371.74"/>
    <n v="357.74"/>
    <n v="371.33"/>
    <n v="29918417"/>
    <x v="1522"/>
    <x v="6"/>
    <n v="2.9698851977150408E-2"/>
  </r>
  <r>
    <d v="2021-11-01T00:00:00"/>
    <n v="381.67"/>
    <n v="403.25"/>
    <n v="372.89"/>
    <n v="402.86"/>
    <n v="56048716"/>
    <x v="1523"/>
    <x v="6"/>
    <n v="5.5519165771477967E-2"/>
  </r>
  <r>
    <d v="2021-11-02T00:00:00"/>
    <n v="386.45"/>
    <n v="402.86"/>
    <n v="382"/>
    <n v="390.67"/>
    <n v="42737797"/>
    <x v="1524"/>
    <x v="6"/>
    <n v="1.0919912019666264E-2"/>
  </r>
  <r>
    <d v="2021-11-03T00:00:00"/>
    <n v="392.44"/>
    <n v="405.13"/>
    <n v="384.21"/>
    <n v="404.62"/>
    <n v="34628519"/>
    <x v="1525"/>
    <x v="6"/>
    <n v="3.1036591580878622E-2"/>
  </r>
  <r>
    <d v="2021-11-04T00:00:00"/>
    <n v="411.47"/>
    <n v="414.5"/>
    <n v="405.67"/>
    <n v="409.97"/>
    <n v="25397410"/>
    <x v="1526"/>
    <x v="6"/>
    <n v="-3.6454662551340315E-3"/>
  </r>
  <r>
    <d v="2021-11-05T00:00:00"/>
    <n v="409.33"/>
    <n v="413.29"/>
    <n v="402.67"/>
    <n v="407.36"/>
    <n v="21628812"/>
    <x v="1527"/>
    <x v="6"/>
    <n v="-4.8127427747782243E-3"/>
  </r>
  <r>
    <d v="2021-11-08T00:00:00"/>
    <n v="383.26"/>
    <n v="399"/>
    <n v="377.67"/>
    <n v="387.65"/>
    <n v="33445715"/>
    <x v="1528"/>
    <x v="6"/>
    <n v="1.1454365182904521E-2"/>
  </r>
  <r>
    <d v="2021-11-09T00:00:00"/>
    <n v="391.2"/>
    <n v="391.5"/>
    <n v="337.17"/>
    <n v="341.17"/>
    <n v="59105836"/>
    <x v="1529"/>
    <x v="6"/>
    <n v="-0.12788854805725966"/>
  </r>
  <r>
    <d v="2021-11-10T00:00:00"/>
    <n v="336.8"/>
    <n v="359.37"/>
    <n v="329.1"/>
    <n v="355.98"/>
    <n v="42802722"/>
    <x v="1530"/>
    <x v="6"/>
    <n v="5.6947743467933513E-2"/>
  </r>
  <r>
    <d v="2021-11-11T00:00:00"/>
    <n v="367.59"/>
    <n v="368.32"/>
    <n v="351.56"/>
    <n v="354.5"/>
    <n v="22396568"/>
    <x v="1531"/>
    <x v="6"/>
    <n v="-3.5610326722707301E-2"/>
  </r>
  <r>
    <d v="2021-11-12T00:00:00"/>
    <n v="349.17"/>
    <n v="351.5"/>
    <n v="339.73"/>
    <n v="344.47"/>
    <n v="25573148"/>
    <x v="1532"/>
    <x v="6"/>
    <n v="-1.3460492023942458E-2"/>
  </r>
  <r>
    <d v="2021-11-15T00:00:00"/>
    <n v="339.21"/>
    <n v="343.99"/>
    <n v="326.2"/>
    <n v="337.8"/>
    <n v="34775649"/>
    <x v="1533"/>
    <x v="6"/>
    <n v="-4.156717077916241E-3"/>
  </r>
  <r>
    <d v="2021-11-16T00:00:00"/>
    <n v="334.44"/>
    <n v="352.4"/>
    <n v="334.06"/>
    <n v="351.58"/>
    <n v="26542359"/>
    <x v="1534"/>
    <x v="6"/>
    <n v="5.124985049635207E-2"/>
  </r>
  <r>
    <d v="2021-11-17T00:00:00"/>
    <n v="354.5"/>
    <n v="373.21"/>
    <n v="351.83"/>
    <n v="363"/>
    <n v="31445365"/>
    <x v="1535"/>
    <x v="6"/>
    <n v="2.3977433004231313E-2"/>
  </r>
  <r>
    <d v="2021-11-18T00:00:00"/>
    <n v="368.85"/>
    <n v="370.67"/>
    <n v="358.34"/>
    <n v="365.46"/>
    <n v="20898930"/>
    <x v="1536"/>
    <x v="6"/>
    <n v="-9.1907279381863716E-3"/>
  </r>
  <r>
    <d v="2021-11-19T00:00:00"/>
    <n v="366.29"/>
    <n v="379.57"/>
    <n v="364.23"/>
    <n v="379.02"/>
    <n v="21642258"/>
    <x v="1537"/>
    <x v="6"/>
    <n v="3.4753883534903933E-2"/>
  </r>
  <r>
    <d v="2021-11-22T00:00:00"/>
    <n v="387.44"/>
    <n v="400.65"/>
    <n v="377.48"/>
    <n v="385.62"/>
    <n v="33072509"/>
    <x v="1538"/>
    <x v="6"/>
    <n v="-4.6975015486268668E-3"/>
  </r>
  <r>
    <d v="2021-11-23T00:00:00"/>
    <n v="389.17"/>
    <n v="393.5"/>
    <n v="354.23"/>
    <n v="369.68"/>
    <n v="36171700"/>
    <x v="1539"/>
    <x v="6"/>
    <n v="-5.0080941490865193E-2"/>
  </r>
  <r>
    <d v="2021-11-24T00:00:00"/>
    <n v="360.13"/>
    <n v="377.59"/>
    <n v="354"/>
    <n v="372"/>
    <n v="22560238"/>
    <x v="1540"/>
    <x v="6"/>
    <n v="3.2960319884486174E-2"/>
  </r>
  <r>
    <d v="2021-11-26T00:00:00"/>
    <n v="366.49"/>
    <n v="369.59"/>
    <n v="360.33"/>
    <n v="360.64"/>
    <n v="11680890"/>
    <x v="1541"/>
    <x v="6"/>
    <n v="-1.5962236350241542E-2"/>
  </r>
  <r>
    <d v="2021-11-29T00:00:00"/>
    <n v="367"/>
    <n v="380.89"/>
    <n v="366.73"/>
    <n v="379"/>
    <n v="19464467"/>
    <x v="1542"/>
    <x v="6"/>
    <n v="3.2697547683923703E-2"/>
  </r>
  <r>
    <d v="2021-11-30T00:00:00"/>
    <n v="381.46"/>
    <n v="389.33"/>
    <n v="372.67"/>
    <n v="381.59"/>
    <n v="27092038"/>
    <x v="1543"/>
    <x v="6"/>
    <n v="3.4079588947725961E-4"/>
  </r>
  <r>
    <d v="2021-12-01T00:00:00"/>
    <n v="386.9"/>
    <n v="390.95"/>
    <n v="363.59"/>
    <n v="365"/>
    <n v="22934698"/>
    <x v="1544"/>
    <x v="6"/>
    <n v="-5.6603773584905606E-2"/>
  </r>
  <r>
    <d v="2021-12-02T00:00:00"/>
    <n v="366.35"/>
    <n v="371"/>
    <n v="352.22"/>
    <n v="361.53"/>
    <n v="24371623"/>
    <x v="1545"/>
    <x v="6"/>
    <n v="-1.315681725126259E-2"/>
  </r>
  <r>
    <d v="2021-12-03T00:00:00"/>
    <n v="361.6"/>
    <n v="363.53"/>
    <n v="333.4"/>
    <n v="338.32"/>
    <n v="30773995"/>
    <x v="1546"/>
    <x v="6"/>
    <n v="-6.4380530973451408E-2"/>
  </r>
  <r>
    <d v="2021-12-06T00:00:00"/>
    <n v="333.84"/>
    <n v="340.55"/>
    <n v="316.83"/>
    <n v="336.34"/>
    <n v="27221037"/>
    <x v="1547"/>
    <x v="6"/>
    <n v="7.4886173017014142E-3"/>
  </r>
  <r>
    <d v="2021-12-07T00:00:00"/>
    <n v="348.07"/>
    <n v="352.56"/>
    <n v="342.27"/>
    <n v="350.58"/>
    <n v="18694857"/>
    <x v="1548"/>
    <x v="6"/>
    <n v="7.2111931508029737E-3"/>
  </r>
  <r>
    <d v="2021-12-08T00:00:00"/>
    <n v="350.9"/>
    <n v="357.46"/>
    <n v="344.33"/>
    <n v="356.32"/>
    <n v="13968790"/>
    <x v="1549"/>
    <x v="6"/>
    <n v="1.544599601025938E-2"/>
  </r>
  <r>
    <d v="2021-12-09T00:00:00"/>
    <n v="353.55"/>
    <n v="354.16"/>
    <n v="334.12"/>
    <n v="334.6"/>
    <n v="19812832"/>
    <x v="1550"/>
    <x v="6"/>
    <n v="-5.3599208032810035E-2"/>
  </r>
  <r>
    <d v="2021-12-10T00:00:00"/>
    <n v="336.25"/>
    <n v="340.33"/>
    <n v="327.51"/>
    <n v="339.01"/>
    <n v="19888122"/>
    <x v="1551"/>
    <x v="6"/>
    <n v="8.2081784386616834E-3"/>
  </r>
  <r>
    <d v="2021-12-13T00:00:00"/>
    <n v="333.7"/>
    <n v="335"/>
    <n v="317.14"/>
    <n v="322.14"/>
    <n v="26198502"/>
    <x v="1552"/>
    <x v="6"/>
    <n v="-3.4641893916691646E-2"/>
  </r>
  <r>
    <d v="2021-12-14T00:00:00"/>
    <n v="315"/>
    <n v="322.14"/>
    <n v="310"/>
    <n v="319.5"/>
    <n v="23602090"/>
    <x v="1553"/>
    <x v="6"/>
    <n v="1.4285714285714285E-2"/>
  </r>
  <r>
    <d v="2021-12-15T00:00:00"/>
    <n v="317.74"/>
    <n v="326.25"/>
    <n v="309.42"/>
    <n v="325.33"/>
    <n v="25056410"/>
    <x v="1554"/>
    <x v="6"/>
    <n v="2.3887455152010999E-2"/>
  </r>
  <r>
    <d v="2021-12-16T00:00:00"/>
    <n v="331.5"/>
    <n v="331.66"/>
    <n v="307.27999999999997"/>
    <n v="308.97000000000003"/>
    <n v="27590483"/>
    <x v="1555"/>
    <x v="6"/>
    <n v="-6.7963800904977292E-2"/>
  </r>
  <r>
    <d v="2021-12-17T00:00:00"/>
    <n v="304.92"/>
    <n v="320.22000000000003"/>
    <n v="303.01"/>
    <n v="310.86"/>
    <n v="33626754"/>
    <x v="1556"/>
    <x v="6"/>
    <n v="1.9480519480519473E-2"/>
  </r>
  <r>
    <d v="2021-12-20T00:00:00"/>
    <n v="303.57"/>
    <n v="307.23"/>
    <n v="297.8"/>
    <n v="299.98"/>
    <n v="18826671"/>
    <x v="1557"/>
    <x v="6"/>
    <n v="-1.1825938004414057E-2"/>
  </r>
  <r>
    <d v="2021-12-21T00:00:00"/>
    <n v="305.62"/>
    <n v="313.17"/>
    <n v="295.37"/>
    <n v="312.83999999999997"/>
    <n v="23839305"/>
    <x v="1558"/>
    <x v="6"/>
    <n v="2.3624108369870986E-2"/>
  </r>
  <r>
    <d v="2021-12-22T00:00:00"/>
    <n v="321.89"/>
    <n v="338.55"/>
    <n v="319.02"/>
    <n v="336.29"/>
    <n v="31211362"/>
    <x v="1559"/>
    <x v="6"/>
    <n v="4.4735779303488876E-2"/>
  </r>
  <r>
    <d v="2021-12-23T00:00:00"/>
    <n v="335.6"/>
    <n v="357.66"/>
    <n v="332.52"/>
    <n v="355.67"/>
    <n v="30904429"/>
    <x v="1560"/>
    <x v="6"/>
    <n v="5.9803337306317018E-2"/>
  </r>
  <r>
    <d v="2021-12-27T00:00:00"/>
    <n v="357.89"/>
    <n v="372.33"/>
    <n v="356.91"/>
    <n v="364.65"/>
    <n v="23715273"/>
    <x v="1561"/>
    <x v="6"/>
    <n v="1.8888485288775857E-2"/>
  </r>
  <r>
    <d v="2021-12-28T00:00:00"/>
    <n v="369.83"/>
    <n v="373"/>
    <n v="359.47"/>
    <n v="362.82"/>
    <n v="20107969"/>
    <x v="1562"/>
    <x v="6"/>
    <n v="-1.89546548414136E-2"/>
  </r>
  <r>
    <d v="2021-12-29T00:00:00"/>
    <n v="366.21"/>
    <n v="368"/>
    <n v="354.71"/>
    <n v="362.06"/>
    <n v="18718015"/>
    <x v="1563"/>
    <x v="6"/>
    <n v="-1.133229567734354E-2"/>
  </r>
  <r>
    <d v="2021-12-30T00:00:00"/>
    <n v="353.78"/>
    <n v="365.18"/>
    <n v="351.05"/>
    <n v="356.78"/>
    <n v="15680313"/>
    <x v="1564"/>
    <x v="6"/>
    <n v="8.4798462321216579E-3"/>
  </r>
  <r>
    <d v="2021-12-31T00:00:00"/>
    <n v="357.81"/>
    <n v="360.67"/>
    <n v="351.53"/>
    <n v="352.26"/>
    <n v="13577875"/>
    <x v="1565"/>
    <x v="6"/>
    <n v="-1.5511025404544344E-2"/>
  </r>
  <r>
    <d v="2022-01-03T00:00:00"/>
    <n v="382.58"/>
    <n v="400.36"/>
    <n v="378.68"/>
    <n v="399.93"/>
    <n v="34895349"/>
    <x v="1566"/>
    <x v="7"/>
    <n v="4.5349992158502855E-2"/>
  </r>
  <r>
    <d v="2022-01-04T00:00:00"/>
    <n v="396.52"/>
    <n v="402.67"/>
    <n v="374.35"/>
    <n v="383.2"/>
    <n v="33416086"/>
    <x v="1567"/>
    <x v="7"/>
    <n v="-3.3592252597599098E-2"/>
  </r>
  <r>
    <d v="2022-01-05T00:00:00"/>
    <n v="382.22"/>
    <n v="390.11"/>
    <n v="360.34"/>
    <n v="362.71"/>
    <n v="26706599"/>
    <x v="1568"/>
    <x v="7"/>
    <n v="-5.1043901418031619E-2"/>
  </r>
  <r>
    <d v="2022-01-06T00:00:00"/>
    <n v="359"/>
    <n v="362.67"/>
    <n v="340.17"/>
    <n v="354.9"/>
    <n v="30112158"/>
    <x v="1569"/>
    <x v="7"/>
    <n v="-1.1420612813370538E-2"/>
  </r>
  <r>
    <d v="2022-01-07T00:00:00"/>
    <n v="360.12"/>
    <n v="360.31"/>
    <n v="336.67"/>
    <n v="342.32"/>
    <n v="28054916"/>
    <x v="1570"/>
    <x v="7"/>
    <n v="-4.9427968454959489E-2"/>
  </r>
  <r>
    <d v="2022-01-10T00:00:00"/>
    <n v="333.33"/>
    <n v="353.03"/>
    <n v="326.67"/>
    <n v="352.71"/>
    <n v="30604959"/>
    <x v="1571"/>
    <x v="7"/>
    <n v="5.8140581405814046E-2"/>
  </r>
  <r>
    <d v="2022-01-11T00:00:00"/>
    <n v="351.22"/>
    <n v="358.62"/>
    <n v="346.27"/>
    <n v="354.8"/>
    <n v="22021070"/>
    <x v="1572"/>
    <x v="7"/>
    <n v="1.0193041398553567E-2"/>
  </r>
  <r>
    <d v="2022-01-12T00:00:00"/>
    <n v="359.62"/>
    <n v="371.61"/>
    <n v="357.53"/>
    <n v="368.74"/>
    <n v="27913005"/>
    <x v="1573"/>
    <x v="7"/>
    <n v="2.5360102330237486E-2"/>
  </r>
  <r>
    <d v="2022-01-13T00:00:00"/>
    <n v="369.69"/>
    <n v="371.87"/>
    <n v="342.18"/>
    <n v="343.85"/>
    <n v="32403264"/>
    <x v="1574"/>
    <x v="7"/>
    <n v="-6.989639968622352E-2"/>
  </r>
  <r>
    <d v="2022-01-14T00:00:00"/>
    <n v="339.96"/>
    <n v="350.67"/>
    <n v="337.79"/>
    <n v="349.87"/>
    <n v="24308137"/>
    <x v="1575"/>
    <x v="7"/>
    <n v="2.9150488292740397E-2"/>
  </r>
  <r>
    <d v="2022-01-18T00:00:00"/>
    <n v="342.2"/>
    <n v="356.93"/>
    <n v="338.69"/>
    <n v="343.5"/>
    <n v="22329803"/>
    <x v="1576"/>
    <x v="7"/>
    <n v="3.7989479836353342E-3"/>
  </r>
  <r>
    <d v="2022-01-19T00:00:00"/>
    <n v="347.24"/>
    <n v="351.56"/>
    <n v="331.67"/>
    <n v="331.88"/>
    <n v="25147496"/>
    <x v="1577"/>
    <x v="7"/>
    <n v="-4.4234535191798215E-2"/>
  </r>
  <r>
    <d v="2022-01-20T00:00:00"/>
    <n v="336.58"/>
    <n v="347.22"/>
    <n v="331.33"/>
    <n v="332.09"/>
    <n v="23496248"/>
    <x v="1578"/>
    <x v="7"/>
    <n v="-1.334006774021038E-2"/>
  </r>
  <r>
    <d v="2022-01-21T00:00:00"/>
    <n v="332.11"/>
    <n v="334.85"/>
    <n v="313.5"/>
    <n v="314.63"/>
    <n v="34472009"/>
    <x v="1579"/>
    <x v="7"/>
    <n v="-5.2633163710818755E-2"/>
  </r>
  <r>
    <d v="2022-01-24T00:00:00"/>
    <n v="301.58999999999997"/>
    <n v="311.17"/>
    <n v="283.82"/>
    <n v="310"/>
    <n v="50791714"/>
    <x v="1580"/>
    <x v="7"/>
    <n v="2.788553997148455E-2"/>
  </r>
  <r>
    <d v="2022-01-25T00:00:00"/>
    <n v="304.73"/>
    <n v="317.08999999999997"/>
    <n v="301.07"/>
    <n v="306.13"/>
    <n v="28865302"/>
    <x v="1581"/>
    <x v="7"/>
    <n v="4.5942309585533985E-3"/>
  </r>
  <r>
    <d v="2022-01-26T00:00:00"/>
    <n v="317.48"/>
    <n v="329.23"/>
    <n v="302"/>
    <n v="312.47000000000003"/>
    <n v="34955761"/>
    <x v="1582"/>
    <x v="7"/>
    <n v="-1.5780521607660296E-2"/>
  </r>
  <r>
    <d v="2022-01-27T00:00:00"/>
    <n v="311.12"/>
    <n v="311.8"/>
    <n v="276.33"/>
    <n v="276.37"/>
    <n v="49036523"/>
    <x v="1583"/>
    <x v="7"/>
    <n v="-0.11169323733607611"/>
  </r>
  <r>
    <d v="2022-01-28T00:00:00"/>
    <n v="277.19"/>
    <n v="285.83"/>
    <n v="264"/>
    <n v="282.12"/>
    <n v="44929650"/>
    <x v="1584"/>
    <x v="7"/>
    <n v="1.7785634402395493E-2"/>
  </r>
  <r>
    <d v="2022-01-31T00:00:00"/>
    <n v="290.89999999999998"/>
    <n v="312.66000000000003"/>
    <n v="287.35000000000002"/>
    <n v="312.24"/>
    <n v="34812032"/>
    <x v="1585"/>
    <x v="7"/>
    <n v="7.3358542454451822E-2"/>
  </r>
  <r>
    <d v="2022-02-01T00:00:00"/>
    <n v="311.74"/>
    <n v="314.57"/>
    <n v="301.67"/>
    <n v="310.42"/>
    <n v="24379446"/>
    <x v="1586"/>
    <x v="7"/>
    <n v="-4.2342978122794413E-3"/>
  </r>
  <r>
    <d v="2022-02-02T00:00:00"/>
    <n v="309.39"/>
    <n v="310.5"/>
    <n v="296.47000000000003"/>
    <n v="301.89"/>
    <n v="22264345"/>
    <x v="1587"/>
    <x v="7"/>
    <n v="-2.4241248909143802E-2"/>
  </r>
  <r>
    <d v="2022-02-03T00:00:00"/>
    <n v="294"/>
    <n v="312.33"/>
    <n v="293.51"/>
    <n v="297.05"/>
    <n v="26285186"/>
    <x v="1588"/>
    <x v="7"/>
    <n v="1.0374149659863984E-2"/>
  </r>
  <r>
    <d v="2022-02-04T00:00:00"/>
    <n v="299.07"/>
    <n v="312.17"/>
    <n v="293.72000000000003"/>
    <n v="307.77"/>
    <n v="24541822"/>
    <x v="1589"/>
    <x v="7"/>
    <n v="2.9090179556625503E-2"/>
  </r>
  <r>
    <d v="2022-02-07T00:00:00"/>
    <n v="307.93"/>
    <n v="315.92"/>
    <n v="300.89999999999998"/>
    <n v="302.45"/>
    <n v="20331488"/>
    <x v="1590"/>
    <x v="7"/>
    <n v="-1.7796252395024904E-2"/>
  </r>
  <r>
    <d v="2022-02-08T00:00:00"/>
    <n v="301.83999999999997"/>
    <n v="308.76"/>
    <n v="298.27"/>
    <n v="307.33"/>
    <n v="16909671"/>
    <x v="1591"/>
    <x v="7"/>
    <n v="1.8188444208852402E-2"/>
  </r>
  <r>
    <d v="2022-02-09T00:00:00"/>
    <n v="311.67"/>
    <n v="315.42"/>
    <n v="306.67"/>
    <n v="310.67"/>
    <n v="17419848"/>
    <x v="1592"/>
    <x v="7"/>
    <n v="-3.20852183399108E-3"/>
  </r>
  <r>
    <d v="2022-02-10T00:00:00"/>
    <n v="302.79000000000002"/>
    <n v="314.60000000000002"/>
    <n v="298.89999999999998"/>
    <n v="301.52"/>
    <n v="22042277"/>
    <x v="1593"/>
    <x v="7"/>
    <n v="-4.1943261005979015E-3"/>
  </r>
  <r>
    <d v="2022-02-11T00:00:00"/>
    <n v="303.20999999999998"/>
    <n v="305.32"/>
    <n v="283.57"/>
    <n v="286.67"/>
    <n v="26548623"/>
    <x v="1594"/>
    <x v="7"/>
    <n v="-5.4549652056330479E-2"/>
  </r>
  <r>
    <d v="2022-02-14T00:00:00"/>
    <n v="287.19"/>
    <n v="299.63"/>
    <n v="284.38"/>
    <n v="291.92"/>
    <n v="22585472"/>
    <x v="1595"/>
    <x v="7"/>
    <n v="1.6469932797103026E-2"/>
  </r>
  <r>
    <d v="2022-02-15T00:00:00"/>
    <n v="300"/>
    <n v="307.67"/>
    <n v="297.79000000000002"/>
    <n v="307.48"/>
    <n v="19216514"/>
    <x v="1596"/>
    <x v="7"/>
    <n v="2.4933333333333394E-2"/>
  </r>
  <r>
    <d v="2022-02-16T00:00:00"/>
    <n v="304.68"/>
    <n v="308.81"/>
    <n v="300.39999999999998"/>
    <n v="307.8"/>
    <n v="17098132"/>
    <x v="1597"/>
    <x v="7"/>
    <n v="1.0240252067743221E-2"/>
  </r>
  <r>
    <d v="2022-02-17T00:00:00"/>
    <n v="304.42"/>
    <n v="306.17"/>
    <n v="291.37"/>
    <n v="292.12"/>
    <n v="18392806"/>
    <x v="1598"/>
    <x v="7"/>
    <n v="-4.04047040273307E-2"/>
  </r>
  <r>
    <d v="2022-02-18T00:00:00"/>
    <n v="295.33"/>
    <n v="295.62"/>
    <n v="279.2"/>
    <n v="285.66000000000003"/>
    <n v="22833947"/>
    <x v="1599"/>
    <x v="7"/>
    <n v="-3.2743033217079061E-2"/>
  </r>
  <r>
    <d v="2022-02-22T00:00:00"/>
    <n v="278.04000000000002"/>
    <n v="285.58"/>
    <n v="267.02999999999997"/>
    <n v="273.83999999999997"/>
    <n v="27762734"/>
    <x v="1600"/>
    <x v="7"/>
    <n v="-1.5105740181269044E-2"/>
  </r>
  <r>
    <d v="2022-02-23T00:00:00"/>
    <n v="276.81"/>
    <n v="278.43"/>
    <n v="253.52"/>
    <n v="254.68"/>
    <n v="31752336"/>
    <x v="1601"/>
    <x v="7"/>
    <n v="-7.9946533723492627E-2"/>
  </r>
  <r>
    <d v="2022-02-24T00:00:00"/>
    <n v="233.46"/>
    <n v="267.49"/>
    <n v="233.33"/>
    <n v="266.92"/>
    <n v="45107425"/>
    <x v="1602"/>
    <x v="7"/>
    <n v="0.14332219652188816"/>
  </r>
  <r>
    <d v="2022-02-25T00:00:00"/>
    <n v="269.74"/>
    <n v="273.17"/>
    <n v="260.8"/>
    <n v="269.95999999999998"/>
    <n v="25355921"/>
    <x v="1603"/>
    <x v="7"/>
    <n v="8.1560020760721602E-4"/>
  </r>
  <r>
    <d v="2022-02-28T00:00:00"/>
    <n v="271.67"/>
    <n v="292.29000000000002"/>
    <n v="271.57"/>
    <n v="290.14"/>
    <n v="33002289"/>
    <x v="1604"/>
    <x v="7"/>
    <n v="6.7986895866308281E-2"/>
  </r>
  <r>
    <d v="2022-03-01T00:00:00"/>
    <n v="289.89"/>
    <n v="296.63"/>
    <n v="284.58999999999997"/>
    <n v="288.12"/>
    <n v="24922287"/>
    <x v="1605"/>
    <x v="7"/>
    <n v="-6.1057642554071612E-3"/>
  </r>
  <r>
    <d v="2022-03-02T00:00:00"/>
    <n v="290.70999999999998"/>
    <n v="295.49"/>
    <n v="281.42"/>
    <n v="293.3"/>
    <n v="24881146"/>
    <x v="1606"/>
    <x v="7"/>
    <n v="8.9092222489767538E-3"/>
  </r>
  <r>
    <d v="2022-03-03T00:00:00"/>
    <n v="292.92"/>
    <n v="295.48"/>
    <n v="277.52999999999997"/>
    <n v="279.76"/>
    <n v="20541169"/>
    <x v="1607"/>
    <x v="7"/>
    <n v="-4.4926942509900397E-2"/>
  </r>
  <r>
    <d v="2022-03-04T00:00:00"/>
    <n v="283.02999999999997"/>
    <n v="285.22000000000003"/>
    <n v="275.05"/>
    <n v="279.43"/>
    <n v="22393287"/>
    <x v="1608"/>
    <x v="7"/>
    <n v="-1.2719499699678361E-2"/>
  </r>
  <r>
    <d v="2022-03-07T00:00:00"/>
    <n v="285.43"/>
    <n v="288.70999999999998"/>
    <n v="268.19"/>
    <n v="268.19"/>
    <n v="24164724"/>
    <x v="1609"/>
    <x v="7"/>
    <n v="-6.0400098097607151E-2"/>
  </r>
  <r>
    <d v="2022-03-08T00:00:00"/>
    <n v="265.18"/>
    <n v="283.33"/>
    <n v="260.72000000000003"/>
    <n v="274.8"/>
    <n v="26799702"/>
    <x v="1610"/>
    <x v="7"/>
    <n v="3.6277245644467923E-2"/>
  </r>
  <r>
    <d v="2022-03-09T00:00:00"/>
    <n v="279.83"/>
    <n v="286.85000000000002"/>
    <n v="277.33999999999997"/>
    <n v="286.32"/>
    <n v="19727993"/>
    <x v="1611"/>
    <x v="7"/>
    <n v="2.3192652681985525E-2"/>
  </r>
  <r>
    <d v="2022-03-10T00:00:00"/>
    <n v="283.82"/>
    <n v="284.82"/>
    <n v="270.12"/>
    <n v="279.43"/>
    <n v="19549548"/>
    <x v="1612"/>
    <x v="7"/>
    <n v="-1.5467549855542197E-2"/>
  </r>
  <r>
    <d v="2022-03-11T00:00:00"/>
    <n v="280.07"/>
    <n v="281.27"/>
    <n v="264.58999999999997"/>
    <n v="265.12"/>
    <n v="22345722"/>
    <x v="1613"/>
    <x v="7"/>
    <n v="-5.3379512264790908E-2"/>
  </r>
  <r>
    <d v="2022-03-14T00:00:00"/>
    <n v="260.2"/>
    <n v="266.89999999999998"/>
    <n v="252.01"/>
    <n v="255.46"/>
    <n v="23717421"/>
    <x v="1614"/>
    <x v="7"/>
    <n v="-1.8216756341275869E-2"/>
  </r>
  <r>
    <d v="2022-03-15T00:00:00"/>
    <n v="258.42"/>
    <n v="268.52"/>
    <n v="252.19"/>
    <n v="267.3"/>
    <n v="22280381"/>
    <x v="1615"/>
    <x v="7"/>
    <n v="3.4362665428372401E-2"/>
  </r>
  <r>
    <d v="2022-03-16T00:00:00"/>
    <n v="269.67"/>
    <n v="280.67"/>
    <n v="267.42"/>
    <n v="280.08"/>
    <n v="28009607"/>
    <x v="1616"/>
    <x v="7"/>
    <n v="3.8602736678162081E-2"/>
  </r>
  <r>
    <d v="2022-03-17T00:00:00"/>
    <n v="277"/>
    <n v="291.67"/>
    <n v="275.24"/>
    <n v="290.52999999999997"/>
    <n v="22194324"/>
    <x v="1617"/>
    <x v="7"/>
    <n v="4.8844765342960193E-2"/>
  </r>
  <r>
    <d v="2022-03-18T00:00:00"/>
    <n v="291.5"/>
    <n v="302.62"/>
    <n v="289.13"/>
    <n v="301.8"/>
    <n v="33471397"/>
    <x v="1618"/>
    <x v="7"/>
    <n v="3.5334476843910848E-2"/>
  </r>
  <r>
    <d v="2022-03-21T00:00:00"/>
    <n v="304.99"/>
    <n v="314.27999999999997"/>
    <n v="302.36"/>
    <n v="307.05"/>
    <n v="27327216"/>
    <x v="1619"/>
    <x v="7"/>
    <n v="6.7543198137643926E-3"/>
  </r>
  <r>
    <d v="2022-03-22T00:00:00"/>
    <n v="310"/>
    <n v="332.62"/>
    <n v="307.25"/>
    <n v="331.33"/>
    <n v="35289519"/>
    <x v="1620"/>
    <x v="7"/>
    <n v="6.8806451612903177E-2"/>
  </r>
  <r>
    <d v="2022-03-23T00:00:00"/>
    <n v="326.64999999999998"/>
    <n v="346.9"/>
    <n v="325.47000000000003"/>
    <n v="333.04"/>
    <n v="40225383"/>
    <x v="1621"/>
    <x v="7"/>
    <n v="1.9562222562375765E-2"/>
  </r>
  <r>
    <d v="2022-03-24T00:00:00"/>
    <n v="336.58"/>
    <n v="341.5"/>
    <n v="329.6"/>
    <n v="337.97"/>
    <n v="22973626"/>
    <x v="1622"/>
    <x v="7"/>
    <n v="4.1297759819360728E-3"/>
  </r>
  <r>
    <d v="2022-03-25T00:00:00"/>
    <n v="336"/>
    <n v="340.6"/>
    <n v="332.44"/>
    <n v="336.88"/>
    <n v="20677182"/>
    <x v="1623"/>
    <x v="7"/>
    <n v="2.6190476190476055E-3"/>
  </r>
  <r>
    <d v="2022-03-28T00:00:00"/>
    <n v="355.03"/>
    <n v="365.96"/>
    <n v="351.2"/>
    <n v="363.95"/>
    <n v="34168693"/>
    <x v="1624"/>
    <x v="7"/>
    <n v="2.51246373545898E-2"/>
  </r>
  <r>
    <d v="2022-03-29T00:00:00"/>
    <n v="369.33"/>
    <n v="371.59"/>
    <n v="357.7"/>
    <n v="366.52"/>
    <n v="24538273"/>
    <x v="1625"/>
    <x v="7"/>
    <n v="-7.6083719167140563E-3"/>
  </r>
  <r>
    <d v="2022-03-30T00:00:00"/>
    <n v="363.72"/>
    <n v="371.32"/>
    <n v="361.33"/>
    <n v="364.66"/>
    <n v="19955002"/>
    <x v="1626"/>
    <x v="7"/>
    <n v="2.5844055867150491E-3"/>
  </r>
  <r>
    <d v="2022-03-31T00:00:00"/>
    <n v="364.86"/>
    <n v="367.71"/>
    <n v="358.88"/>
    <n v="359.2"/>
    <n v="16330919"/>
    <x v="1627"/>
    <x v="7"/>
    <n v="-1.5512799429918393E-2"/>
  </r>
  <r>
    <d v="2022-04-01T00:00:00"/>
    <n v="360.38"/>
    <n v="364.92"/>
    <n v="355.55"/>
    <n v="361.53"/>
    <n v="18087741"/>
    <x v="1628"/>
    <x v="7"/>
    <n v="3.1910760863532307E-3"/>
  </r>
  <r>
    <d v="2022-04-04T00:00:00"/>
    <n v="363.13"/>
    <n v="383.3"/>
    <n v="357.51"/>
    <n v="381.82"/>
    <n v="27392567"/>
    <x v="1629"/>
    <x v="7"/>
    <n v="5.1469170820367359E-2"/>
  </r>
  <r>
    <d v="2022-04-05T00:00:00"/>
    <n v="378.77"/>
    <n v="384.29"/>
    <n v="362.43"/>
    <n v="363.75"/>
    <n v="26691673"/>
    <x v="1630"/>
    <x v="7"/>
    <n v="-3.965467170050422E-2"/>
  </r>
  <r>
    <d v="2022-04-06T00:00:00"/>
    <n v="357.82"/>
    <n v="359.67"/>
    <n v="342.57"/>
    <n v="348.59"/>
    <n v="29782845"/>
    <x v="1631"/>
    <x v="7"/>
    <n v="-2.579509250461131E-2"/>
  </r>
  <r>
    <d v="2022-04-07T00:00:00"/>
    <n v="350.8"/>
    <n v="358.86"/>
    <n v="340.51"/>
    <n v="352.42"/>
    <n v="26482353"/>
    <x v="1632"/>
    <x v="7"/>
    <n v="4.6180159635119851E-3"/>
  </r>
  <r>
    <d v="2022-04-08T00:00:00"/>
    <n v="347.74"/>
    <n v="349.48"/>
    <n v="340.81"/>
    <n v="341.83"/>
    <n v="18337896"/>
    <x v="1633"/>
    <x v="7"/>
    <n v="-1.6995456375452998E-2"/>
  </r>
  <r>
    <d v="2022-04-11T00:00:00"/>
    <n v="326.8"/>
    <n v="336.16"/>
    <n v="324.88"/>
    <n v="325.31"/>
    <n v="19785735"/>
    <x v="1634"/>
    <x v="7"/>
    <n v="-4.5593635250918271E-3"/>
  </r>
  <r>
    <d v="2022-04-12T00:00:00"/>
    <n v="332.55"/>
    <n v="340.4"/>
    <n v="325.52999999999997"/>
    <n v="328.98"/>
    <n v="21992032"/>
    <x v="1635"/>
    <x v="7"/>
    <n v="-1.0735227785295424E-2"/>
  </r>
  <r>
    <d v="2022-04-13T00:00:00"/>
    <n v="327.02"/>
    <n v="342.08"/>
    <n v="324.37"/>
    <n v="340.79"/>
    <n v="18373737"/>
    <x v="1636"/>
    <x v="7"/>
    <n v="4.2107516359855789E-2"/>
  </r>
  <r>
    <d v="2022-04-14T00:00:00"/>
    <n v="333.1"/>
    <n v="337.57"/>
    <n v="327.39999999999998"/>
    <n v="328.33"/>
    <n v="19474135"/>
    <x v="1637"/>
    <x v="7"/>
    <n v="-1.4320024016811884E-2"/>
  </r>
  <r>
    <d v="2022-04-18T00:00:00"/>
    <n v="329.68"/>
    <n v="338.31"/>
    <n v="324.47000000000003"/>
    <n v="334.76"/>
    <n v="17238407"/>
    <x v="1638"/>
    <x v="7"/>
    <n v="1.540888133948066E-2"/>
  </r>
  <r>
    <d v="2022-04-19T00:00:00"/>
    <n v="335.02"/>
    <n v="344.98"/>
    <n v="331.78"/>
    <n v="342.72"/>
    <n v="16615944"/>
    <x v="1639"/>
    <x v="7"/>
    <n v="2.2983702465524582E-2"/>
  </r>
  <r>
    <d v="2022-04-20T00:00:00"/>
    <n v="343.33"/>
    <n v="344.67"/>
    <n v="325.08"/>
    <n v="325.73"/>
    <n v="23570442"/>
    <x v="1640"/>
    <x v="7"/>
    <n v="-5.126263361780202E-2"/>
  </r>
  <r>
    <d v="2022-04-21T00:00:00"/>
    <n v="358.24"/>
    <n v="364.07"/>
    <n v="332.14"/>
    <n v="336.26"/>
    <n v="35138779"/>
    <x v="1641"/>
    <x v="7"/>
    <n v="-6.1355515855292593E-2"/>
  </r>
  <r>
    <d v="2022-04-22T00:00:00"/>
    <n v="338.3"/>
    <n v="344.95"/>
    <n v="331.33"/>
    <n v="335.02"/>
    <n v="23232186"/>
    <x v="1642"/>
    <x v="7"/>
    <n v="-9.6955365060597976E-3"/>
  </r>
  <r>
    <d v="2022-04-25T00:00:00"/>
    <n v="326.32"/>
    <n v="336.21"/>
    <n v="325.10000000000002"/>
    <n v="332.67"/>
    <n v="22780445"/>
    <x v="1643"/>
    <x v="7"/>
    <n v="1.9459426329982907E-2"/>
  </r>
  <r>
    <d v="2022-04-26T00:00:00"/>
    <n v="331.81"/>
    <n v="333.33"/>
    <n v="291.67"/>
    <n v="292.14"/>
    <n v="45377889"/>
    <x v="1644"/>
    <x v="7"/>
    <n v="-0.11955637262288664"/>
  </r>
  <r>
    <d v="2022-04-27T00:00:00"/>
    <n v="299.52999999999997"/>
    <n v="306"/>
    <n v="292.45"/>
    <n v="293.83999999999997"/>
    <n v="25652132"/>
    <x v="1645"/>
    <x v="7"/>
    <n v="-1.8996427736787627E-2"/>
  </r>
  <r>
    <d v="2022-04-28T00:00:00"/>
    <n v="299.99"/>
    <n v="300"/>
    <n v="273.89999999999998"/>
    <n v="292.5"/>
    <n v="41649509"/>
    <x v="1646"/>
    <x v="7"/>
    <n v="-2.4967498916630585E-2"/>
  </r>
  <r>
    <d v="2022-04-29T00:00:00"/>
    <n v="300.75"/>
    <n v="311.47000000000003"/>
    <n v="290"/>
    <n v="290.25"/>
    <n v="29377665"/>
    <x v="1647"/>
    <x v="7"/>
    <n v="-3.4912718204488775E-2"/>
  </r>
  <r>
    <d v="2022-05-02T00:00:00"/>
    <n v="286.92"/>
    <n v="302.12"/>
    <n v="282.68"/>
    <n v="300.98"/>
    <n v="25260457"/>
    <x v="1648"/>
    <x v="7"/>
    <n v="4.9003206468702085E-2"/>
  </r>
  <r>
    <d v="2022-05-03T00:00:00"/>
    <n v="301.06"/>
    <n v="308.02999999999997"/>
    <n v="296.2"/>
    <n v="303.08"/>
    <n v="21236525"/>
    <x v="1649"/>
    <x v="7"/>
    <n v="6.7096259881750542E-3"/>
  </r>
  <r>
    <d v="2022-05-04T00:00:00"/>
    <n v="301.31"/>
    <n v="318.5"/>
    <n v="295.08999999999997"/>
    <n v="317.54000000000002"/>
    <n v="27214568"/>
    <x v="1650"/>
    <x v="7"/>
    <n v="5.3864790415187075E-2"/>
  </r>
  <r>
    <d v="2022-05-05T00:00:00"/>
    <n v="313.07"/>
    <n v="315.2"/>
    <n v="285.89999999999998"/>
    <n v="291.08999999999997"/>
    <n v="30839731"/>
    <x v="1651"/>
    <x v="7"/>
    <n v="-7.0207940716133829E-2"/>
  </r>
  <r>
    <d v="2022-05-06T00:00:00"/>
    <n v="295.67"/>
    <n v="296"/>
    <n v="281.04000000000002"/>
    <n v="288.55"/>
    <n v="24301037"/>
    <x v="1652"/>
    <x v="7"/>
    <n v="-2.4080901004498272E-2"/>
  </r>
  <r>
    <d v="2022-05-09T00:00:00"/>
    <n v="278.82"/>
    <n v="281.88"/>
    <n v="260.38"/>
    <n v="262.37"/>
    <n v="30270074"/>
    <x v="1653"/>
    <x v="7"/>
    <n v="-5.8998637113549919E-2"/>
  </r>
  <r>
    <d v="2022-05-10T00:00:00"/>
    <n v="273.10000000000002"/>
    <n v="275.12"/>
    <n v="258.08"/>
    <n v="266.68"/>
    <n v="28133877"/>
    <x v="1654"/>
    <x v="7"/>
    <n v="-2.3507872574148721E-2"/>
  </r>
  <r>
    <d v="2022-05-11T00:00:00"/>
    <n v="265"/>
    <n v="269.92"/>
    <n v="242.4"/>
    <n v="244.67"/>
    <n v="32408153"/>
    <x v="1655"/>
    <x v="7"/>
    <n v="-7.6716981132075521E-2"/>
  </r>
  <r>
    <d v="2022-05-12T00:00:00"/>
    <n v="233.67"/>
    <n v="253.22"/>
    <n v="226.67"/>
    <n v="242.67"/>
    <n v="46770954"/>
    <x v="1656"/>
    <x v="7"/>
    <n v="3.8515855693927334E-2"/>
  </r>
  <r>
    <d v="2022-05-13T00:00:00"/>
    <n v="257.83"/>
    <n v="262.45"/>
    <n v="250.52"/>
    <n v="256.52999999999997"/>
    <n v="30716908"/>
    <x v="1657"/>
    <x v="7"/>
    <n v="-5.0420819920102833E-3"/>
  </r>
  <r>
    <d v="2022-05-16T00:00:00"/>
    <n v="255.72"/>
    <n v="256.58999999999997"/>
    <n v="239.7"/>
    <n v="241.46"/>
    <n v="28699513"/>
    <x v="1658"/>
    <x v="7"/>
    <n v="-5.5764117002971965E-2"/>
  </r>
  <r>
    <d v="2022-05-17T00:00:00"/>
    <n v="249.12"/>
    <n v="254.83"/>
    <n v="242.95"/>
    <n v="253.87"/>
    <n v="26745370"/>
    <x v="1659"/>
    <x v="7"/>
    <n v="1.9067116249197175E-2"/>
  </r>
  <r>
    <d v="2022-05-18T00:00:00"/>
    <n v="248.17"/>
    <n v="253.5"/>
    <n v="233.6"/>
    <n v="236.6"/>
    <n v="29270604"/>
    <x v="1660"/>
    <x v="7"/>
    <n v="-4.6621267679413284E-2"/>
  </r>
  <r>
    <d v="2022-05-19T00:00:00"/>
    <n v="235.67"/>
    <n v="244.67"/>
    <n v="231.37"/>
    <n v="236.47"/>
    <n v="30098891"/>
    <x v="1661"/>
    <x v="7"/>
    <n v="3.3945771629821844E-3"/>
  </r>
  <r>
    <d v="2022-05-20T00:00:00"/>
    <n v="238"/>
    <n v="240.53"/>
    <n v="211"/>
    <n v="221.3"/>
    <n v="48324435"/>
    <x v="1662"/>
    <x v="7"/>
    <n v="-7.0168067226890715E-2"/>
  </r>
  <r>
    <d v="2022-05-23T00:00:00"/>
    <n v="218.34"/>
    <n v="226.65"/>
    <n v="212.69"/>
    <n v="224.97"/>
    <n v="29634546"/>
    <x v="1663"/>
    <x v="7"/>
    <n v="3.0365485023358046E-2"/>
  </r>
  <r>
    <d v="2022-05-24T00:00:00"/>
    <n v="217.84"/>
    <n v="217.97"/>
    <n v="206.86"/>
    <n v="209.39"/>
    <n v="29697505"/>
    <x v="1664"/>
    <x v="7"/>
    <n v="-3.8789937568857957E-2"/>
  </r>
  <r>
    <d v="2022-05-25T00:00:00"/>
    <n v="207.95"/>
    <n v="223.11"/>
    <n v="207.67"/>
    <n v="219.6"/>
    <n v="30713108"/>
    <x v="1665"/>
    <x v="7"/>
    <n v="5.6023082471748045E-2"/>
  </r>
  <r>
    <d v="2022-05-26T00:00:00"/>
    <n v="220.47"/>
    <n v="239.56"/>
    <n v="217.89"/>
    <n v="235.91"/>
    <n v="35334448"/>
    <x v="1666"/>
    <x v="7"/>
    <n v="7.0032203927972048E-2"/>
  </r>
  <r>
    <d v="2022-05-27T00:00:00"/>
    <n v="241.08"/>
    <n v="253.27"/>
    <n v="240.18"/>
    <n v="253.21"/>
    <n v="29764994"/>
    <x v="1667"/>
    <x v="7"/>
    <n v="5.0315248050439666E-2"/>
  </r>
  <r>
    <d v="2022-05-31T00:00:00"/>
    <n v="257.95"/>
    <n v="259.60000000000002"/>
    <n v="244.74"/>
    <n v="252.75"/>
    <n v="33971457"/>
    <x v="1668"/>
    <x v="7"/>
    <n v="-2.0158945532079819E-2"/>
  </r>
  <r>
    <d v="2022-06-01T00:00:00"/>
    <n v="251.72"/>
    <n v="257.33"/>
    <n v="243.64"/>
    <n v="246.79"/>
    <n v="25749321"/>
    <x v="1669"/>
    <x v="7"/>
    <n v="-1.9585253456221224E-2"/>
  </r>
  <r>
    <d v="2022-06-02T00:00:00"/>
    <n v="244.16"/>
    <n v="264.20999999999998"/>
    <n v="242.07"/>
    <n v="258.33"/>
    <n v="31157706"/>
    <x v="1670"/>
    <x v="7"/>
    <n v="5.8035714285714232E-2"/>
  </r>
  <r>
    <d v="2022-06-03T00:00:00"/>
    <n v="243.23"/>
    <n v="247.8"/>
    <n v="233.42"/>
    <n v="234.52"/>
    <n v="37464579"/>
    <x v="1671"/>
    <x v="7"/>
    <n v="-3.5809727418492705E-2"/>
  </r>
  <r>
    <d v="2022-06-06T00:00:00"/>
    <n v="244.35"/>
    <n v="244.87"/>
    <n v="234.35"/>
    <n v="238.28"/>
    <n v="28068174"/>
    <x v="1672"/>
    <x v="7"/>
    <n v="-2.484141600163697E-2"/>
  </r>
  <r>
    <d v="2022-06-07T00:00:00"/>
    <n v="234"/>
    <n v="240"/>
    <n v="230.09"/>
    <n v="238.89"/>
    <n v="24269534"/>
    <x v="1673"/>
    <x v="7"/>
    <n v="2.089743589743584E-2"/>
  </r>
  <r>
    <d v="2022-06-08T00:00:00"/>
    <n v="240.09"/>
    <n v="249.96"/>
    <n v="239.18"/>
    <n v="241.87"/>
    <n v="25403540"/>
    <x v="1674"/>
    <x v="7"/>
    <n v="7.4138864592444547E-3"/>
  </r>
  <r>
    <d v="2022-06-09T00:00:00"/>
    <n v="249.34"/>
    <n v="255.55"/>
    <n v="239.33"/>
    <n v="239.71"/>
    <n v="32163769"/>
    <x v="1675"/>
    <x v="7"/>
    <n v="-3.8621961979626196E-2"/>
  </r>
  <r>
    <d v="2022-06-10T00:00:00"/>
    <n v="235.16"/>
    <n v="239.5"/>
    <n v="227.91"/>
    <n v="232.23"/>
    <n v="32696966"/>
    <x v="1676"/>
    <x v="7"/>
    <n v="-1.245960197312471E-2"/>
  </r>
  <r>
    <d v="2022-06-13T00:00:00"/>
    <n v="223.17"/>
    <n v="226.63"/>
    <n v="214.68"/>
    <n v="215.74"/>
    <n v="34255754"/>
    <x v="1677"/>
    <x v="7"/>
    <n v="-3.3293005332257826E-2"/>
  </r>
  <r>
    <d v="2022-06-14T00:00:00"/>
    <n v="218.29"/>
    <n v="226.33"/>
    <n v="211.74"/>
    <n v="220.89"/>
    <n v="32662932"/>
    <x v="1678"/>
    <x v="7"/>
    <n v="1.1910760914379927E-2"/>
  </r>
  <r>
    <d v="2022-06-15T00:00:00"/>
    <n v="220.92"/>
    <n v="235.66"/>
    <n v="218.15"/>
    <n v="233"/>
    <n v="39710645"/>
    <x v="1679"/>
    <x v="7"/>
    <n v="5.4680427304001508E-2"/>
  </r>
  <r>
    <d v="2022-06-16T00:00:00"/>
    <n v="222.74"/>
    <n v="225.17"/>
    <n v="208.69"/>
    <n v="213.1"/>
    <n v="35796900"/>
    <x v="1680"/>
    <x v="7"/>
    <n v="-4.3279159558229391E-2"/>
  </r>
  <r>
    <d v="2022-06-17T00:00:00"/>
    <n v="213.43"/>
    <n v="220.97"/>
    <n v="213.2"/>
    <n v="216.76"/>
    <n v="30880590"/>
    <x v="1681"/>
    <x v="7"/>
    <n v="1.5602305205453703E-2"/>
  </r>
  <r>
    <d v="2022-06-21T00:00:00"/>
    <n v="224.6"/>
    <n v="243.58"/>
    <n v="224.33"/>
    <n v="237.04"/>
    <n v="40930985"/>
    <x v="1682"/>
    <x v="7"/>
    <n v="5.5387355298308093E-2"/>
  </r>
  <r>
    <d v="2022-06-22T00:00:00"/>
    <n v="234.5"/>
    <n v="246.83"/>
    <n v="233.83"/>
    <n v="236.09"/>
    <n v="33842420"/>
    <x v="1683"/>
    <x v="7"/>
    <n v="6.7803837953091832E-3"/>
  </r>
  <r>
    <d v="2022-06-23T00:00:00"/>
    <n v="237.91"/>
    <n v="239.32"/>
    <n v="228.64"/>
    <n v="235.07"/>
    <n v="34734226"/>
    <x v="1684"/>
    <x v="7"/>
    <n v="-1.1937287209448966E-2"/>
  </r>
  <r>
    <d v="2022-06-24T00:00:00"/>
    <n v="237.47"/>
    <n v="246.07"/>
    <n v="236.09"/>
    <n v="245.71"/>
    <n v="31923565"/>
    <x v="1685"/>
    <x v="7"/>
    <n v="3.4699119888828102E-2"/>
  </r>
  <r>
    <d v="2022-06-27T00:00:00"/>
    <n v="249.37"/>
    <n v="252.07"/>
    <n v="242.57"/>
    <n v="244.92"/>
    <n v="29726104"/>
    <x v="1686"/>
    <x v="7"/>
    <n v="-1.7844969322693256E-2"/>
  </r>
  <r>
    <d v="2022-06-28T00:00:00"/>
    <n v="244.48"/>
    <n v="249.97"/>
    <n v="232.34"/>
    <n v="232.66"/>
    <n v="30222167"/>
    <x v="1687"/>
    <x v="7"/>
    <n v="-4.8347513089005208E-2"/>
  </r>
  <r>
    <d v="2022-06-29T00:00:00"/>
    <n v="230.5"/>
    <n v="231.17"/>
    <n v="222.27"/>
    <n v="228.49"/>
    <n v="27632418"/>
    <x v="1688"/>
    <x v="7"/>
    <n v="-8.7201735357917178E-3"/>
  </r>
  <r>
    <d v="2022-06-30T00:00:00"/>
    <n v="224.51"/>
    <n v="229.46"/>
    <n v="218.86"/>
    <n v="224.47"/>
    <n v="31533484"/>
    <x v="1689"/>
    <x v="7"/>
    <n v="-1.7816578326128923E-4"/>
  </r>
  <r>
    <d v="2022-07-01T00:00:00"/>
    <n v="227"/>
    <n v="230.23"/>
    <n v="222.12"/>
    <n v="227.26"/>
    <n v="24820148"/>
    <x v="1690"/>
    <x v="7"/>
    <n v="1.145374449339167E-3"/>
  </r>
  <r>
    <d v="2022-07-05T00:00:00"/>
    <n v="223"/>
    <n v="233.15"/>
    <n v="216.17"/>
    <n v="233.07"/>
    <n v="28259704"/>
    <x v="1691"/>
    <x v="7"/>
    <n v="4.5156950672645711E-2"/>
  </r>
  <r>
    <d v="2022-07-06T00:00:00"/>
    <n v="230.78"/>
    <n v="234.56"/>
    <n v="227.19"/>
    <n v="231.73"/>
    <n v="23951210"/>
    <x v="1692"/>
    <x v="7"/>
    <n v="4.1164745645202727E-3"/>
  </r>
  <r>
    <d v="2022-07-07T00:00:00"/>
    <n v="233.92"/>
    <n v="245.36"/>
    <n v="232.21"/>
    <n v="244.54"/>
    <n v="27310230"/>
    <x v="1693"/>
    <x v="7"/>
    <n v="4.540013679890563E-2"/>
  </r>
  <r>
    <d v="2022-07-08T00:00:00"/>
    <n v="242.33"/>
    <n v="254.98"/>
    <n v="241.16"/>
    <n v="250.76"/>
    <n v="33951362"/>
    <x v="1694"/>
    <x v="7"/>
    <n v="3.4787273552593478E-2"/>
  </r>
  <r>
    <d v="2022-07-11T00:00:00"/>
    <n v="252.1"/>
    <n v="253.06"/>
    <n v="233.63"/>
    <n v="234.34"/>
    <n v="33169740"/>
    <x v="1695"/>
    <x v="7"/>
    <n v="-7.0448234827449385E-2"/>
  </r>
  <r>
    <d v="2022-07-12T00:00:00"/>
    <n v="236.85"/>
    <n v="239.77"/>
    <n v="228.37"/>
    <n v="233.07"/>
    <n v="29310320"/>
    <x v="1696"/>
    <x v="7"/>
    <n v="-1.5959468017732747E-2"/>
  </r>
  <r>
    <d v="2022-07-13T00:00:00"/>
    <n v="225.5"/>
    <n v="242.06"/>
    <n v="225.03"/>
    <n v="237.04"/>
    <n v="32651499"/>
    <x v="1697"/>
    <x v="7"/>
    <n v="5.1175166297117484E-2"/>
  </r>
  <r>
    <d v="2022-07-14T00:00:00"/>
    <n v="234.9"/>
    <n v="238.65"/>
    <n v="229.33"/>
    <n v="238.31"/>
    <n v="26185833"/>
    <x v="1698"/>
    <x v="7"/>
    <n v="1.4516815666240938E-2"/>
  </r>
  <r>
    <d v="2022-07-15T00:00:00"/>
    <n v="240"/>
    <n v="243.62"/>
    <n v="236.89"/>
    <n v="240.07"/>
    <n v="23227673"/>
    <x v="1699"/>
    <x v="7"/>
    <n v="2.9166666666663823E-4"/>
  </r>
  <r>
    <d v="2022-07-18T00:00:00"/>
    <n v="244.94"/>
    <n v="250.52"/>
    <n v="239.6"/>
    <n v="240.55"/>
    <n v="27512476"/>
    <x v="1700"/>
    <x v="7"/>
    <n v="-1.7922756593451401E-2"/>
  </r>
  <r>
    <d v="2022-07-19T00:00:00"/>
    <n v="245"/>
    <n v="247.14"/>
    <n v="236.98"/>
    <n v="245.53"/>
    <n v="26963370"/>
    <x v="1701"/>
    <x v="7"/>
    <n v="2.1632653061224535E-3"/>
  </r>
  <r>
    <d v="2022-07-20T00:00:00"/>
    <n v="246.78"/>
    <n v="250.66"/>
    <n v="243.48"/>
    <n v="247.5"/>
    <n v="29621363"/>
    <x v="1702"/>
    <x v="7"/>
    <n v="2.9175784099197619E-3"/>
  </r>
  <r>
    <d v="2022-07-21T00:00:00"/>
    <n v="255.11"/>
    <n v="273.27"/>
    <n v="254.87"/>
    <n v="271.70999999999998"/>
    <n v="47344059"/>
    <x v="1703"/>
    <x v="7"/>
    <n v="6.5069969816941575E-2"/>
  </r>
  <r>
    <d v="2022-07-22T00:00:00"/>
    <n v="276.22000000000003"/>
    <n v="280.79000000000002"/>
    <n v="270.70999999999998"/>
    <n v="272.24"/>
    <n v="34490949"/>
    <x v="1704"/>
    <x v="7"/>
    <n v="-1.4408804576062624E-2"/>
  </r>
  <r>
    <d v="2022-07-25T00:00:00"/>
    <n v="272.22000000000003"/>
    <n v="274.14999999999998"/>
    <n v="267.39999999999998"/>
    <n v="268.43"/>
    <n v="21357835"/>
    <x v="1705"/>
    <x v="7"/>
    <n v="-1.3922562633164427E-2"/>
  </r>
  <r>
    <d v="2022-07-26T00:00:00"/>
    <n v="266.51"/>
    <n v="267.31"/>
    <n v="256.26"/>
    <n v="258.86"/>
    <n v="22273586"/>
    <x v="1706"/>
    <x v="7"/>
    <n v="-2.8704363813740488E-2"/>
  </r>
  <r>
    <d v="2022-07-27T00:00:00"/>
    <n v="263.81"/>
    <n v="275.93"/>
    <n v="261.79000000000002"/>
    <n v="274.82"/>
    <n v="29369996"/>
    <x v="1707"/>
    <x v="7"/>
    <n v="4.1734581706531181E-2"/>
  </r>
  <r>
    <d v="2022-07-28T00:00:00"/>
    <n v="280.07"/>
    <n v="283.3"/>
    <n v="272.8"/>
    <n v="280.89999999999998"/>
    <n v="28240997"/>
    <x v="1708"/>
    <x v="7"/>
    <n v="2.963544828078638E-3"/>
  </r>
  <r>
    <d v="2022-07-29T00:00:00"/>
    <n v="280.7"/>
    <n v="298.32"/>
    <n v="279.10000000000002"/>
    <n v="297.14999999999998"/>
    <n v="31770961"/>
    <x v="1709"/>
    <x v="7"/>
    <n v="5.8603491271820414E-2"/>
  </r>
  <r>
    <d v="2022-08-01T00:00:00"/>
    <n v="301.27"/>
    <n v="311.88"/>
    <n v="295"/>
    <n v="297.27999999999997"/>
    <n v="39014296"/>
    <x v="1710"/>
    <x v="7"/>
    <n v="-1.3243934012679688E-2"/>
  </r>
  <r>
    <d v="2022-08-02T00:00:00"/>
    <n v="294"/>
    <n v="307.83"/>
    <n v="292.67"/>
    <n v="300.58999999999997"/>
    <n v="31859156"/>
    <x v="1711"/>
    <x v="7"/>
    <n v="2.2414965986394472E-2"/>
  </r>
  <r>
    <d v="2022-08-03T00:00:00"/>
    <n v="305"/>
    <n v="309.55"/>
    <n v="301.14999999999998"/>
    <n v="307.39999999999998"/>
    <n v="26697035"/>
    <x v="1712"/>
    <x v="7"/>
    <n v="7.8688524590163188E-3"/>
  </r>
  <r>
    <d v="2022-08-04T00:00:00"/>
    <n v="311"/>
    <n v="313.61"/>
    <n v="305"/>
    <n v="308.63"/>
    <n v="24085439"/>
    <x v="1713"/>
    <x v="7"/>
    <n v="-7.6205787781350627E-3"/>
  </r>
  <r>
    <d v="2022-08-05T00:00:00"/>
    <n v="302.67"/>
    <n v="304.61"/>
    <n v="285.54000000000002"/>
    <n v="288.17"/>
    <n v="37724299"/>
    <x v="1714"/>
    <x v="7"/>
    <n v="-4.7906961377077339E-2"/>
  </r>
  <r>
    <d v="2022-08-08T00:00:00"/>
    <n v="295"/>
    <n v="305.2"/>
    <n v="289.08999999999997"/>
    <n v="290.42"/>
    <n v="33121758"/>
    <x v="1715"/>
    <x v="7"/>
    <n v="-1.5525423728813506E-2"/>
  </r>
  <r>
    <d v="2022-08-09T00:00:00"/>
    <n v="290.29000000000002"/>
    <n v="292.39999999999998"/>
    <n v="279.35000000000002"/>
    <n v="283.33"/>
    <n v="28748227"/>
    <x v="1716"/>
    <x v="7"/>
    <n v="-2.3976023976024101E-2"/>
  </r>
  <r>
    <d v="2022-08-10T00:00:00"/>
    <n v="297.07"/>
    <n v="297.51"/>
    <n v="283.37"/>
    <n v="294.36"/>
    <n v="31639624"/>
    <x v="1717"/>
    <x v="7"/>
    <n v="-9.1224290571245148E-3"/>
  </r>
  <r>
    <d v="2022-08-11T00:00:00"/>
    <n v="296.51"/>
    <n v="298.24"/>
    <n v="285.83"/>
    <n v="286.63"/>
    <n v="23385015"/>
    <x v="1718"/>
    <x v="7"/>
    <n v="-3.3320967252369216E-2"/>
  </r>
  <r>
    <d v="2022-08-12T00:00:00"/>
    <n v="289.42"/>
    <n v="300.16000000000003"/>
    <n v="285.02999999999997"/>
    <n v="300.02999999999997"/>
    <n v="26552429"/>
    <x v="1719"/>
    <x v="7"/>
    <n v="3.6659525948448471E-2"/>
  </r>
  <r>
    <d v="2022-08-15T00:00:00"/>
    <n v="301.79000000000002"/>
    <n v="313.13"/>
    <n v="301.23"/>
    <n v="309.32"/>
    <n v="29786389"/>
    <x v="1720"/>
    <x v="7"/>
    <n v="2.4951124954438426E-2"/>
  </r>
  <r>
    <d v="2022-08-16T00:00:00"/>
    <n v="311.67"/>
    <n v="314.67"/>
    <n v="302.88"/>
    <n v="306.56"/>
    <n v="29378774"/>
    <x v="1721"/>
    <x v="7"/>
    <n v="-1.6395546571694463E-2"/>
  </r>
  <r>
    <d v="2022-08-17T00:00:00"/>
    <n v="303.39999999999998"/>
    <n v="309.66000000000003"/>
    <n v="300.02999999999997"/>
    <n v="304"/>
    <n v="22921990"/>
    <x v="1722"/>
    <x v="7"/>
    <n v="1.9775873434410771E-3"/>
  </r>
  <r>
    <d v="2022-08-18T00:00:00"/>
    <n v="306"/>
    <n v="306.5"/>
    <n v="301.85000000000002"/>
    <n v="302.87"/>
    <n v="15833512"/>
    <x v="1723"/>
    <x v="7"/>
    <n v="-1.0228758169934626E-2"/>
  </r>
  <r>
    <d v="2022-08-19T00:00:00"/>
    <n v="299"/>
    <n v="300.36"/>
    <n v="292.5"/>
    <n v="296.67"/>
    <n v="20465129"/>
    <x v="1724"/>
    <x v="7"/>
    <n v="-7.7926421404681742E-3"/>
  </r>
  <r>
    <d v="2022-08-22T00:00:00"/>
    <n v="291.91000000000003"/>
    <n v="292.39999999999998"/>
    <n v="286.3"/>
    <n v="289.91000000000003"/>
    <n v="18614449"/>
    <x v="1725"/>
    <x v="7"/>
    <n v="-6.8514268096331052E-3"/>
  </r>
  <r>
    <d v="2022-08-23T00:00:00"/>
    <n v="291.45"/>
    <n v="298.83"/>
    <n v="287.92"/>
    <n v="296.45"/>
    <n v="21328348"/>
    <x v="1726"/>
    <x v="7"/>
    <n v="1.71556013038257E-2"/>
  </r>
  <r>
    <d v="2022-08-24T00:00:00"/>
    <n v="297.56"/>
    <n v="303.64999999999998"/>
    <n v="296.5"/>
    <n v="297.10000000000002"/>
    <n v="19086572"/>
    <x v="1727"/>
    <x v="7"/>
    <n v="-1.5459067078907767E-3"/>
  </r>
  <r>
    <d v="2022-08-25T00:00:00"/>
    <n v="302.36"/>
    <n v="302.95999999999998"/>
    <n v="291.60000000000002"/>
    <n v="296.07"/>
    <n v="53230013"/>
    <x v="1728"/>
    <x v="7"/>
    <n v="-2.0803016271993716E-2"/>
  </r>
  <r>
    <d v="2022-08-26T00:00:00"/>
    <n v="297.43"/>
    <n v="302"/>
    <n v="287.47000000000003"/>
    <n v="288.08999999999997"/>
    <n v="57163947"/>
    <x v="1729"/>
    <x v="7"/>
    <n v="-3.1402346770668832E-2"/>
  </r>
  <r>
    <d v="2022-08-29T00:00:00"/>
    <n v="282.83"/>
    <n v="287.74"/>
    <n v="280.7"/>
    <n v="284.82"/>
    <n v="41864742"/>
    <x v="1730"/>
    <x v="7"/>
    <n v="7.0360287098257231E-3"/>
  </r>
  <r>
    <d v="2022-08-30T00:00:00"/>
    <n v="287.87"/>
    <n v="288.48"/>
    <n v="272.64999999999998"/>
    <n v="277.7"/>
    <n v="50541759"/>
    <x v="1731"/>
    <x v="7"/>
    <n v="-3.532844686837814E-2"/>
  </r>
  <r>
    <d v="2022-08-31T00:00:00"/>
    <n v="280.62"/>
    <n v="281.25"/>
    <n v="271.81"/>
    <n v="275.61"/>
    <n v="52107337"/>
    <x v="1732"/>
    <x v="7"/>
    <n v="-1.7853324780842388E-2"/>
  </r>
  <r>
    <d v="2022-09-01T00:00:00"/>
    <n v="272.58"/>
    <n v="277.58"/>
    <n v="266.14999999999998"/>
    <n v="277.16000000000003"/>
    <n v="54287024"/>
    <x v="1733"/>
    <x v="7"/>
    <n v="1.6802406632915257E-2"/>
  </r>
  <r>
    <d v="2022-09-02T00:00:00"/>
    <n v="281.07"/>
    <n v="282.35000000000002"/>
    <n v="269.08"/>
    <n v="270.20999999999998"/>
    <n v="50890090"/>
    <x v="1734"/>
    <x v="7"/>
    <n v="-3.8638061692816784E-2"/>
  </r>
  <r>
    <d v="2022-09-06T00:00:00"/>
    <n v="272.68"/>
    <n v="275.99"/>
    <n v="265.74"/>
    <n v="274.42"/>
    <n v="55859984"/>
    <x v="1735"/>
    <x v="7"/>
    <n v="6.3811060583834865E-3"/>
  </r>
  <r>
    <d v="2022-09-07T00:00:00"/>
    <n v="273.10000000000002"/>
    <n v="283.83999999999997"/>
    <n v="272.27"/>
    <n v="283.7"/>
    <n v="50028916"/>
    <x v="1736"/>
    <x v="7"/>
    <n v="3.8813621384108259E-2"/>
  </r>
  <r>
    <d v="2022-09-08T00:00:00"/>
    <n v="281.3"/>
    <n v="289.5"/>
    <n v="279.76"/>
    <n v="289.26"/>
    <n v="53713124"/>
    <x v="1737"/>
    <x v="7"/>
    <n v="2.8297191610380305E-2"/>
  </r>
  <r>
    <d v="2022-09-09T00:00:00"/>
    <n v="291.67"/>
    <n v="299.85000000000002"/>
    <n v="291.25"/>
    <n v="299.68"/>
    <n v="54470854"/>
    <x v="1738"/>
    <x v="7"/>
    <n v="2.7462543285219566E-2"/>
  </r>
  <r>
    <d v="2022-09-12T00:00:00"/>
    <n v="300.72000000000003"/>
    <n v="305.49"/>
    <n v="300.39999999999998"/>
    <n v="304.42"/>
    <n v="48674604"/>
    <x v="1739"/>
    <x v="7"/>
    <n v="1.2303804203245505E-2"/>
  </r>
  <r>
    <d v="2022-09-13T00:00:00"/>
    <n v="292.89999999999998"/>
    <n v="297.39999999999998"/>
    <n v="290.39999999999998"/>
    <n v="292.13"/>
    <n v="68229619"/>
    <x v="1740"/>
    <x v="7"/>
    <n v="-2.6288835780129117E-3"/>
  </r>
  <r>
    <d v="2022-09-14T00:00:00"/>
    <n v="292.24"/>
    <n v="306"/>
    <n v="291.64"/>
    <n v="302.61"/>
    <n v="72628653"/>
    <x v="1741"/>
    <x v="7"/>
    <n v="3.5484533260333989E-2"/>
  </r>
  <r>
    <d v="2022-09-15T00:00:00"/>
    <n v="301.83"/>
    <n v="309.12"/>
    <n v="300.72000000000003"/>
    <n v="303.75"/>
    <n v="64795523"/>
    <x v="1742"/>
    <x v="7"/>
    <n v="6.3611967001292648E-3"/>
  </r>
  <r>
    <d v="2022-09-16T00:00:00"/>
    <n v="299.61"/>
    <n v="303.70999999999998"/>
    <n v="295.60000000000002"/>
    <n v="303.35000000000002"/>
    <n v="87087786"/>
    <x v="1743"/>
    <x v="7"/>
    <n v="1.2482894429424948E-2"/>
  </r>
  <r>
    <d v="2022-09-19T00:00:00"/>
    <n v="300.08999999999997"/>
    <n v="309.83999999999997"/>
    <n v="297.8"/>
    <n v="309.07"/>
    <n v="60231156"/>
    <x v="1744"/>
    <x v="7"/>
    <n v="2.9924356026525437E-2"/>
  </r>
  <r>
    <d v="2022-09-20T00:00:00"/>
    <n v="306.91000000000003"/>
    <n v="313.33"/>
    <n v="305.58"/>
    <n v="308.73"/>
    <n v="61642783"/>
    <x v="1745"/>
    <x v="7"/>
    <n v="5.9300772213352225E-3"/>
  </r>
  <r>
    <d v="2022-09-21T00:00:00"/>
    <n v="308.29000000000002"/>
    <n v="313.8"/>
    <n v="300.63"/>
    <n v="300.8"/>
    <n v="62555656"/>
    <x v="1746"/>
    <x v="7"/>
    <n v="-2.4295306367381388E-2"/>
  </r>
  <r>
    <d v="2022-09-22T00:00:00"/>
    <n v="299.86"/>
    <n v="301.29000000000002"/>
    <n v="285.82"/>
    <n v="288.58999999999997"/>
    <n v="70545413"/>
    <x v="1747"/>
    <x v="7"/>
    <n v="-3.7584205962782759E-2"/>
  </r>
  <r>
    <d v="2022-09-23T00:00:00"/>
    <n v="283.08999999999997"/>
    <n v="284.5"/>
    <n v="272.82"/>
    <n v="275.33"/>
    <n v="63748362"/>
    <x v="1748"/>
    <x v="7"/>
    <n v="-2.7411777173337072E-2"/>
  </r>
  <r>
    <d v="2022-09-26T00:00:00"/>
    <n v="271.83"/>
    <n v="284.08999999999997"/>
    <n v="270.31"/>
    <n v="276.01"/>
    <n v="58076913"/>
    <x v="1749"/>
    <x v="7"/>
    <n v="1.5377257844976665E-2"/>
  </r>
  <r>
    <d v="2022-09-27T00:00:00"/>
    <n v="283.83999999999997"/>
    <n v="288.67"/>
    <n v="277.51"/>
    <n v="282.94"/>
    <n v="61925185"/>
    <x v="1750"/>
    <x v="7"/>
    <n v="-3.1708004509582066E-3"/>
  </r>
  <r>
    <d v="2022-09-28T00:00:00"/>
    <n v="283.08"/>
    <n v="289"/>
    <n v="277.57"/>
    <n v="287.81"/>
    <n v="54664809"/>
    <x v="1751"/>
    <x v="7"/>
    <n v="1.670905751024452E-2"/>
  </r>
  <r>
    <d v="2022-09-29T00:00:00"/>
    <n v="282.76"/>
    <n v="283.64999999999998"/>
    <n v="265.77999999999997"/>
    <n v="268.20999999999998"/>
    <n v="77620642"/>
    <x v="1752"/>
    <x v="7"/>
    <n v="-5.1457066063092416E-2"/>
  </r>
  <r>
    <d v="2022-09-30T00:00:00"/>
    <n v="266.14999999999998"/>
    <n v="275.57"/>
    <n v="262.47000000000003"/>
    <n v="265.25"/>
    <n v="67726598"/>
    <x v="1753"/>
    <x v="7"/>
    <n v="-3.3815517565281882E-3"/>
  </r>
  <r>
    <d v="2022-10-03T00:00:00"/>
    <n v="254.5"/>
    <n v="255.16"/>
    <n v="241.01"/>
    <n v="242.4"/>
    <n v="98363541"/>
    <x v="1754"/>
    <x v="7"/>
    <n v="-4.754420432220037E-2"/>
  </r>
  <r>
    <d v="2022-10-04T00:00:00"/>
    <n v="250.52"/>
    <n v="257.5"/>
    <n v="242.01"/>
    <n v="249.44"/>
    <n v="109578535"/>
    <x v="1755"/>
    <x v="7"/>
    <n v="-4.311033051253443E-3"/>
  </r>
  <r>
    <d v="2022-10-05T00:00:00"/>
    <n v="245.01"/>
    <n v="246.67"/>
    <n v="233.27"/>
    <n v="240.81"/>
    <n v="86982673"/>
    <x v="1756"/>
    <x v="7"/>
    <n v="-1.7142157462960651E-2"/>
  </r>
  <r>
    <d v="2022-10-06T00:00:00"/>
    <n v="239.44"/>
    <n v="244.58"/>
    <n v="235.35"/>
    <n v="238.13"/>
    <n v="69298437"/>
    <x v="1757"/>
    <x v="7"/>
    <n v="-5.4710992315402706E-3"/>
  </r>
  <r>
    <d v="2022-10-07T00:00:00"/>
    <n v="233.94"/>
    <n v="234.57"/>
    <n v="222.02"/>
    <n v="223.07"/>
    <n v="83916800"/>
    <x v="1758"/>
    <x v="7"/>
    <n v="-4.646490553133284E-2"/>
  </r>
  <r>
    <d v="2022-10-10T00:00:00"/>
    <n v="223.93"/>
    <n v="226.99"/>
    <n v="218.36"/>
    <n v="222.96"/>
    <n v="67925018"/>
    <x v="1759"/>
    <x v="7"/>
    <n v="-4.3317108024829134E-3"/>
  </r>
  <r>
    <d v="2022-10-11T00:00:00"/>
    <n v="220.95"/>
    <n v="225.75"/>
    <n v="215"/>
    <n v="216.5"/>
    <n v="77013202"/>
    <x v="1760"/>
    <x v="7"/>
    <n v="-2.01403032360262E-2"/>
  </r>
  <r>
    <d v="2022-10-12T00:00:00"/>
    <n v="215.33"/>
    <n v="219.3"/>
    <n v="211.51"/>
    <n v="217.24"/>
    <n v="66860699"/>
    <x v="1761"/>
    <x v="7"/>
    <n v="8.8701063483954696E-3"/>
  </r>
  <r>
    <d v="2022-10-13T00:00:00"/>
    <n v="208.3"/>
    <n v="222.99"/>
    <n v="206.22"/>
    <n v="221.72"/>
    <n v="91483045"/>
    <x v="1762"/>
    <x v="7"/>
    <n v="6.4426308209313429E-2"/>
  </r>
  <r>
    <d v="2022-10-14T00:00:00"/>
    <n v="224.01"/>
    <n v="226.26"/>
    <n v="204.16"/>
    <n v="204.99"/>
    <n v="94124511"/>
    <x v="1763"/>
    <x v="7"/>
    <n v="-8.4906923798044653E-2"/>
  </r>
  <r>
    <d v="2022-10-17T00:00:00"/>
    <n v="210.04"/>
    <n v="221.86"/>
    <n v="209.45"/>
    <n v="219.35"/>
    <n v="79428810"/>
    <x v="1764"/>
    <x v="7"/>
    <n v="4.4324890497048193E-2"/>
  </r>
  <r>
    <d v="2022-10-18T00:00:00"/>
    <n v="229.5"/>
    <n v="229.82"/>
    <n v="217.25"/>
    <n v="220.19"/>
    <n v="75891905"/>
    <x v="1765"/>
    <x v="7"/>
    <n v="-4.0566448801742927E-2"/>
  </r>
  <r>
    <d v="2022-10-19T00:00:00"/>
    <n v="219.8"/>
    <n v="222.93"/>
    <n v="217.78"/>
    <n v="222.04"/>
    <n v="66571479"/>
    <x v="1766"/>
    <x v="7"/>
    <n v="1.0191082802547682E-2"/>
  </r>
  <r>
    <d v="2022-10-20T00:00:00"/>
    <n v="208.28"/>
    <n v="215.55"/>
    <n v="202"/>
    <n v="207.28"/>
    <n v="117798062"/>
    <x v="1767"/>
    <x v="7"/>
    <n v="-4.8012291146533517E-3"/>
  </r>
  <r>
    <d v="2022-10-21T00:00:00"/>
    <n v="206.42"/>
    <n v="214.66"/>
    <n v="203.8"/>
    <n v="214.44"/>
    <n v="75713754"/>
    <x v="1768"/>
    <x v="7"/>
    <n v="3.8852824338726923E-2"/>
  </r>
  <r>
    <d v="2022-10-24T00:00:00"/>
    <n v="205.82"/>
    <n v="213.5"/>
    <n v="198.59"/>
    <n v="211.25"/>
    <n v="100446765"/>
    <x v="1769"/>
    <x v="7"/>
    <n v="2.6382275774949018E-2"/>
  </r>
  <r>
    <d v="2022-10-25T00:00:00"/>
    <n v="210.1"/>
    <n v="224.35"/>
    <n v="210"/>
    <n v="222.42"/>
    <n v="96507870"/>
    <x v="1770"/>
    <x v="7"/>
    <n v="5.8638743455497348E-2"/>
  </r>
  <r>
    <d v="2022-10-26T00:00:00"/>
    <n v="219.4"/>
    <n v="230.6"/>
    <n v="218.2"/>
    <n v="224.64"/>
    <n v="85327078"/>
    <x v="1771"/>
    <x v="7"/>
    <n v="2.3883318140382772E-2"/>
  </r>
  <r>
    <d v="2022-10-27T00:00:00"/>
    <n v="229.77"/>
    <n v="233.81"/>
    <n v="222.85"/>
    <n v="225.09"/>
    <n v="61638824"/>
    <x v="1772"/>
    <x v="7"/>
    <n v="-2.0368194281237789E-2"/>
  </r>
  <r>
    <d v="2022-10-28T00:00:00"/>
    <n v="225.4"/>
    <n v="228.86"/>
    <n v="216.35"/>
    <n v="228.52"/>
    <n v="69152386"/>
    <x v="1773"/>
    <x v="7"/>
    <n v="1.3842058562555477E-2"/>
  </r>
  <r>
    <d v="2022-10-31T00:00:00"/>
    <n v="226.19"/>
    <n v="229.85"/>
    <n v="221.94"/>
    <n v="227.54"/>
    <n v="61554341"/>
    <x v="1774"/>
    <x v="7"/>
    <n v="5.9684336177549596E-3"/>
  </r>
  <r>
    <d v="2022-11-01T00:00:00"/>
    <n v="234.05"/>
    <n v="237.4"/>
    <n v="227.28"/>
    <n v="227.82"/>
    <n v="62688822"/>
    <x v="1775"/>
    <x v="7"/>
    <n v="-2.6618243964964827E-2"/>
  </r>
  <r>
    <d v="2022-11-02T00:00:00"/>
    <n v="226.04"/>
    <n v="227.87"/>
    <n v="214.82"/>
    <n v="214.98"/>
    <n v="63070293"/>
    <x v="1776"/>
    <x v="7"/>
    <n v="-4.8929393027782708E-2"/>
  </r>
  <r>
    <d v="2022-11-03T00:00:00"/>
    <n v="211.36"/>
    <n v="221.2"/>
    <n v="210.14"/>
    <n v="215.31"/>
    <n v="56538848"/>
    <x v="1777"/>
    <x v="7"/>
    <n v="1.8688493565480642E-2"/>
  </r>
  <r>
    <d v="2022-11-04T00:00:00"/>
    <n v="222.6"/>
    <n v="223.8"/>
    <n v="203.08"/>
    <n v="207.47"/>
    <n v="98622212"/>
    <x v="1778"/>
    <x v="7"/>
    <n v="-6.7969451931716066E-2"/>
  </r>
  <r>
    <d v="2022-11-07T00:00:00"/>
    <n v="208.65"/>
    <n v="208.9"/>
    <n v="196.66"/>
    <n v="197.08"/>
    <n v="93916520"/>
    <x v="1779"/>
    <x v="7"/>
    <n v="-5.5451713395638598E-2"/>
  </r>
  <r>
    <d v="2022-11-08T00:00:00"/>
    <n v="194.02"/>
    <n v="195.2"/>
    <n v="186.75"/>
    <n v="191.3"/>
    <n v="128803404"/>
    <x v="1780"/>
    <x v="7"/>
    <n v="-1.4019173281105034E-2"/>
  </r>
  <r>
    <d v="2022-11-09T00:00:00"/>
    <n v="190.78"/>
    <n v="195.89"/>
    <n v="177.12"/>
    <n v="177.59"/>
    <n v="127062659"/>
    <x v="1781"/>
    <x v="7"/>
    <n v="-6.913722612433168E-2"/>
  </r>
  <r>
    <d v="2022-11-10T00:00:00"/>
    <n v="189.9"/>
    <n v="191"/>
    <n v="180.03"/>
    <n v="190.72"/>
    <n v="132703015"/>
    <x v="1782"/>
    <x v="7"/>
    <n v="4.3180621379673148E-3"/>
  </r>
  <r>
    <d v="2022-11-11T00:00:00"/>
    <n v="186"/>
    <n v="196.52"/>
    <n v="182.59"/>
    <n v="195.97"/>
    <n v="114403575"/>
    <x v="1783"/>
    <x v="7"/>
    <n v="5.3602150537634403E-2"/>
  </r>
  <r>
    <d v="2022-11-14T00:00:00"/>
    <n v="192.77"/>
    <n v="195.73"/>
    <n v="186.34"/>
    <n v="190.95"/>
    <n v="92226649"/>
    <x v="1784"/>
    <x v="7"/>
    <n v="-9.4413031073300908E-3"/>
  </r>
  <r>
    <d v="2022-11-15T00:00:00"/>
    <n v="195.88"/>
    <n v="200.82"/>
    <n v="192.06"/>
    <n v="194.42"/>
    <n v="91293785"/>
    <x v="1785"/>
    <x v="7"/>
    <n v="-7.4535429855013685E-3"/>
  </r>
  <r>
    <d v="2022-11-16T00:00:00"/>
    <n v="191.51"/>
    <n v="192.57"/>
    <n v="185.66"/>
    <n v="186.92"/>
    <n v="66567599"/>
    <x v="1786"/>
    <x v="7"/>
    <n v="-2.3967416845073385E-2"/>
  </r>
  <r>
    <d v="2022-11-17T00:00:00"/>
    <n v="183.96"/>
    <n v="186.16"/>
    <n v="180.9"/>
    <n v="183.17"/>
    <n v="64335970"/>
    <x v="1787"/>
    <x v="7"/>
    <n v="-4.2944118286585148E-3"/>
  </r>
  <r>
    <d v="2022-11-18T00:00:00"/>
    <n v="185.05"/>
    <n v="185.19"/>
    <n v="176.55"/>
    <n v="180.19"/>
    <n v="76048866"/>
    <x v="1788"/>
    <x v="7"/>
    <n v="-2.6263172115644492E-2"/>
  </r>
  <r>
    <d v="2022-11-21T00:00:00"/>
    <n v="175.85"/>
    <n v="176.77"/>
    <n v="167.54"/>
    <n v="167.87"/>
    <n v="92882712"/>
    <x v="1789"/>
    <x v="7"/>
    <n v="-4.537958487347165E-2"/>
  </r>
  <r>
    <d v="2022-11-22T00:00:00"/>
    <n v="168.63"/>
    <n v="170.92"/>
    <n v="166.19"/>
    <n v="169.91"/>
    <n v="78452327"/>
    <x v="1790"/>
    <x v="7"/>
    <n v="7.5905829330486932E-3"/>
  </r>
  <r>
    <d v="2022-11-23T00:00:00"/>
    <n v="173.57"/>
    <n v="183.62"/>
    <n v="172.5"/>
    <n v="183.2"/>
    <n v="109536709"/>
    <x v="1791"/>
    <x v="7"/>
    <n v="5.5481938122947487E-2"/>
  </r>
  <r>
    <d v="2022-11-25T00:00:00"/>
    <n v="185.06"/>
    <n v="185.2"/>
    <n v="180.63"/>
    <n v="182.86"/>
    <n v="50672739"/>
    <x v="1792"/>
    <x v="7"/>
    <n v="-1.188803631254722E-2"/>
  </r>
  <r>
    <d v="2022-11-28T00:00:00"/>
    <n v="179.96"/>
    <n v="188.5"/>
    <n v="179"/>
    <n v="182.92"/>
    <n v="93038148"/>
    <x v="1793"/>
    <x v="7"/>
    <n v="1.6448099577683815E-2"/>
  </r>
  <r>
    <d v="2022-11-29T00:00:00"/>
    <n v="184.99"/>
    <n v="186.38"/>
    <n v="178.75"/>
    <n v="180.83"/>
    <n v="83357111"/>
    <x v="1794"/>
    <x v="7"/>
    <n v="-2.2487702037947976E-2"/>
  </r>
  <r>
    <d v="2022-11-30T00:00:00"/>
    <n v="182.43"/>
    <n v="194.76"/>
    <n v="180.63"/>
    <n v="194.7"/>
    <n v="109186404"/>
    <x v="168"/>
    <x v="7"/>
    <n v="6.7258674560105147E-2"/>
  </r>
  <r>
    <d v="2022-12-01T00:00:00"/>
    <n v="197.08"/>
    <n v="198.92"/>
    <n v="191.8"/>
    <n v="194.7"/>
    <n v="80046213"/>
    <x v="1795"/>
    <x v="7"/>
    <n v="-1.207631418713225E-2"/>
  </r>
  <r>
    <d v="2022-12-02T00:00:00"/>
    <n v="191.78"/>
    <n v="196.25"/>
    <n v="191.11"/>
    <n v="194.86"/>
    <n v="73645922"/>
    <x v="1796"/>
    <x v="7"/>
    <n v="1.6060068828866476E-2"/>
  </r>
  <r>
    <d v="2022-12-05T00:00:00"/>
    <n v="189.44"/>
    <n v="191.27"/>
    <n v="180.55"/>
    <n v="182.45"/>
    <n v="93122667"/>
    <x v="1797"/>
    <x v="7"/>
    <n v="-3.6898226351351399E-2"/>
  </r>
  <r>
    <d v="2022-12-06T00:00:00"/>
    <n v="181.22"/>
    <n v="183.65"/>
    <n v="175.33"/>
    <n v="179.82"/>
    <n v="92150823"/>
    <x v="1798"/>
    <x v="7"/>
    <n v="-7.7254166206820758E-3"/>
  </r>
  <r>
    <d v="2022-12-07T00:00:00"/>
    <n v="175.03"/>
    <n v="179.38"/>
    <n v="172.22"/>
    <n v="174.04"/>
    <n v="84213284"/>
    <x v="1799"/>
    <x v="7"/>
    <n v="-5.6561732274467754E-3"/>
  </r>
  <r>
    <d v="2022-12-08T00:00:00"/>
    <n v="172.2"/>
    <n v="175.2"/>
    <n v="169.06"/>
    <n v="173.44"/>
    <n v="97624491"/>
    <x v="1800"/>
    <x v="7"/>
    <n v="7.2009291521487172E-3"/>
  </r>
  <r>
    <d v="2022-12-09T00:00:00"/>
    <n v="173.84"/>
    <n v="182.5"/>
    <n v="173.36"/>
    <n v="179.05"/>
    <n v="104872336"/>
    <x v="1801"/>
    <x v="7"/>
    <n v="2.9970087436723469E-2"/>
  </r>
  <r>
    <d v="2022-12-12T00:00:00"/>
    <n v="176.1"/>
    <n v="177.37"/>
    <n v="167.52"/>
    <n v="167.82"/>
    <n v="109794471"/>
    <x v="1802"/>
    <x v="7"/>
    <n v="-4.7018739352640553E-2"/>
  </r>
  <r>
    <d v="2022-12-13T00:00:00"/>
    <n v="174.87"/>
    <n v="175.05"/>
    <n v="156.91"/>
    <n v="160.94999999999999"/>
    <n v="175862722"/>
    <x v="1803"/>
    <x v="7"/>
    <n v="-7.9601990049751339E-2"/>
  </r>
  <r>
    <d v="2022-12-14T00:00:00"/>
    <n v="159.25"/>
    <n v="161.62"/>
    <n v="155.31"/>
    <n v="156.80000000000001"/>
    <n v="140682338"/>
    <x v="1804"/>
    <x v="7"/>
    <n v="-1.5384615384615313E-2"/>
  </r>
  <r>
    <d v="2022-12-15T00:00:00"/>
    <n v="153.44"/>
    <n v="160.93"/>
    <n v="153.28"/>
    <n v="157.66999999999999"/>
    <n v="122334459"/>
    <x v="1805"/>
    <x v="7"/>
    <n v="2.756777893639201E-2"/>
  </r>
  <r>
    <d v="2022-12-16T00:00:00"/>
    <n v="159.63999999999999"/>
    <n v="160.99"/>
    <n v="150.04"/>
    <n v="150.22999999999999"/>
    <n v="139032175"/>
    <x v="1806"/>
    <x v="7"/>
    <n v="-5.8945126534703067E-2"/>
  </r>
  <r>
    <d v="2022-12-19T00:00:00"/>
    <n v="154"/>
    <n v="155.25"/>
    <n v="145.82"/>
    <n v="149.87"/>
    <n v="139390634"/>
    <x v="1807"/>
    <x v="7"/>
    <n v="-2.681818181818179E-2"/>
  </r>
  <r>
    <d v="2022-12-20T00:00:00"/>
    <n v="146.05000000000001"/>
    <n v="148.47"/>
    <n v="137.66"/>
    <n v="137.80000000000001"/>
    <n v="159563267"/>
    <x v="1808"/>
    <x v="7"/>
    <n v="-5.6487504279356379E-2"/>
  </r>
  <r>
    <d v="2022-12-21T00:00:00"/>
    <n v="139.34"/>
    <n v="141.26"/>
    <n v="135.88999999999999"/>
    <n v="137.57"/>
    <n v="145417412"/>
    <x v="1809"/>
    <x v="7"/>
    <n v="-1.2702741495622292E-2"/>
  </r>
  <r>
    <d v="2022-12-22T00:00:00"/>
    <n v="136"/>
    <n v="136.63"/>
    <n v="122.26"/>
    <n v="125.35"/>
    <n v="210090250"/>
    <x v="1810"/>
    <x v="7"/>
    <n v="-7.8308823529411806E-2"/>
  </r>
  <r>
    <d v="2022-12-23T00:00:00"/>
    <n v="126.37"/>
    <n v="128.62"/>
    <n v="121.02"/>
    <n v="123.15"/>
    <n v="166989688"/>
    <x v="1811"/>
    <x v="7"/>
    <n v="-2.5480731186199247E-2"/>
  </r>
  <r>
    <d v="2022-12-27T00:00:00"/>
    <n v="117.5"/>
    <n v="119.67"/>
    <n v="108.76"/>
    <n v="109.1"/>
    <n v="208643444"/>
    <x v="1812"/>
    <x v="7"/>
    <n v="-7.1489361702127704E-2"/>
  </r>
  <r>
    <d v="2022-12-28T00:00:00"/>
    <n v="110.35"/>
    <n v="116.27"/>
    <n v="108.24"/>
    <n v="112.71"/>
    <n v="221070537"/>
    <x v="1813"/>
    <x v="7"/>
    <n v="2.1386497507929311E-2"/>
  </r>
  <r>
    <d v="2022-12-29T00:00:00"/>
    <n v="120.39"/>
    <n v="123.57"/>
    <n v="117.5"/>
    <n v="121.82"/>
    <n v="221923313"/>
    <x v="1814"/>
    <x v="7"/>
    <n v="1.1878062962039975E-2"/>
  </r>
  <r>
    <d v="2022-12-30T00:00:00"/>
    <n v="119.95"/>
    <n v="124.48"/>
    <n v="119.75"/>
    <n v="123.18"/>
    <n v="157777339"/>
    <x v="1815"/>
    <x v="7"/>
    <n v="2.6927886619424794E-2"/>
  </r>
  <r>
    <d v="2023-01-03T00:00:00"/>
    <n v="118.47"/>
    <n v="118.8"/>
    <n v="104.64"/>
    <n v="108.1"/>
    <n v="231402818"/>
    <x v="1816"/>
    <x v="8"/>
    <n v="-8.7532708702625181E-2"/>
  </r>
  <r>
    <d v="2023-01-04T00:00:00"/>
    <n v="109.11"/>
    <n v="114.59"/>
    <n v="107.52"/>
    <n v="113.64"/>
    <n v="180388976"/>
    <x v="1817"/>
    <x v="8"/>
    <n v="4.1517734396480627E-2"/>
  </r>
  <r>
    <d v="2023-01-05T00:00:00"/>
    <n v="110.51"/>
    <n v="111.75"/>
    <n v="107.16"/>
    <n v="110.34"/>
    <n v="157986324"/>
    <x v="1818"/>
    <x v="8"/>
    <n v="-1.5383223237716197E-3"/>
  </r>
  <r>
    <d v="2023-01-06T00:00:00"/>
    <n v="103"/>
    <n v="114.39"/>
    <n v="101.81"/>
    <n v="113.06"/>
    <n v="220911051"/>
    <x v="1819"/>
    <x v="8"/>
    <n v="9.7669902912621384E-2"/>
  </r>
  <r>
    <d v="2023-01-09T00:00:00"/>
    <n v="118.96"/>
    <n v="123.52"/>
    <n v="117.11"/>
    <n v="119.77"/>
    <n v="190283951"/>
    <x v="1820"/>
    <x v="8"/>
    <n v="6.8090114324142765E-3"/>
  </r>
  <r>
    <d v="2023-01-10T00:00:00"/>
    <n v="121.07"/>
    <n v="122.76"/>
    <n v="114.92"/>
    <n v="118.85"/>
    <n v="167642485"/>
    <x v="1821"/>
    <x v="8"/>
    <n v="-1.8336499545717345E-2"/>
  </r>
  <r>
    <d v="2023-01-11T00:00:00"/>
    <n v="122.09"/>
    <n v="125.95"/>
    <n v="120.51"/>
    <n v="123.22"/>
    <n v="183810771"/>
    <x v="1822"/>
    <x v="8"/>
    <n v="9.2554672782373289E-3"/>
  </r>
  <r>
    <d v="2023-01-12T00:00:00"/>
    <n v="122.56"/>
    <n v="124.13"/>
    <n v="117"/>
    <n v="123.56"/>
    <n v="169400913"/>
    <x v="1823"/>
    <x v="8"/>
    <n v="8.1592689295039156E-3"/>
  </r>
  <r>
    <d v="2023-01-13T00:00:00"/>
    <n v="116.55"/>
    <n v="122.63"/>
    <n v="115.6"/>
    <n v="122.4"/>
    <n v="180714119"/>
    <x v="1824"/>
    <x v="8"/>
    <n v="5.0193050193050266E-2"/>
  </r>
  <r>
    <d v="2023-01-17T00:00:00"/>
    <n v="125.7"/>
    <n v="131.69999999999999"/>
    <n v="125.02"/>
    <n v="131.49"/>
    <n v="186476985"/>
    <x v="1825"/>
    <x v="8"/>
    <n v="4.6062052505966636E-2"/>
  </r>
  <r>
    <d v="2023-01-18T00:00:00"/>
    <n v="136.56"/>
    <n v="136.68"/>
    <n v="127.01"/>
    <n v="128.78"/>
    <n v="195680318"/>
    <x v="1826"/>
    <x v="8"/>
    <n v="-5.6971294669009964E-2"/>
  </r>
  <r>
    <d v="2023-01-19T00:00:00"/>
    <n v="127.26"/>
    <n v="129.99"/>
    <n v="124.31"/>
    <n v="127.17"/>
    <n v="170291880"/>
    <x v="1827"/>
    <x v="8"/>
    <n v="-7.0721357850073402E-4"/>
  </r>
  <r>
    <d v="2023-01-20T00:00:00"/>
    <n v="128.68"/>
    <n v="133.51"/>
    <n v="127.35"/>
    <n v="133.41999999999999"/>
    <n v="138858136"/>
    <x v="1828"/>
    <x v="8"/>
    <n v="3.6835561081753031E-2"/>
  </r>
  <r>
    <d v="2023-01-23T00:00:00"/>
    <n v="135.87"/>
    <n v="145.38"/>
    <n v="134.27000000000001"/>
    <n v="143.75"/>
    <n v="203119211"/>
    <x v="1829"/>
    <x v="8"/>
    <n v="5.7996614410833848E-2"/>
  </r>
  <r>
    <d v="2023-01-24T00:00:00"/>
    <n v="143"/>
    <n v="146.5"/>
    <n v="141.1"/>
    <n v="143.88999999999999"/>
    <n v="158699056"/>
    <x v="1830"/>
    <x v="8"/>
    <n v="6.2237762237761281E-3"/>
  </r>
  <r>
    <d v="2023-01-25T00:00:00"/>
    <n v="141.91"/>
    <n v="146.41"/>
    <n v="138.07"/>
    <n v="144.43"/>
    <n v="192734347"/>
    <x v="1831"/>
    <x v="8"/>
    <n v="1.7757733774927845E-2"/>
  </r>
  <r>
    <d v="2023-01-26T00:00:00"/>
    <n v="159.97"/>
    <n v="161.41999999999999"/>
    <n v="154.76"/>
    <n v="160.27000000000001"/>
    <n v="234815090"/>
    <x v="1832"/>
    <x v="8"/>
    <n v="1.8753516284304018E-3"/>
  </r>
  <r>
    <d v="2023-01-27T00:00:00"/>
    <n v="162.43"/>
    <n v="180.68"/>
    <n v="161.16999999999999"/>
    <n v="177.9"/>
    <n v="306590613"/>
    <x v="1833"/>
    <x v="8"/>
    <n v="9.5241026903897047E-2"/>
  </r>
  <r>
    <d v="2023-01-30T00:00:00"/>
    <n v="178.05"/>
    <n v="179.77"/>
    <n v="166.5"/>
    <n v="166.66"/>
    <n v="230878807"/>
    <x v="1834"/>
    <x v="8"/>
    <n v="-6.3970794720584187E-2"/>
  </r>
  <r>
    <d v="2023-01-31T00:00:00"/>
    <n v="164.57"/>
    <n v="174.3"/>
    <n v="162.78"/>
    <n v="173.22"/>
    <n v="196813541"/>
    <x v="1835"/>
    <x v="8"/>
    <n v="5.2561220149480503E-2"/>
  </r>
  <r>
    <d v="2023-02-01T00:00:00"/>
    <n v="173.89"/>
    <n v="183.81"/>
    <n v="169.93"/>
    <n v="181.41"/>
    <n v="213806323"/>
    <x v="1836"/>
    <x v="8"/>
    <n v="4.3245730059232913E-2"/>
  </r>
  <r>
    <d v="2023-02-02T00:00:00"/>
    <n v="187.33"/>
    <n v="196.75"/>
    <n v="182.61"/>
    <n v="188.27"/>
    <n v="217448287"/>
    <x v="1837"/>
    <x v="8"/>
    <n v="5.0178828804782879E-3"/>
  </r>
  <r>
    <d v="2023-02-03T00:00:00"/>
    <n v="183.95"/>
    <n v="199"/>
    <n v="183.69"/>
    <n v="189.98"/>
    <n v="232662023"/>
    <x v="1838"/>
    <x v="8"/>
    <n v="3.2780646914922544E-2"/>
  </r>
  <r>
    <d v="2023-02-06T00:00:00"/>
    <n v="193.01"/>
    <n v="198.17"/>
    <n v="189.92"/>
    <n v="194.76"/>
    <n v="186188131"/>
    <x v="1839"/>
    <x v="8"/>
    <n v="9.0668877260245591E-3"/>
  </r>
  <r>
    <d v="2023-02-07T00:00:00"/>
    <n v="196.43"/>
    <n v="197.5"/>
    <n v="189.55"/>
    <n v="196.81"/>
    <n v="186010325"/>
    <x v="1840"/>
    <x v="8"/>
    <n v="1.934531385226266E-3"/>
  </r>
  <r>
    <d v="2023-02-08T00:00:00"/>
    <n v="196.1"/>
    <n v="203"/>
    <n v="194.31"/>
    <n v="201.29"/>
    <n v="180673644"/>
    <x v="1841"/>
    <x v="8"/>
    <n v="2.6466088730239663E-2"/>
  </r>
  <r>
    <d v="2023-02-09T00:00:00"/>
    <n v="207.78"/>
    <n v="214"/>
    <n v="204.77"/>
    <n v="207.32"/>
    <n v="215431442"/>
    <x v="1842"/>
    <x v="8"/>
    <n v="-2.2138800654538837E-3"/>
  </r>
  <r>
    <d v="2023-02-10T00:00:00"/>
    <n v="202.23"/>
    <n v="206.2"/>
    <n v="192.89"/>
    <n v="196.89"/>
    <n v="204754129"/>
    <x v="1843"/>
    <x v="8"/>
    <n v="-2.6405577807446984E-2"/>
  </r>
  <r>
    <d v="2023-02-13T00:00:00"/>
    <n v="194.42"/>
    <n v="196.3"/>
    <n v="187.61"/>
    <n v="194.64"/>
    <n v="172475452"/>
    <x v="1844"/>
    <x v="8"/>
    <n v="1.1315708260466973E-3"/>
  </r>
  <r>
    <d v="2023-02-14T00:00:00"/>
    <n v="191.94"/>
    <n v="209.82"/>
    <n v="189.44"/>
    <n v="209.25"/>
    <n v="216455708"/>
    <x v="1845"/>
    <x v="8"/>
    <n v="9.0184432635198514E-2"/>
  </r>
  <r>
    <d v="2023-02-15T00:00:00"/>
    <n v="211.76"/>
    <n v="214.66"/>
    <n v="206.11"/>
    <n v="214.24"/>
    <n v="182108581"/>
    <x v="1846"/>
    <x v="8"/>
    <n v="1.1711371363808171E-2"/>
  </r>
  <r>
    <d v="2023-02-16T00:00:00"/>
    <n v="210.78"/>
    <n v="217.65"/>
    <n v="201.84"/>
    <n v="202.04"/>
    <n v="229586538"/>
    <x v="1847"/>
    <x v="8"/>
    <n v="-4.1465034633266958E-2"/>
  </r>
  <r>
    <d v="2023-02-17T00:00:00"/>
    <n v="199.99"/>
    <n v="208.44"/>
    <n v="197.5"/>
    <n v="208.31"/>
    <n v="213738549"/>
    <x v="1848"/>
    <x v="8"/>
    <n v="4.1602080104005165E-2"/>
  </r>
  <r>
    <d v="2023-02-21T00:00:00"/>
    <n v="204.99"/>
    <n v="209.71"/>
    <n v="197.22"/>
    <n v="197.37"/>
    <n v="180018588"/>
    <x v="1849"/>
    <x v="8"/>
    <n v="-3.7172545002195252E-2"/>
  </r>
  <r>
    <d v="2023-02-22T00:00:00"/>
    <n v="197.93"/>
    <n v="201.99"/>
    <n v="191.78"/>
    <n v="200.86"/>
    <n v="191828457"/>
    <x v="1850"/>
    <x v="8"/>
    <n v="1.4803213257212179E-2"/>
  </r>
  <r>
    <d v="2023-02-23T00:00:00"/>
    <n v="203.91"/>
    <n v="205.14"/>
    <n v="196.33"/>
    <n v="202.07"/>
    <n v="146359950"/>
    <x v="1851"/>
    <x v="8"/>
    <n v="-9.0235888382129547E-3"/>
  </r>
  <r>
    <d v="2023-02-24T00:00:00"/>
    <n v="196.33"/>
    <n v="197.67"/>
    <n v="192.8"/>
    <n v="196.88"/>
    <n v="142228105"/>
    <x v="1852"/>
    <x v="8"/>
    <n v="2.8014057963631788E-3"/>
  </r>
  <r>
    <d v="2023-02-27T00:00:00"/>
    <n v="202.03"/>
    <n v="209.42"/>
    <n v="201.26"/>
    <n v="207.63"/>
    <n v="161028315"/>
    <x v="1853"/>
    <x v="8"/>
    <n v="2.7718655645201179E-2"/>
  </r>
  <r>
    <d v="2023-02-28T00:00:00"/>
    <n v="210.59"/>
    <n v="211.23"/>
    <n v="203.75"/>
    <n v="205.71"/>
    <n v="153144912"/>
    <x v="1854"/>
    <x v="8"/>
    <n v="-2.3172990170473411E-2"/>
  </r>
  <r>
    <d v="2023-03-01T00:00:00"/>
    <n v="206.21"/>
    <n v="207.2"/>
    <n v="198.52"/>
    <n v="202.77"/>
    <n v="156852790"/>
    <x v="1855"/>
    <x v="8"/>
    <n v="-1.6682023180253129E-2"/>
  </r>
  <r>
    <d v="2023-03-02T00:00:00"/>
    <n v="186.74"/>
    <n v="193.75"/>
    <n v="186.01"/>
    <n v="190.9"/>
    <n v="181979154"/>
    <x v="1856"/>
    <x v="8"/>
    <n v="2.2276962621827118E-2"/>
  </r>
  <r>
    <d v="2023-03-03T00:00:00"/>
    <n v="194.8"/>
    <n v="200.48"/>
    <n v="192.88"/>
    <n v="197.79"/>
    <n v="154193277"/>
    <x v="1857"/>
    <x v="8"/>
    <n v="1.5349075975359243E-2"/>
  </r>
  <r>
    <d v="2023-03-06T00:00:00"/>
    <n v="198.54"/>
    <n v="198.6"/>
    <n v="192.3"/>
    <n v="193.81"/>
    <n v="128100106"/>
    <x v="1858"/>
    <x v="8"/>
    <n v="-2.3823914576407725E-2"/>
  </r>
  <r>
    <d v="2023-03-07T00:00:00"/>
    <n v="191.38"/>
    <n v="194.2"/>
    <n v="186.1"/>
    <n v="187.71"/>
    <n v="148125790"/>
    <x v="1859"/>
    <x v="8"/>
    <n v="-1.9176507472045082E-2"/>
  </r>
  <r>
    <d v="2023-03-08T00:00:00"/>
    <n v="185.04"/>
    <n v="186.5"/>
    <n v="180"/>
    <n v="182"/>
    <n v="151897763"/>
    <x v="1860"/>
    <x v="8"/>
    <n v="-1.6428880242109773E-2"/>
  </r>
  <r>
    <d v="2023-03-09T00:00:00"/>
    <n v="180.25"/>
    <n v="185.18"/>
    <n v="172.51"/>
    <n v="172.92"/>
    <n v="170023794"/>
    <x v="1861"/>
    <x v="8"/>
    <n v="-4.0665742024965396E-2"/>
  </r>
  <r>
    <d v="2023-03-10T00:00:00"/>
    <n v="175.13"/>
    <n v="178.29"/>
    <n v="168.44"/>
    <n v="173.44"/>
    <n v="191488872"/>
    <x v="1862"/>
    <x v="8"/>
    <n v="-9.6499743048021336E-3"/>
  </r>
  <r>
    <d v="2023-03-13T00:00:00"/>
    <n v="167.46"/>
    <n v="177.35"/>
    <n v="163.91"/>
    <n v="174.48"/>
    <n v="167790256"/>
    <x v="1863"/>
    <x v="8"/>
    <n v="4.1920458616983049E-2"/>
  </r>
  <r>
    <d v="2023-03-14T00:00:00"/>
    <n v="177.31"/>
    <n v="183.8"/>
    <n v="177.14"/>
    <n v="183.26"/>
    <n v="143717897"/>
    <x v="1864"/>
    <x v="8"/>
    <n v="3.355704697986571E-2"/>
  </r>
  <r>
    <d v="2023-03-15T00:00:00"/>
    <n v="180.8"/>
    <n v="182.34"/>
    <n v="176.03"/>
    <n v="180.45"/>
    <n v="145995583"/>
    <x v="1865"/>
    <x v="8"/>
    <n v="-1.9358407079647275E-3"/>
  </r>
  <r>
    <d v="2023-03-16T00:00:00"/>
    <n v="180.37"/>
    <n v="185.81"/>
    <n v="178.84"/>
    <n v="184.13"/>
    <n v="121374453"/>
    <x v="1866"/>
    <x v="8"/>
    <n v="2.0846038698231362E-2"/>
  </r>
  <r>
    <d v="2023-03-17T00:00:00"/>
    <n v="184.52"/>
    <n v="186.22"/>
    <n v="177.33"/>
    <n v="180.13"/>
    <n v="133197140"/>
    <x v="1867"/>
    <x v="8"/>
    <n v="-2.3791458920442307E-2"/>
  </r>
  <r>
    <d v="2023-03-20T00:00:00"/>
    <n v="178.08"/>
    <n v="186.44"/>
    <n v="176.35"/>
    <n v="183.25"/>
    <n v="129684359"/>
    <x v="1868"/>
    <x v="8"/>
    <n v="2.9031895777178723E-2"/>
  </r>
  <r>
    <d v="2023-03-21T00:00:00"/>
    <n v="188.28"/>
    <n v="198"/>
    <n v="188.04"/>
    <n v="197.58"/>
    <n v="153391444"/>
    <x v="1869"/>
    <x v="8"/>
    <n v="4.9394518801784637E-2"/>
  </r>
  <r>
    <d v="2023-03-22T00:00:00"/>
    <n v="199.3"/>
    <n v="200.66"/>
    <n v="190.95"/>
    <n v="191.15"/>
    <n v="150376373"/>
    <x v="1870"/>
    <x v="8"/>
    <n v="-4.08931259407928E-2"/>
  </r>
  <r>
    <d v="2023-03-23T00:00:00"/>
    <n v="195.26"/>
    <n v="199.31"/>
    <n v="188.65"/>
    <n v="192.22"/>
    <n v="144193876"/>
    <x v="1871"/>
    <x v="8"/>
    <n v="-1.556898494315268E-2"/>
  </r>
  <r>
    <d v="2023-03-24T00:00:00"/>
    <n v="191.65"/>
    <n v="192.36"/>
    <n v="187.15"/>
    <n v="190.41"/>
    <n v="116531584"/>
    <x v="1872"/>
    <x v="8"/>
    <n v="-6.4701278372032824E-3"/>
  </r>
  <r>
    <d v="2023-03-27T00:00:00"/>
    <n v="194.42"/>
    <n v="197.39"/>
    <n v="189.94"/>
    <n v="191.81"/>
    <n v="120851587"/>
    <x v="1873"/>
    <x v="8"/>
    <n v="-1.3424544799917629E-2"/>
  </r>
  <r>
    <d v="2023-03-28T00:00:00"/>
    <n v="192"/>
    <n v="192.35"/>
    <n v="185.43"/>
    <n v="189.19"/>
    <n v="98654635"/>
    <x v="1874"/>
    <x v="8"/>
    <n v="-1.4635416666666679E-2"/>
  </r>
  <r>
    <d v="2023-03-29T00:00:00"/>
    <n v="193.13"/>
    <n v="195.29"/>
    <n v="189.44"/>
    <n v="193.88"/>
    <n v="123660026"/>
    <x v="1875"/>
    <x v="8"/>
    <n v="3.8833946046704293E-3"/>
  </r>
  <r>
    <d v="2023-03-30T00:00:00"/>
    <n v="195.58"/>
    <n v="197.33"/>
    <n v="194.42"/>
    <n v="195.28"/>
    <n v="110252238"/>
    <x v="1876"/>
    <x v="8"/>
    <n v="-1.5338991716945052E-3"/>
  </r>
  <r>
    <d v="2023-03-31T00:00:00"/>
    <n v="197.53"/>
    <n v="207.79"/>
    <n v="197.2"/>
    <n v="207.46"/>
    <n v="170222118"/>
    <x v="1877"/>
    <x v="8"/>
    <n v="5.0270844934946622E-2"/>
  </r>
  <r>
    <d v="2023-04-03T00:00:00"/>
    <n v="199.91"/>
    <n v="202.69"/>
    <n v="192.2"/>
    <n v="194.77"/>
    <n v="169545900"/>
    <x v="1878"/>
    <x v="8"/>
    <n v="-2.5711570206592899E-2"/>
  </r>
  <r>
    <d v="2023-04-04T00:00:00"/>
    <n v="197.32"/>
    <n v="198.74"/>
    <n v="190.32"/>
    <n v="192.58"/>
    <n v="126463845"/>
    <x v="1879"/>
    <x v="8"/>
    <n v="-2.4021893371173633E-2"/>
  </r>
  <r>
    <d v="2023-04-05T00:00:00"/>
    <n v="190.52"/>
    <n v="190.68"/>
    <n v="183.76"/>
    <n v="185.52"/>
    <n v="133882493"/>
    <x v="1880"/>
    <x v="8"/>
    <n v="-2.6243963888305688E-2"/>
  </r>
  <r>
    <d v="2023-04-06T00:00:00"/>
    <n v="183.08"/>
    <n v="186.39"/>
    <n v="179.74"/>
    <n v="185.06"/>
    <n v="123857932"/>
    <x v="1881"/>
    <x v="8"/>
    <n v="1.0814944286650589E-2"/>
  </r>
  <r>
    <d v="2023-04-10T00:00:00"/>
    <n v="179.94"/>
    <n v="185.1"/>
    <n v="176.11"/>
    <n v="184.51"/>
    <n v="142154637"/>
    <x v="1882"/>
    <x v="8"/>
    <n v="2.5397354673780112E-2"/>
  </r>
  <r>
    <d v="2023-04-11T00:00:00"/>
    <n v="186.69"/>
    <n v="189.19"/>
    <n v="185.65"/>
    <n v="186.79"/>
    <n v="115770892"/>
    <x v="1883"/>
    <x v="8"/>
    <n v="5.3564732979803056E-4"/>
  </r>
  <r>
    <d v="2023-04-12T00:00:00"/>
    <n v="190.74"/>
    <n v="191.58"/>
    <n v="180.31"/>
    <n v="180.54"/>
    <n v="150256278"/>
    <x v="1884"/>
    <x v="8"/>
    <n v="-5.3475935828877094E-2"/>
  </r>
  <r>
    <d v="2023-04-13T00:00:00"/>
    <n v="182.96"/>
    <n v="186.5"/>
    <n v="180.94"/>
    <n v="185.9"/>
    <n v="112932985"/>
    <x v="1885"/>
    <x v="8"/>
    <n v="1.6069086139046774E-2"/>
  </r>
  <r>
    <d v="2023-04-14T00:00:00"/>
    <n v="183.95"/>
    <n v="186.28"/>
    <n v="182.01"/>
    <n v="185"/>
    <n v="96438664"/>
    <x v="1886"/>
    <x v="8"/>
    <n v="5.7080728458820951E-3"/>
  </r>
  <r>
    <d v="2023-04-17T00:00:00"/>
    <n v="186.32"/>
    <n v="189.69"/>
    <n v="182.69"/>
    <n v="187.04"/>
    <n v="116662189"/>
    <x v="1887"/>
    <x v="8"/>
    <n v="3.8643194504078943E-3"/>
  </r>
  <r>
    <d v="2023-04-18T00:00:00"/>
    <n v="187.15"/>
    <n v="187.69"/>
    <n v="183.58"/>
    <n v="184.31"/>
    <n v="92067016"/>
    <x v="1888"/>
    <x v="8"/>
    <n v="-1.5174993320865634E-2"/>
  </r>
  <r>
    <d v="2023-04-19T00:00:00"/>
    <n v="179.1"/>
    <n v="183.5"/>
    <n v="177.65"/>
    <n v="180.59"/>
    <n v="125732687"/>
    <x v="1889"/>
    <x v="8"/>
    <n v="8.319374651032994E-3"/>
  </r>
  <r>
    <d v="2023-04-20T00:00:00"/>
    <n v="166.17"/>
    <n v="169.7"/>
    <n v="160.56"/>
    <n v="162.99"/>
    <n v="210970819"/>
    <x v="1890"/>
    <x v="8"/>
    <n v="-1.9137028344466383E-2"/>
  </r>
  <r>
    <d v="2023-04-21T00:00:00"/>
    <n v="164.8"/>
    <n v="166"/>
    <n v="161.32"/>
    <n v="165.08"/>
    <n v="123538954"/>
    <x v="1891"/>
    <x v="8"/>
    <n v="1.6990291262135989E-3"/>
  </r>
  <r>
    <d v="2023-04-24T00:00:00"/>
    <n v="164.65"/>
    <n v="165.65"/>
    <n v="158.61000000000001"/>
    <n v="162.55000000000001"/>
    <n v="140006559"/>
    <x v="1892"/>
    <x v="8"/>
    <n v="-1.27543273610689E-2"/>
  </r>
  <r>
    <d v="2023-04-25T00:00:00"/>
    <n v="159.82"/>
    <n v="163.47"/>
    <n v="158.75"/>
    <n v="160.66999999999999"/>
    <n v="121999312"/>
    <x v="1893"/>
    <x v="8"/>
    <n v="5.3184832937053835E-3"/>
  </r>
  <r>
    <d v="2023-04-26T00:00:00"/>
    <n v="160.29"/>
    <n v="160.66999999999999"/>
    <n v="153.13999999999999"/>
    <n v="153.75"/>
    <n v="153364142"/>
    <x v="1894"/>
    <x v="8"/>
    <n v="-4.0801048100318128E-2"/>
  </r>
  <r>
    <d v="2023-04-27T00:00:00"/>
    <n v="152.63999999999999"/>
    <n v="160.47999999999999"/>
    <n v="152.37"/>
    <n v="160.19"/>
    <n v="127015177"/>
    <x v="1895"/>
    <x v="8"/>
    <n v="4.9462788259958153E-2"/>
  </r>
  <r>
    <d v="2023-04-28T00:00:00"/>
    <n v="160.9"/>
    <n v="165"/>
    <n v="157.32"/>
    <n v="164.31"/>
    <n v="122515812"/>
    <x v="1896"/>
    <x v="8"/>
    <n v="2.1193287756370395E-2"/>
  </r>
  <r>
    <d v="2023-05-01T00:00:00"/>
    <n v="163.16999999999999"/>
    <n v="163.28"/>
    <n v="158.83000000000001"/>
    <n v="161.83000000000001"/>
    <n v="109015048"/>
    <x v="1897"/>
    <x v="8"/>
    <n v="-8.2122939265794875E-3"/>
  </r>
  <r>
    <d v="2023-05-02T00:00:00"/>
    <n v="161.88"/>
    <n v="165.49"/>
    <n v="158.93"/>
    <n v="160.31"/>
    <n v="128259744"/>
    <x v="1898"/>
    <x v="8"/>
    <n v="-9.6985421299727783E-3"/>
  </r>
  <r>
    <d v="2023-05-03T00:00:00"/>
    <n v="160.01"/>
    <n v="165"/>
    <n v="159.91"/>
    <n v="160.61000000000001"/>
    <n v="119727972"/>
    <x v="1899"/>
    <x v="8"/>
    <n v="3.7497656396476642E-3"/>
  </r>
  <r>
    <d v="2023-05-04T00:00:00"/>
    <n v="162.71"/>
    <n v="162.94999999999999"/>
    <n v="159.65"/>
    <n v="161.19999999999999"/>
    <n v="95108492"/>
    <x v="1900"/>
    <x v="8"/>
    <n v="-9.2803146702723823E-3"/>
  </r>
  <r>
    <d v="2023-05-05T00:00:00"/>
    <n v="163.97"/>
    <n v="170.79"/>
    <n v="163.51"/>
    <n v="170.06"/>
    <n v="107607259"/>
    <x v="1901"/>
    <x v="8"/>
    <n v="3.7140940415929767E-2"/>
  </r>
  <r>
    <d v="2023-05-08T00:00:00"/>
    <n v="173.72"/>
    <n v="173.8"/>
    <n v="169.19"/>
    <n v="171.79"/>
    <n v="112249449"/>
    <x v="1902"/>
    <x v="8"/>
    <n v="-1.1109831913423939E-2"/>
  </r>
  <r>
    <d v="2023-05-09T00:00:00"/>
    <n v="168.95"/>
    <n v="169.82"/>
    <n v="166.56"/>
    <n v="169.15"/>
    <n v="88965043"/>
    <x v="1903"/>
    <x v="8"/>
    <n v="1.1837821840782307E-3"/>
  </r>
  <r>
    <d v="2023-05-10T00:00:00"/>
    <n v="172.55"/>
    <n v="174.43"/>
    <n v="166.68"/>
    <n v="168.54"/>
    <n v="119840693"/>
    <x v="1904"/>
    <x v="8"/>
    <n v="-2.323964068385986E-2"/>
  </r>
  <r>
    <d v="2023-05-11T00:00:00"/>
    <n v="168.7"/>
    <n v="173.57"/>
    <n v="166.79"/>
    <n v="172.08"/>
    <n v="103889930"/>
    <x v="1905"/>
    <x v="8"/>
    <n v="2.0035566093657524E-2"/>
  </r>
  <r>
    <d v="2023-05-12T00:00:00"/>
    <n v="176.07"/>
    <n v="177.38"/>
    <n v="167.23"/>
    <n v="167.98"/>
    <n v="157849625"/>
    <x v="1906"/>
    <x v="8"/>
    <n v="-4.5947634463565645E-2"/>
  </r>
  <r>
    <d v="2023-05-15T00:00:00"/>
    <n v="167.66"/>
    <n v="169.76"/>
    <n v="164.55"/>
    <n v="166.35"/>
    <n v="105592510"/>
    <x v="1907"/>
    <x v="8"/>
    <n v="-7.8134319456042121E-3"/>
  </r>
  <r>
    <d v="2023-05-16T00:00:00"/>
    <n v="165.65"/>
    <n v="169.52"/>
    <n v="164.35"/>
    <n v="166.52"/>
    <n v="98288792"/>
    <x v="1908"/>
    <x v="8"/>
    <n v="5.2520374283127344E-3"/>
  </r>
  <r>
    <d v="2023-05-17T00:00:00"/>
    <n v="168.41"/>
    <n v="174.5"/>
    <n v="167.19"/>
    <n v="173.86"/>
    <n v="125473558"/>
    <x v="1909"/>
    <x v="8"/>
    <n v="3.2361498723353824E-2"/>
  </r>
  <r>
    <d v="2023-05-18T00:00:00"/>
    <n v="174.22"/>
    <n v="177.06"/>
    <n v="172.45"/>
    <n v="176.89"/>
    <n v="109520332"/>
    <x v="1910"/>
    <x v="8"/>
    <n v="1.532545057972671E-2"/>
  </r>
  <r>
    <d v="2023-05-19T00:00:00"/>
    <n v="177.17"/>
    <n v="181.95"/>
    <n v="176.31"/>
    <n v="180.14"/>
    <n v="136196668"/>
    <x v="1911"/>
    <x v="8"/>
    <n v="1.6763560422193367E-2"/>
  </r>
  <r>
    <d v="2023-05-22T00:00:00"/>
    <n v="180.7"/>
    <n v="189.32"/>
    <n v="180.11"/>
    <n v="188.87"/>
    <n v="132001430"/>
    <x v="1912"/>
    <x v="8"/>
    <n v="4.521306032097408E-2"/>
  </r>
  <r>
    <d v="2023-05-23T00:00:00"/>
    <n v="186.2"/>
    <n v="192.96"/>
    <n v="185.26"/>
    <n v="185.77"/>
    <n v="156952130"/>
    <x v="1913"/>
    <x v="8"/>
    <n v="-2.3093447905476821E-3"/>
  </r>
  <r>
    <d v="2023-05-24T00:00:00"/>
    <n v="182.23"/>
    <n v="184.22"/>
    <n v="178.22"/>
    <n v="182.9"/>
    <n v="137605054"/>
    <x v="1914"/>
    <x v="8"/>
    <n v="3.6766723371564284E-3"/>
  </r>
  <r>
    <d v="2023-05-25T00:00:00"/>
    <n v="186.54"/>
    <n v="186.78"/>
    <n v="180.58"/>
    <n v="184.47"/>
    <n v="96870719"/>
    <x v="1915"/>
    <x v="8"/>
    <n v="-1.1096815696365355E-2"/>
  </r>
  <r>
    <d v="2023-05-26T00:00:00"/>
    <n v="184.62"/>
    <n v="198.6"/>
    <n v="184.53"/>
    <n v="193.17"/>
    <n v="162061496"/>
    <x v="1916"/>
    <x v="8"/>
    <n v="4.6311342216444493E-2"/>
  </r>
  <r>
    <d v="2023-05-30T00:00:00"/>
    <n v="200.1"/>
    <n v="204.48"/>
    <n v="197.53"/>
    <n v="201.16"/>
    <n v="128818746"/>
    <x v="1917"/>
    <x v="8"/>
    <n v="5.2973513243378427E-3"/>
  </r>
  <r>
    <d v="2023-05-31T00:00:00"/>
    <n v="199.78"/>
    <n v="203.95"/>
    <n v="195.12"/>
    <n v="203.93"/>
    <n v="150711736"/>
    <x v="1918"/>
    <x v="8"/>
    <n v="2.0772850135148693E-2"/>
  </r>
  <r>
    <d v="2023-06-01T00:00:00"/>
    <n v="202.59"/>
    <n v="209.8"/>
    <n v="199.37"/>
    <n v="207.52"/>
    <n v="148029931"/>
    <x v="1919"/>
    <x v="8"/>
    <n v="2.4334863517449068E-2"/>
  </r>
  <r>
    <d v="2023-06-02T00:00:00"/>
    <n v="210.15"/>
    <n v="217.25"/>
    <n v="209.75"/>
    <n v="213.97"/>
    <n v="164398372"/>
    <x v="1920"/>
    <x v="8"/>
    <n v="1.8177492267427996E-2"/>
  </r>
  <r>
    <d v="2023-06-05T00:00:00"/>
    <n v="217.8"/>
    <n v="221.29"/>
    <n v="214.52"/>
    <n v="217.61"/>
    <n v="151143052"/>
    <x v="1921"/>
    <x v="8"/>
    <n v="-8.723599632690437E-4"/>
  </r>
  <r>
    <d v="2023-06-06T00:00:00"/>
    <n v="216.14"/>
    <n v="221.91"/>
    <n v="212.53"/>
    <n v="221.31"/>
    <n v="146911576"/>
    <x v="1922"/>
    <x v="8"/>
    <n v="2.3919681687795024E-2"/>
  </r>
  <r>
    <d v="2023-06-07T00:00:00"/>
    <n v="228"/>
    <n v="230.83"/>
    <n v="223.2"/>
    <n v="224.57"/>
    <n v="185710777"/>
    <x v="1923"/>
    <x v="8"/>
    <n v="-1.5043859649122837E-2"/>
  </r>
  <r>
    <d v="2023-06-08T00:00:00"/>
    <n v="224.22"/>
    <n v="235.23"/>
    <n v="223.01"/>
    <n v="234.86"/>
    <n v="164489739"/>
    <x v="1924"/>
    <x v="8"/>
    <n v="4.7453393988047522E-2"/>
  </r>
  <r>
    <d v="2023-06-09T00:00:00"/>
    <n v="249.07"/>
    <n v="252.42"/>
    <n v="242.02"/>
    <n v="244.4"/>
    <n v="200242371"/>
    <x v="1925"/>
    <x v="8"/>
    <n v="-1.8749749066527432E-2"/>
  </r>
  <r>
    <d v="2023-06-12T00:00:00"/>
    <n v="247.94"/>
    <n v="250.97"/>
    <n v="244.59"/>
    <n v="249.83"/>
    <n v="150740523"/>
    <x v="1926"/>
    <x v="8"/>
    <n v="7.6228119706381169E-3"/>
  </r>
  <r>
    <d v="2023-06-13T00:00:00"/>
    <n v="253.51"/>
    <n v="259.68"/>
    <n v="251.34"/>
    <n v="258.70999999999998"/>
    <n v="162384343"/>
    <x v="1927"/>
    <x v="8"/>
    <n v="2.0512011360498555E-2"/>
  </r>
  <r>
    <d v="2023-06-14T00:00:00"/>
    <n v="260.17"/>
    <n v="261.57"/>
    <n v="250.5"/>
    <n v="256.79000000000002"/>
    <n v="170575536"/>
    <x v="1928"/>
    <x v="8"/>
    <n v="-1.2991505554060789E-2"/>
  </r>
  <r>
    <d v="2023-06-15T00:00:00"/>
    <n v="248.4"/>
    <n v="258.95"/>
    <n v="247.29"/>
    <n v="255.9"/>
    <n v="160171238"/>
    <x v="1929"/>
    <x v="8"/>
    <n v="3.0193236714975844E-2"/>
  </r>
  <r>
    <d v="2023-06-16T00:00:00"/>
    <n v="258.92"/>
    <n v="263.60000000000002"/>
    <n v="257.20999999999998"/>
    <n v="260.54000000000002"/>
    <n v="167915649"/>
    <x v="1930"/>
    <x v="8"/>
    <n v="6.2567588444307296E-3"/>
  </r>
  <r>
    <d v="2023-06-20T00:00:00"/>
    <n v="261.5"/>
    <n v="274.75"/>
    <n v="261.12"/>
    <n v="274.45"/>
    <n v="165611217"/>
    <x v="1931"/>
    <x v="8"/>
    <n v="4.9521988527724624E-2"/>
  </r>
  <r>
    <d v="2023-06-21T00:00:00"/>
    <n v="275.13"/>
    <n v="276.99"/>
    <n v="257.77999999999997"/>
    <n v="259.45999999999998"/>
    <n v="211797109"/>
    <x v="1932"/>
    <x v="8"/>
    <n v="-5.6954894050085476E-2"/>
  </r>
  <r>
    <d v="2023-06-22T00:00:00"/>
    <n v="250.77"/>
    <n v="265"/>
    <n v="248.25"/>
    <n v="264.61"/>
    <n v="166875944"/>
    <x v="1933"/>
    <x v="8"/>
    <n v="5.5190014754555976E-2"/>
  </r>
  <r>
    <d v="2023-06-23T00:00:00"/>
    <n v="259.29000000000002"/>
    <n v="262.45"/>
    <n v="252.8"/>
    <n v="256.60000000000002"/>
    <n v="177460803"/>
    <x v="1934"/>
    <x v="8"/>
    <n v="-1.0374484168305748E-2"/>
  </r>
  <r>
    <d v="2023-06-26T00:00:00"/>
    <n v="250.07"/>
    <n v="258.37"/>
    <n v="240.7"/>
    <n v="241.05"/>
    <n v="179990552"/>
    <x v="1935"/>
    <x v="8"/>
    <n v="-3.6069900427880122E-2"/>
  </r>
  <r>
    <d v="2023-06-27T00:00:00"/>
    <n v="243.24"/>
    <n v="250.39"/>
    <n v="240.85"/>
    <n v="250.21"/>
    <n v="164968214"/>
    <x v="1936"/>
    <x v="8"/>
    <n v="2.8654826508797891E-2"/>
  </r>
  <r>
    <d v="2023-06-28T00:00:00"/>
    <n v="249.7"/>
    <n v="259.88"/>
    <n v="248.89"/>
    <n v="256.24"/>
    <n v="159770797"/>
    <x v="1937"/>
    <x v="8"/>
    <n v="2.6191429715658875E-2"/>
  </r>
  <r>
    <d v="2023-06-29T00:00:00"/>
    <n v="258.02999999999997"/>
    <n v="260.74"/>
    <n v="253.61"/>
    <n v="257.5"/>
    <n v="131283360"/>
    <x v="1938"/>
    <x v="8"/>
    <n v="-2.0540247258069712E-3"/>
  </r>
  <r>
    <d v="2023-06-30T00:00:00"/>
    <n v="260.60000000000002"/>
    <n v="264.45"/>
    <n v="259.89"/>
    <n v="261.77"/>
    <n v="112620784"/>
    <x v="1939"/>
    <x v="8"/>
    <n v="4.4896392939369105E-3"/>
  </r>
  <r>
    <d v="2023-07-03T00:00:00"/>
    <n v="276.49"/>
    <n v="284.25"/>
    <n v="275.11"/>
    <n v="279.82"/>
    <n v="119685891"/>
    <x v="1940"/>
    <x v="8"/>
    <n v="1.2043835220080235E-2"/>
  </r>
  <r>
    <d v="2023-07-05T00:00:00"/>
    <n v="278.82"/>
    <n v="283.85000000000002"/>
    <n v="277.60000000000002"/>
    <n v="282.48"/>
    <n v="131530862"/>
    <x v="1941"/>
    <x v="8"/>
    <n v="1.312674843985376E-2"/>
  </r>
  <r>
    <d v="2023-07-06T00:00:00"/>
    <n v="278.08999999999997"/>
    <n v="279.97000000000003"/>
    <n v="272.88"/>
    <n v="276.54000000000002"/>
    <n v="120707419"/>
    <x v="1942"/>
    <x v="8"/>
    <n v="-5.5737351217230204E-3"/>
  </r>
  <r>
    <d v="2023-07-07T00:00:00"/>
    <n v="278.43"/>
    <n v="280.77999999999997"/>
    <n v="273.77"/>
    <n v="274.43"/>
    <n v="113879174"/>
    <x v="1943"/>
    <x v="8"/>
    <n v="-1.4366268002729591E-2"/>
  </r>
  <r>
    <d v="2023-07-10T00:00:00"/>
    <n v="276.47000000000003"/>
    <n v="277.52"/>
    <n v="265.10000000000002"/>
    <n v="269.61"/>
    <n v="119425405"/>
    <x v="1944"/>
    <x v="8"/>
    <n v="-2.4812818750678239E-2"/>
  </r>
  <r>
    <d v="2023-07-11T00:00:00"/>
    <n v="268.64999999999998"/>
    <n v="270.89999999999998"/>
    <n v="266.37"/>
    <n v="269.79000000000002"/>
    <n v="91972358"/>
    <x v="1945"/>
    <x v="8"/>
    <n v="4.2434394193189779E-3"/>
  </r>
  <r>
    <d v="2023-07-12T00:00:00"/>
    <n v="276.33"/>
    <n v="276.52"/>
    <n v="271.45999999999998"/>
    <n v="271.99"/>
    <n v="95672139"/>
    <x v="1946"/>
    <x v="8"/>
    <n v="-1.5705858936778401E-2"/>
  </r>
  <r>
    <d v="2023-07-13T00:00:00"/>
    <n v="274.58999999999997"/>
    <n v="279.45"/>
    <n v="270.60000000000002"/>
    <n v="277.89999999999998"/>
    <n v="112681458"/>
    <x v="1947"/>
    <x v="8"/>
    <n v="1.2054335554827206E-2"/>
  </r>
  <r>
    <d v="2023-07-14T00:00:00"/>
    <n v="277.01"/>
    <n v="285.3"/>
    <n v="276.31"/>
    <n v="281.38"/>
    <n v="120062369"/>
    <x v="1948"/>
    <x v="8"/>
    <n v="1.5775603768817027E-2"/>
  </r>
  <r>
    <d v="2023-07-17T00:00:00"/>
    <n v="286.63"/>
    <n v="292.23"/>
    <n v="283.57"/>
    <n v="290.38"/>
    <n v="131569593"/>
    <x v="1949"/>
    <x v="8"/>
    <n v="1.3083068764609428E-2"/>
  </r>
  <r>
    <d v="2023-07-18T00:00:00"/>
    <n v="290.14999999999998"/>
    <n v="295.26"/>
    <n v="286.01"/>
    <n v="293.33999999999997"/>
    <n v="112434713"/>
    <x v="1950"/>
    <x v="8"/>
    <n v="1.0994313286231253E-2"/>
  </r>
  <r>
    <d v="2023-07-19T00:00:00"/>
    <n v="296.04000000000002"/>
    <n v="299.29000000000002"/>
    <n v="289.52"/>
    <n v="291.26"/>
    <n v="142355353"/>
    <x v="1951"/>
    <x v="8"/>
    <n v="-1.6146466693690142E-2"/>
  </r>
  <r>
    <d v="2023-07-20T00:00:00"/>
    <n v="279.56"/>
    <n v="280.93"/>
    <n v="261.2"/>
    <n v="262.89999999999998"/>
    <n v="175158273"/>
    <x v="1952"/>
    <x v="8"/>
    <n v="-5.9593647159822669E-2"/>
  </r>
  <r>
    <d v="2023-07-21T00:00:00"/>
    <n v="268"/>
    <n v="268"/>
    <n v="255.8"/>
    <n v="260.02"/>
    <n v="161796073"/>
    <x v="1953"/>
    <x v="8"/>
    <n v="-2.9776119402985142E-2"/>
  </r>
  <r>
    <d v="2023-07-24T00:00:00"/>
    <n v="255.85"/>
    <n v="269.85000000000002"/>
    <n v="254.12"/>
    <n v="269.06"/>
    <n v="137005037"/>
    <x v="1954"/>
    <x v="8"/>
    <n v="5.1631815516904468E-2"/>
  </r>
  <r>
    <d v="2023-07-25T00:00:00"/>
    <n v="272.38"/>
    <n v="272.89999999999998"/>
    <n v="265"/>
    <n v="265.27999999999997"/>
    <n v="112757327"/>
    <x v="1955"/>
    <x v="8"/>
    <n v="-2.6066524708128435E-2"/>
  </r>
  <r>
    <d v="2023-07-26T00:00:00"/>
    <n v="263.25"/>
    <n v="268.04000000000002"/>
    <n v="261.75"/>
    <n v="264.35000000000002"/>
    <n v="95856177"/>
    <x v="1956"/>
    <x v="8"/>
    <n v="4.1785375118709315E-3"/>
  </r>
  <r>
    <d v="2023-07-27T00:00:00"/>
    <n v="268.31"/>
    <n v="269.13"/>
    <n v="255.3"/>
    <n v="255.71"/>
    <n v="103697263"/>
    <x v="1957"/>
    <x v="8"/>
    <n v="-4.6960605270023457E-2"/>
  </r>
  <r>
    <d v="2023-07-28T00:00:00"/>
    <n v="259.86"/>
    <n v="267.25"/>
    <n v="258.23"/>
    <n v="266.44"/>
    <n v="111446026"/>
    <x v="1958"/>
    <x v="8"/>
    <n v="2.5321326868313645E-2"/>
  </r>
  <r>
    <d v="2023-07-31T00:00:00"/>
    <n v="267.48"/>
    <n v="269.08"/>
    <n v="263.77999999999997"/>
    <n v="267.43"/>
    <n v="84582172"/>
    <x v="1959"/>
    <x v="8"/>
    <n v="-1.8692986391510155E-4"/>
  </r>
  <r>
    <d v="2023-08-01T00:00:00"/>
    <n v="266.26"/>
    <n v="266.47000000000003"/>
    <n v="260.25"/>
    <n v="261.07"/>
    <n v="83645720"/>
    <x v="1960"/>
    <x v="8"/>
    <n v="-1.9492225644107256E-2"/>
  </r>
  <r>
    <d v="2023-08-02T00:00:00"/>
    <n v="255.57"/>
    <n v="259.52"/>
    <n v="250.49"/>
    <n v="254.11"/>
    <n v="101752865"/>
    <x v="1961"/>
    <x v="8"/>
    <n v="-5.7127205853581388E-3"/>
  </r>
  <r>
    <d v="2023-08-03T00:00:00"/>
    <n v="252.04"/>
    <n v="260.49"/>
    <n v="252"/>
    <n v="259.32"/>
    <n v="97829545"/>
    <x v="1962"/>
    <x v="8"/>
    <n v="2.8884304078717671E-2"/>
  </r>
  <r>
    <d v="2023-08-04T00:00:00"/>
    <n v="260.97000000000003"/>
    <n v="264.77"/>
    <n v="253.11"/>
    <n v="253.86"/>
    <n v="99539907"/>
    <x v="1963"/>
    <x v="8"/>
    <n v="-2.7244510863317674E-2"/>
  </r>
  <r>
    <d v="2023-08-07T00:00:00"/>
    <n v="251.45"/>
    <n v="253.65"/>
    <n v="242.76"/>
    <n v="251.45"/>
    <n v="111097943"/>
    <x v="1964"/>
    <x v="8"/>
    <n v="0"/>
  </r>
  <r>
    <d v="2023-08-08T00:00:00"/>
    <n v="247.45"/>
    <n v="250.92"/>
    <n v="245.01"/>
    <n v="249.7"/>
    <n v="96642183"/>
    <x v="1965"/>
    <x v="8"/>
    <n v="9.0927460092948068E-3"/>
  </r>
  <r>
    <d v="2023-08-09T00:00:00"/>
    <n v="250.87"/>
    <n v="251.1"/>
    <n v="241.9"/>
    <n v="242.19"/>
    <n v="101596324"/>
    <x v="1966"/>
    <x v="8"/>
    <n v="-3.459959341491612E-2"/>
  </r>
  <r>
    <d v="2023-08-10T00:00:00"/>
    <n v="245.4"/>
    <n v="251.8"/>
    <n v="243"/>
    <n v="245.34"/>
    <n v="109498608"/>
    <x v="1967"/>
    <x v="8"/>
    <n v="-2.4449877750612172E-4"/>
  </r>
  <r>
    <d v="2023-08-11T00:00:00"/>
    <n v="241.77"/>
    <n v="243.79"/>
    <n v="238.02"/>
    <n v="242.65"/>
    <n v="99038642"/>
    <x v="1968"/>
    <x v="8"/>
    <n v="3.6398229722463308E-3"/>
  </r>
  <r>
    <d v="2023-08-14T00:00:00"/>
    <n v="235.7"/>
    <n v="240.66"/>
    <n v="233.75"/>
    <n v="239.76"/>
    <n v="98595331"/>
    <x v="1969"/>
    <x v="8"/>
    <n v="1.7225286380992799E-2"/>
  </r>
  <r>
    <d v="2023-08-15T00:00:00"/>
    <n v="238.73"/>
    <n v="240.5"/>
    <n v="232.61"/>
    <n v="232.96"/>
    <n v="88197599"/>
    <x v="1970"/>
    <x v="8"/>
    <n v="-2.4169563942529143E-2"/>
  </r>
  <r>
    <d v="2023-08-16T00:00:00"/>
    <n v="228.02"/>
    <n v="233.97"/>
    <n v="225.38"/>
    <n v="225.6"/>
    <n v="112484520"/>
    <x v="1971"/>
    <x v="8"/>
    <n v="-1.0613104113674308E-2"/>
  </r>
  <r>
    <d v="2023-08-17T00:00:00"/>
    <n v="226.06"/>
    <n v="226.74"/>
    <n v="218.83"/>
    <n v="219.22"/>
    <n v="120718417"/>
    <x v="1972"/>
    <x v="8"/>
    <n v="-3.0257453773334528E-2"/>
  </r>
  <r>
    <d v="2023-08-18T00:00:00"/>
    <n v="214.12"/>
    <n v="217.58"/>
    <n v="212.36"/>
    <n v="215.49"/>
    <n v="136276584"/>
    <x v="1973"/>
    <x v="8"/>
    <n v="6.3982813375677398E-3"/>
  </r>
  <r>
    <d v="2023-08-21T00:00:00"/>
    <n v="221.55"/>
    <n v="232.13"/>
    <n v="220.58"/>
    <n v="231.28"/>
    <n v="135702671"/>
    <x v="1974"/>
    <x v="8"/>
    <n v="4.3917851500789841E-2"/>
  </r>
  <r>
    <d v="2023-08-22T00:00:00"/>
    <n v="240.25"/>
    <n v="240.82"/>
    <n v="229.55"/>
    <n v="233.19"/>
    <n v="130597886"/>
    <x v="1975"/>
    <x v="8"/>
    <n v="-2.9386056191467232E-2"/>
  </r>
  <r>
    <d v="2023-08-23T00:00:00"/>
    <n v="229.34"/>
    <n v="238.98"/>
    <n v="229.29"/>
    <n v="236.86"/>
    <n v="101077635"/>
    <x v="1976"/>
    <x v="8"/>
    <n v="3.2789744484172018E-2"/>
  </r>
  <r>
    <d v="2023-08-24T00:00:00"/>
    <n v="238.66"/>
    <n v="238.92"/>
    <n v="228.18"/>
    <n v="230.04"/>
    <n v="99777432"/>
    <x v="1977"/>
    <x v="8"/>
    <n v="-3.6118327327579004E-2"/>
  </r>
  <r>
    <d v="2023-08-25T00:00:00"/>
    <n v="231.31"/>
    <n v="239"/>
    <n v="230.35"/>
    <n v="238.59"/>
    <n v="106612231"/>
    <x v="1978"/>
    <x v="8"/>
    <n v="3.1472915135532409E-2"/>
  </r>
  <r>
    <d v="2023-08-28T00:00:00"/>
    <n v="242.58"/>
    <n v="244.38"/>
    <n v="235.35"/>
    <n v="238.82"/>
    <n v="107673727"/>
    <x v="1979"/>
    <x v="8"/>
    <n v="-1.550004122351397E-2"/>
  </r>
  <r>
    <d v="2023-08-29T00:00:00"/>
    <n v="238.58"/>
    <n v="257.48"/>
    <n v="237.77"/>
    <n v="257.18"/>
    <n v="134047603"/>
    <x v="1980"/>
    <x v="8"/>
    <n v="7.7961270852544187E-2"/>
  </r>
  <r>
    <d v="2023-08-30T00:00:00"/>
    <n v="254.2"/>
    <n v="260.51"/>
    <n v="250.59"/>
    <n v="256.89999999999998"/>
    <n v="121988437"/>
    <x v="1981"/>
    <x v="8"/>
    <n v="1.0621557828481466E-2"/>
  </r>
  <r>
    <d v="2023-08-31T00:00:00"/>
    <n v="255.98"/>
    <n v="261.18"/>
    <n v="255.05"/>
    <n v="258.08"/>
    <n v="108861698"/>
    <x v="1982"/>
    <x v="8"/>
    <n v="8.2037659192124163E-3"/>
  </r>
  <r>
    <d v="2023-09-01T00:00:00"/>
    <n v="257.26"/>
    <n v="259.08"/>
    <n v="242.01"/>
    <n v="245.01"/>
    <n v="132541640"/>
    <x v="1983"/>
    <x v="8"/>
    <n v="-4.7617196610433024E-2"/>
  </r>
  <r>
    <d v="2023-09-05T00:00:00"/>
    <n v="245"/>
    <n v="258"/>
    <n v="244.86"/>
    <n v="256.49"/>
    <n v="129469565"/>
    <x v="1984"/>
    <x v="8"/>
    <n v="4.689795918367351E-2"/>
  </r>
  <r>
    <d v="2023-09-06T00:00:00"/>
    <n v="255.14"/>
    <n v="255.39"/>
    <n v="245.06"/>
    <n v="251.92"/>
    <n v="116959759"/>
    <x v="1985"/>
    <x v="8"/>
    <n v="-1.2620522066316529E-2"/>
  </r>
  <r>
    <d v="2023-09-07T00:00:00"/>
    <n v="245.07"/>
    <n v="252.81"/>
    <n v="243.27"/>
    <n v="251.49"/>
    <n v="115312886"/>
    <x v="1986"/>
    <x v="8"/>
    <n v="2.6196596890684359E-2"/>
  </r>
  <r>
    <d v="2023-09-08T00:00:00"/>
    <n v="251.22"/>
    <n v="256.52"/>
    <n v="246.67"/>
    <n v="248.5"/>
    <n v="118559635"/>
    <x v="1987"/>
    <x v="8"/>
    <n v="-1.0827163442401078E-2"/>
  </r>
  <r>
    <d v="2023-09-11T00:00:00"/>
    <n v="264.27"/>
    <n v="274.85000000000002"/>
    <n v="260.61"/>
    <n v="273.58"/>
    <n v="174667852"/>
    <x v="1988"/>
    <x v="8"/>
    <n v="3.5229121731562431E-2"/>
  </r>
  <r>
    <d v="2023-09-12T00:00:00"/>
    <n v="270.76"/>
    <n v="278.39"/>
    <n v="266.60000000000002"/>
    <n v="267.48"/>
    <n v="135999866"/>
    <x v="1989"/>
    <x v="8"/>
    <n v="-1.2114049342591124E-2"/>
  </r>
  <r>
    <d v="2023-09-13T00:00:00"/>
    <n v="270.07"/>
    <n v="274.98"/>
    <n v="268.10000000000002"/>
    <n v="271.3"/>
    <n v="111673737"/>
    <x v="1990"/>
    <x v="8"/>
    <n v="4.5543747917207323E-3"/>
  </r>
  <r>
    <d v="2023-09-14T00:00:00"/>
    <n v="271.32"/>
    <n v="276.70999999999998"/>
    <n v="270.42"/>
    <n v="276.04000000000002"/>
    <n v="107709842"/>
    <x v="1991"/>
    <x v="8"/>
    <n v="1.7396432257113473E-2"/>
  </r>
  <r>
    <d v="2023-09-15T00:00:00"/>
    <n v="277.55"/>
    <n v="278.98"/>
    <n v="271"/>
    <n v="274.39"/>
    <n v="133692313"/>
    <x v="1992"/>
    <x v="8"/>
    <n v="-1.13853359755E-2"/>
  </r>
  <r>
    <d v="2023-09-18T00:00:00"/>
    <n v="271.16000000000003"/>
    <n v="271.44"/>
    <n v="263.76"/>
    <n v="265.27999999999997"/>
    <n v="101543305"/>
    <x v="1993"/>
    <x v="8"/>
    <n v="-2.1684614249889555E-2"/>
  </r>
  <r>
    <d v="2023-09-19T00:00:00"/>
    <n v="264.35000000000002"/>
    <n v="267.85000000000002"/>
    <n v="261.2"/>
    <n v="266.5"/>
    <n v="103704040"/>
    <x v="1994"/>
    <x v="8"/>
    <n v="8.1331567996972848E-3"/>
  </r>
  <r>
    <d v="2023-09-20T00:00:00"/>
    <n v="267.04000000000002"/>
    <n v="273.93"/>
    <n v="262.45999999999998"/>
    <n v="262.58999999999997"/>
    <n v="122514643"/>
    <x v="1995"/>
    <x v="8"/>
    <n v="-1.6664170161773687E-2"/>
  </r>
  <r>
    <d v="2023-09-21T00:00:00"/>
    <n v="257.85000000000002"/>
    <n v="260.86"/>
    <n v="254.21"/>
    <n v="255.7"/>
    <n v="119951516"/>
    <x v="1996"/>
    <x v="8"/>
    <n v="-8.3381811130503539E-3"/>
  </r>
  <r>
    <d v="2023-09-22T00:00:00"/>
    <n v="257.39999999999998"/>
    <n v="257.79000000000002"/>
    <n v="244.48"/>
    <n v="244.88"/>
    <n v="127524083"/>
    <x v="1997"/>
    <x v="8"/>
    <n v="-4.8640248640248573E-2"/>
  </r>
  <r>
    <d v="2023-09-25T00:00:00"/>
    <n v="243.38"/>
    <n v="247.1"/>
    <n v="238.31"/>
    <n v="246.99"/>
    <n v="104636557"/>
    <x v="1998"/>
    <x v="8"/>
    <n v="1.4832771797189637E-2"/>
  </r>
  <r>
    <d v="2023-09-26T00:00:00"/>
    <n v="242.98"/>
    <n v="249.55"/>
    <n v="241.66"/>
    <n v="244.12"/>
    <n v="101993631"/>
    <x v="1999"/>
    <x v="8"/>
    <n v="4.6917441764754908E-3"/>
  </r>
  <r>
    <d v="2023-09-27T00:00:00"/>
    <n v="244.26"/>
    <n v="245.33"/>
    <n v="234.58"/>
    <n v="240.5"/>
    <n v="136597184"/>
    <x v="2000"/>
    <x v="8"/>
    <n v="-1.5393433226889344E-2"/>
  </r>
  <r>
    <d v="2023-09-28T00:00:00"/>
    <n v="240.02"/>
    <n v="247.55"/>
    <n v="238.65"/>
    <n v="246.38"/>
    <n v="117058870"/>
    <x v="2001"/>
    <x v="8"/>
    <n v="2.6497791850679048E-2"/>
  </r>
  <r>
    <d v="2023-09-29T00:00:00"/>
    <n v="250"/>
    <n v="254.77"/>
    <n v="246.35"/>
    <n v="250.22"/>
    <n v="128522729"/>
    <x v="2002"/>
    <x v="8"/>
    <n v="8.7999999999999548E-4"/>
  </r>
  <r>
    <d v="2023-10-02T00:00:00"/>
    <n v="244.81"/>
    <n v="254.28"/>
    <n v="242.62"/>
    <n v="251.6"/>
    <n v="123810402"/>
    <x v="2003"/>
    <x v="8"/>
    <n v="2.7735795106409018E-2"/>
  </r>
  <r>
    <d v="2023-10-03T00:00:00"/>
    <n v="248.61"/>
    <n v="250.02"/>
    <n v="244.45"/>
    <n v="246.53"/>
    <n v="101985305"/>
    <x v="2004"/>
    <x v="8"/>
    <n v="-8.3665178391859225E-3"/>
  </r>
  <r>
    <d v="2023-10-04T00:00:00"/>
    <n v="248.14"/>
    <n v="261.86"/>
    <n v="247.6"/>
    <n v="261.16000000000003"/>
    <n v="129721567"/>
    <x v="2005"/>
    <x v="8"/>
    <n v="5.2470379624405733E-2"/>
  </r>
  <r>
    <d v="2023-10-05T00:00:00"/>
    <n v="260"/>
    <n v="263.60000000000002"/>
    <n v="256.25"/>
    <n v="260.05"/>
    <n v="119159214"/>
    <x v="2006"/>
    <x v="8"/>
    <n v="1.9230769230773603E-4"/>
  </r>
  <r>
    <d v="2023-10-06T00:00:00"/>
    <n v="253.98"/>
    <n v="261.64999999999998"/>
    <n v="250.65"/>
    <n v="260.52999999999997"/>
    <n v="118121812"/>
    <x v="2007"/>
    <x v="8"/>
    <n v="2.5789432238758892E-2"/>
  </r>
  <r>
    <d v="2023-10-09T00:00:00"/>
    <n v="255.31"/>
    <n v="261.36"/>
    <n v="252.05"/>
    <n v="259.67"/>
    <n v="101377947"/>
    <x v="2008"/>
    <x v="8"/>
    <n v="1.7077278602483308E-2"/>
  </r>
  <r>
    <d v="2023-10-10T00:00:00"/>
    <n v="257.75"/>
    <n v="268.94"/>
    <n v="257.64999999999998"/>
    <n v="263.62"/>
    <n v="122656030"/>
    <x v="2009"/>
    <x v="8"/>
    <n v="2.2774005819592647E-2"/>
  </r>
  <r>
    <d v="2023-10-11T00:00:00"/>
    <n v="266.2"/>
    <n v="268.60000000000002"/>
    <n v="260.89999999999998"/>
    <n v="262.99"/>
    <n v="103706266"/>
    <x v="2010"/>
    <x v="8"/>
    <n v="-1.2058602554470247E-2"/>
  </r>
  <r>
    <d v="2023-10-12T00:00:00"/>
    <n v="262.92"/>
    <n v="265.41000000000003"/>
    <n v="256.63"/>
    <n v="258.87"/>
    <n v="111508114"/>
    <x v="2011"/>
    <x v="8"/>
    <n v="-1.5403925148334136E-2"/>
  </r>
  <r>
    <d v="2023-10-13T00:00:00"/>
    <n v="258.89999999999998"/>
    <n v="259.60000000000002"/>
    <n v="250.22"/>
    <n v="251.12"/>
    <n v="102296786"/>
    <x v="2012"/>
    <x v="8"/>
    <n v="-3.0050212437234349E-2"/>
  </r>
  <r>
    <d v="2023-10-16T00:00:00"/>
    <n v="250.05"/>
    <n v="255.4"/>
    <n v="248.48"/>
    <n v="253.92"/>
    <n v="88917176"/>
    <x v="2013"/>
    <x v="8"/>
    <n v="1.5476904619076089E-2"/>
  </r>
  <r>
    <d v="2023-10-17T00:00:00"/>
    <n v="250.1"/>
    <n v="257.18"/>
    <n v="247.08"/>
    <n v="254.85"/>
    <n v="93562909"/>
    <x v="2014"/>
    <x v="8"/>
    <n v="1.8992403038784487E-2"/>
  </r>
  <r>
    <d v="2023-10-18T00:00:00"/>
    <n v="252.7"/>
    <n v="254.63"/>
    <n v="242.08"/>
    <n v="242.68"/>
    <n v="125147846"/>
    <x v="2015"/>
    <x v="8"/>
    <n v="-3.9651760981400802E-2"/>
  </r>
  <r>
    <d v="2023-10-19T00:00:00"/>
    <n v="225.95"/>
    <n v="230.61"/>
    <n v="216.78"/>
    <n v="220.11"/>
    <n v="170772713"/>
    <x v="2016"/>
    <x v="8"/>
    <n v="-2.5846426200486723E-2"/>
  </r>
  <r>
    <d v="2023-10-20T00:00:00"/>
    <n v="217.01"/>
    <n v="218.86"/>
    <n v="210.42"/>
    <n v="211.99"/>
    <n v="138010095"/>
    <x v="2017"/>
    <x v="8"/>
    <n v="-2.3132574535735598E-2"/>
  </r>
  <r>
    <d v="2023-10-23T00:00:00"/>
    <n v="210"/>
    <n v="216.98"/>
    <n v="202.51"/>
    <n v="212.08"/>
    <n v="150683368"/>
    <x v="2018"/>
    <x v="8"/>
    <n v="9.9047619047619648E-3"/>
  </r>
  <r>
    <d v="2023-10-24T00:00:00"/>
    <n v="216.5"/>
    <n v="222.05"/>
    <n v="214.11"/>
    <n v="216.52"/>
    <n v="118231113"/>
    <x v="2019"/>
    <x v="8"/>
    <n v="9.2378752886883292E-5"/>
  </r>
  <r>
    <d v="2023-10-25T00:00:00"/>
    <n v="215.88"/>
    <n v="220.1"/>
    <n v="212.2"/>
    <n v="212.42"/>
    <n v="107065087"/>
    <x v="2020"/>
    <x v="8"/>
    <n v="-1.6027422642208671E-2"/>
  </r>
  <r>
    <d v="2023-10-26T00:00:00"/>
    <n v="211.32"/>
    <n v="214.8"/>
    <n v="204.88"/>
    <n v="205.76"/>
    <n v="115112635"/>
    <x v="2021"/>
    <x v="8"/>
    <n v="-2.631080825288663E-2"/>
  </r>
  <r>
    <d v="2023-10-27T00:00:00"/>
    <n v="210.6"/>
    <n v="212.41"/>
    <n v="205.77"/>
    <n v="207.3"/>
    <n v="94881173"/>
    <x v="2022"/>
    <x v="8"/>
    <n v="-1.5669515669515587E-2"/>
  </r>
  <r>
    <d v="2023-10-30T00:00:00"/>
    <n v="209.28"/>
    <n v="210.88"/>
    <n v="194.67"/>
    <n v="197.36"/>
    <n v="136448167"/>
    <x v="2023"/>
    <x v="8"/>
    <n v="-5.6957186544342446E-2"/>
  </r>
  <r>
    <d v="2023-10-31T00:00:00"/>
    <n v="196.12"/>
    <n v="202.8"/>
    <n v="194.07"/>
    <n v="200.84"/>
    <n v="118068273"/>
    <x v="2024"/>
    <x v="8"/>
    <n v="2.406689781766265E-2"/>
  </r>
  <r>
    <d v="2023-11-01T00:00:00"/>
    <n v="204.04"/>
    <n v="205.99"/>
    <n v="197.85"/>
    <n v="205.66"/>
    <n v="121661656"/>
    <x v="2025"/>
    <x v="8"/>
    <n v="7.9396196824152356E-3"/>
  </r>
  <r>
    <d v="2023-11-02T00:00:00"/>
    <n v="212.97"/>
    <n v="219.2"/>
    <n v="211.45"/>
    <n v="218.51"/>
    <n v="125987621"/>
    <x v="2026"/>
    <x v="8"/>
    <n v="2.6013053481711002E-2"/>
  </r>
  <r>
    <d v="2023-11-03T00:00:00"/>
    <n v="221.15"/>
    <n v="226.37"/>
    <n v="218.4"/>
    <n v="219.96"/>
    <n v="119534790"/>
    <x v="2027"/>
    <x v="8"/>
    <n v="-5.3809631471851581E-3"/>
  </r>
  <r>
    <d v="2023-11-06T00:00:00"/>
    <n v="223.98"/>
    <n v="226.32"/>
    <n v="215"/>
    <n v="219.27"/>
    <n v="117335820"/>
    <x v="2028"/>
    <x v="8"/>
    <n v="-2.1028663273506474E-2"/>
  </r>
  <r>
    <d v="2023-11-07T00:00:00"/>
    <n v="219.98"/>
    <n v="223.12"/>
    <n v="215.72"/>
    <n v="222.18"/>
    <n v="116900130"/>
    <x v="2029"/>
    <x v="8"/>
    <n v="1.0000909173561312E-2"/>
  </r>
  <r>
    <d v="2023-11-08T00:00:00"/>
    <n v="223.15"/>
    <n v="224.15"/>
    <n v="217.64"/>
    <n v="222.11"/>
    <n v="106584841"/>
    <x v="2030"/>
    <x v="8"/>
    <n v="-4.6605422361639792E-3"/>
  </r>
  <r>
    <d v="2023-11-09T00:00:00"/>
    <n v="219.75"/>
    <n v="220.8"/>
    <n v="206.68"/>
    <n v="209.98"/>
    <n v="142110454"/>
    <x v="2031"/>
    <x v="8"/>
    <n v="-4.4459613196814608E-2"/>
  </r>
  <r>
    <d v="2023-11-10T00:00:00"/>
    <n v="210.03"/>
    <n v="215.38"/>
    <n v="205.69"/>
    <n v="214.65"/>
    <n v="131310128"/>
    <x v="2032"/>
    <x v="8"/>
    <n v="2.1996857591772626E-2"/>
  </r>
  <r>
    <d v="2023-11-13T00:00:00"/>
    <n v="215.6"/>
    <n v="225.4"/>
    <n v="211.61"/>
    <n v="223.71"/>
    <n v="140447569"/>
    <x v="2033"/>
    <x v="8"/>
    <n v="3.7615955473098393E-2"/>
  </r>
  <r>
    <d v="2023-11-14T00:00:00"/>
    <n v="235.03"/>
    <n v="238.14"/>
    <n v="230.72"/>
    <n v="237.41"/>
    <n v="149771642"/>
    <x v="2034"/>
    <x v="8"/>
    <n v="1.0126366846785497E-2"/>
  </r>
  <r>
    <d v="2023-11-15T00:00:00"/>
    <n v="239.29"/>
    <n v="246.7"/>
    <n v="236.45"/>
    <n v="242.84"/>
    <n v="150353975"/>
    <x v="2035"/>
    <x v="8"/>
    <n v="1.4835555184086304E-2"/>
  </r>
  <r>
    <d v="2023-11-16T00:00:00"/>
    <n v="239.49"/>
    <n v="240.88"/>
    <n v="230.96"/>
    <n v="233.59"/>
    <n v="136816819"/>
    <x v="2036"/>
    <x v="8"/>
    <n v="-2.4635684162177984E-2"/>
  </r>
  <r>
    <d v="2023-11-17T00:00:00"/>
    <n v="232"/>
    <n v="237.39"/>
    <n v="226.54"/>
    <n v="234.3"/>
    <n v="142766234"/>
    <x v="2037"/>
    <x v="8"/>
    <n v="9.9137931034483252E-3"/>
  </r>
  <r>
    <d v="2023-11-20T00:00:00"/>
    <n v="234.04"/>
    <n v="237.1"/>
    <n v="231.02"/>
    <n v="235.6"/>
    <n v="116562402"/>
    <x v="2038"/>
    <x v="8"/>
    <n v="6.6655272602973948E-3"/>
  </r>
  <r>
    <d v="2023-11-21T00:00:00"/>
    <n v="235.04"/>
    <n v="243.62"/>
    <n v="233.34"/>
    <n v="241.2"/>
    <n v="122288000"/>
    <x v="2039"/>
    <x v="8"/>
    <n v="2.6208304969366901E-2"/>
  </r>
  <r>
    <d v="2023-11-22T00:00:00"/>
    <n v="242.04"/>
    <n v="244.01"/>
    <n v="231.4"/>
    <n v="234.21"/>
    <n v="118117078"/>
    <x v="2040"/>
    <x v="8"/>
    <n v="-3.2350024789290964E-2"/>
  </r>
  <r>
    <d v="2023-11-24T00:00:00"/>
    <n v="233.75"/>
    <n v="238.75"/>
    <n v="232.33"/>
    <n v="235.45"/>
    <n v="65125203"/>
    <x v="2041"/>
    <x v="8"/>
    <n v="7.2727272727272241E-3"/>
  </r>
  <r>
    <d v="2023-11-27T00:00:00"/>
    <n v="236.89"/>
    <n v="238.33"/>
    <n v="232.1"/>
    <n v="236.08"/>
    <n v="112031763"/>
    <x v="2042"/>
    <x v="8"/>
    <n v="-3.4193085398285025E-3"/>
  </r>
  <r>
    <d v="2023-11-28T00:00:00"/>
    <n v="236.68"/>
    <n v="247"/>
    <n v="234.01"/>
    <n v="246.72"/>
    <n v="148549913"/>
    <x v="2043"/>
    <x v="8"/>
    <n v="4.242014534392425E-2"/>
  </r>
  <r>
    <d v="2023-11-29T00:00:00"/>
    <n v="249.21"/>
    <n v="252.75"/>
    <n v="242.76"/>
    <n v="244.14"/>
    <n v="135401335"/>
    <x v="2044"/>
    <x v="8"/>
    <n v="-2.0344287949921838E-2"/>
  </r>
  <r>
    <d v="2023-11-30T00:00:00"/>
    <n v="245.14"/>
    <n v="245.22"/>
    <n v="236.91"/>
    <n v="240.08"/>
    <n v="132353196"/>
    <x v="2045"/>
    <x v="8"/>
    <n v="-2.0641266215223848E-2"/>
  </r>
  <r>
    <d v="2023-12-01T00:00:00"/>
    <n v="233.14"/>
    <n v="240.19"/>
    <n v="231.9"/>
    <n v="238.83"/>
    <n v="121331709"/>
    <x v="2046"/>
    <x v="8"/>
    <n v="2.440593634725927E-2"/>
  </r>
  <r>
    <d v="2023-12-04T00:00:00"/>
    <n v="235.75"/>
    <n v="239.37"/>
    <n v="233.29"/>
    <n v="235.58"/>
    <n v="104099817"/>
    <x v="2047"/>
    <x v="8"/>
    <n v="-7.2110286320249206E-4"/>
  </r>
  <r>
    <d v="2023-12-05T00:00:00"/>
    <n v="233.87"/>
    <n v="246.66"/>
    <n v="233.7"/>
    <n v="238.72"/>
    <n v="137971115"/>
    <x v="2048"/>
    <x v="8"/>
    <n v="2.0738016846966238E-2"/>
  </r>
  <r>
    <d v="2023-12-06T00:00:00"/>
    <n v="242.92"/>
    <n v="246.57"/>
    <n v="239.17"/>
    <n v="239.37"/>
    <n v="126436179"/>
    <x v="2049"/>
    <x v="8"/>
    <n v="-1.4613864646797229E-2"/>
  </r>
  <r>
    <d v="2023-12-07T00:00:00"/>
    <n v="241.55"/>
    <n v="244.08"/>
    <n v="236.98"/>
    <n v="242.64"/>
    <n v="107142262"/>
    <x v="2050"/>
    <x v="8"/>
    <n v="4.5125232871040151E-3"/>
  </r>
  <r>
    <d v="2023-12-08T00:00:00"/>
    <n v="240.27"/>
    <n v="245.27"/>
    <n v="239.27"/>
    <n v="243.84"/>
    <n v="103126829"/>
    <x v="2051"/>
    <x v="8"/>
    <n v="1.4858284430016203E-2"/>
  </r>
  <r>
    <d v="2023-12-11T00:00:00"/>
    <n v="242.74"/>
    <n v="243.44"/>
    <n v="237.45"/>
    <n v="239.74"/>
    <n v="97913888"/>
    <x v="2052"/>
    <x v="8"/>
    <n v="-1.2358902529455384E-2"/>
  </r>
  <r>
    <d v="2023-12-12T00:00:00"/>
    <n v="238.55"/>
    <n v="238.99"/>
    <n v="233.87"/>
    <n v="237.01"/>
    <n v="95328313"/>
    <x v="2053"/>
    <x v="8"/>
    <n v="-6.455669670928612E-3"/>
  </r>
  <r>
    <d v="2023-12-13T00:00:00"/>
    <n v="234.19"/>
    <n v="240.3"/>
    <n v="228.2"/>
    <n v="239.29"/>
    <n v="146286348"/>
    <x v="2054"/>
    <x v="8"/>
    <n v="2.1777189461548292E-2"/>
  </r>
  <r>
    <d v="2023-12-14T00:00:00"/>
    <n v="241.22"/>
    <n v="253.88"/>
    <n v="240.79"/>
    <n v="251.05"/>
    <n v="160829239"/>
    <x v="2055"/>
    <x v="8"/>
    <n v="4.075118149407185E-2"/>
  </r>
  <r>
    <d v="2023-12-15T00:00:00"/>
    <n v="251.21"/>
    <n v="254.13"/>
    <n v="248.3"/>
    <n v="253.5"/>
    <n v="135932762"/>
    <x v="2056"/>
    <x v="8"/>
    <n v="9.1158791449384661E-3"/>
  </r>
  <r>
    <d v="2023-12-18T00:00:00"/>
    <n v="253.78"/>
    <n v="258.74"/>
    <n v="251.36"/>
    <n v="252.08"/>
    <n v="116416490"/>
    <x v="2057"/>
    <x v="8"/>
    <n v="-6.6987154228071106E-3"/>
  </r>
  <r>
    <d v="2023-12-19T00:00:00"/>
    <n v="253.48"/>
    <n v="258.33999999999997"/>
    <n v="253.01"/>
    <n v="257.22000000000003"/>
    <n v="106737369"/>
    <x v="2058"/>
    <x v="8"/>
    <n v="1.4754615748777173E-2"/>
  </r>
  <r>
    <d v="2023-12-20T00:00:00"/>
    <n v="256.41000000000003"/>
    <n v="259.83999999999997"/>
    <n v="247"/>
    <n v="247.14"/>
    <n v="125096987"/>
    <x v="2059"/>
    <x v="8"/>
    <n v="-3.6153036153036298E-2"/>
  </r>
  <r>
    <d v="2023-12-21T00:00:00"/>
    <n v="251.9"/>
    <n v="254.8"/>
    <n v="248.55"/>
    <n v="254.5"/>
    <n v="109594227"/>
    <x v="2060"/>
    <x v="8"/>
    <n v="1.0321556173084535E-2"/>
  </r>
  <r>
    <d v="2023-12-22T00:00:00"/>
    <n v="256.76"/>
    <n v="258.22000000000003"/>
    <n v="251.37"/>
    <n v="252.54"/>
    <n v="93370094"/>
    <x v="2061"/>
    <x v="8"/>
    <n v="-1.6435581866334315E-2"/>
  </r>
  <r>
    <d v="2023-12-26T00:00:00"/>
    <n v="254.49"/>
    <n v="257.97000000000003"/>
    <n v="252.91"/>
    <n v="256.61"/>
    <n v="86892382"/>
    <x v="2062"/>
    <x v="8"/>
    <n v="8.3303862627215394E-3"/>
  </r>
  <r>
    <d v="2023-12-27T00:00:00"/>
    <n v="258.35000000000002"/>
    <n v="263.33999999999997"/>
    <n v="257.52"/>
    <n v="261.44"/>
    <n v="106494359"/>
    <x v="2063"/>
    <x v="8"/>
    <n v="1.196051867621434E-2"/>
  </r>
  <r>
    <d v="2023-12-28T00:00:00"/>
    <n v="263.66000000000003"/>
    <n v="265.13"/>
    <n v="252.71"/>
    <n v="253.18"/>
    <n v="113619943"/>
    <x v="2064"/>
    <x v="8"/>
    <n v="-3.9748160509747464E-2"/>
  </r>
  <r>
    <d v="2023-12-29T00:00:00"/>
    <n v="255.1"/>
    <n v="255.19"/>
    <n v="247.43"/>
    <n v="248.48"/>
    <n v="100891578"/>
    <x v="2065"/>
    <x v="8"/>
    <n v="-2.5950607604860856E-2"/>
  </r>
  <r>
    <d v="2024-01-02T00:00:00"/>
    <n v="250.08"/>
    <n v="251.25"/>
    <n v="244.41"/>
    <n v="248.42"/>
    <n v="104654163"/>
    <x v="2066"/>
    <x v="9"/>
    <n v="-6.6378758797185902E-3"/>
  </r>
  <r>
    <d v="2024-01-03T00:00:00"/>
    <n v="244.98"/>
    <n v="245.68"/>
    <n v="236.32"/>
    <n v="238.45"/>
    <n v="121082599"/>
    <x v="2067"/>
    <x v="9"/>
    <n v="-2.6655237162217328E-2"/>
  </r>
  <r>
    <d v="2024-01-04T00:00:00"/>
    <n v="239.25"/>
    <n v="242.7"/>
    <n v="237.73"/>
    <n v="237.93"/>
    <n v="102629283"/>
    <x v="2068"/>
    <x v="9"/>
    <n v="-5.5172413793103166E-3"/>
  </r>
  <r>
    <d v="2024-01-05T00:00:00"/>
    <n v="236.86"/>
    <n v="240.12"/>
    <n v="234.9"/>
    <n v="237.49"/>
    <n v="92488939"/>
    <x v="2069"/>
    <x v="9"/>
    <n v="2.6597990374060431E-3"/>
  </r>
  <r>
    <d v="2024-01-08T00:00:00"/>
    <n v="236.14"/>
    <n v="241.25"/>
    <n v="235.3"/>
    <n v="240.45"/>
    <n v="85166580"/>
    <x v="2070"/>
    <x v="9"/>
    <n v="1.8251884475311266E-2"/>
  </r>
  <r>
    <d v="2024-01-09T00:00:00"/>
    <n v="238.11"/>
    <n v="238.96"/>
    <n v="232.04"/>
    <n v="234.96"/>
    <n v="96705664"/>
    <x v="2071"/>
    <x v="9"/>
    <n v="-1.322917979085299E-2"/>
  </r>
  <r>
    <d v="2024-01-10T00:00:00"/>
    <n v="235.1"/>
    <n v="235.5"/>
    <n v="231.29"/>
    <n v="233.94"/>
    <n v="91628502"/>
    <x v="2072"/>
    <x v="9"/>
    <n v="-4.9340706082517932E-3"/>
  </r>
  <r>
    <d v="2024-01-11T00:00:00"/>
    <n v="230.57"/>
    <n v="230.93"/>
    <n v="225.37"/>
    <n v="227.22"/>
    <n v="105873612"/>
    <x v="2073"/>
    <x v="9"/>
    <n v="-1.4529210218154983E-2"/>
  </r>
  <r>
    <d v="2024-01-12T00:00:00"/>
    <n v="220.08"/>
    <n v="225.34"/>
    <n v="217.15"/>
    <n v="218.89"/>
    <n v="123043812"/>
    <x v="2074"/>
    <x v="9"/>
    <n v="-5.4071246819339608E-3"/>
  </r>
  <r>
    <d v="2024-01-16T00:00:00"/>
    <n v="215.1"/>
    <n v="223.49"/>
    <n v="212.18"/>
    <n v="219.91"/>
    <n v="115355046"/>
    <x v="2075"/>
    <x v="9"/>
    <n v="2.2361692236169236E-2"/>
  </r>
  <r>
    <d v="2024-01-17T00:00:00"/>
    <n v="214.86"/>
    <n v="215.67"/>
    <n v="212.01"/>
    <n v="215.55"/>
    <n v="103164400"/>
    <x v="2076"/>
    <x v="9"/>
    <n v="3.2113934655124158E-3"/>
  </r>
  <r>
    <d v="2024-01-18T00:00:00"/>
    <n v="216.88"/>
    <n v="217.45"/>
    <n v="208.74"/>
    <n v="211.88"/>
    <n v="108595431"/>
    <x v="2077"/>
    <x v="9"/>
    <n v="-2.3054223533751382E-2"/>
  </r>
  <r>
    <d v="2024-01-19T00:00:00"/>
    <n v="209.99"/>
    <n v="213.19"/>
    <n v="207.56"/>
    <n v="212.19"/>
    <n v="102260343"/>
    <x v="2078"/>
    <x v="9"/>
    <n v="1.0476689366160238E-2"/>
  </r>
  <r>
    <d v="2024-01-22T00:00:00"/>
    <n v="212.26"/>
    <n v="217.8"/>
    <n v="206.27"/>
    <n v="208.8"/>
    <n v="117952527"/>
    <x v="2079"/>
    <x v="9"/>
    <n v="-1.6300763214924997E-2"/>
  </r>
  <r>
    <d v="2024-01-23T00:00:00"/>
    <n v="211.3"/>
    <n v="215.65"/>
    <n v="207.75"/>
    <n v="209.14"/>
    <n v="106605946"/>
    <x v="2080"/>
    <x v="9"/>
    <n v="-1.0222432560340866E-2"/>
  </r>
  <r>
    <d v="2024-01-24T00:00:00"/>
    <n v="211.88"/>
    <n v="212.73"/>
    <n v="206.77"/>
    <n v="207.83"/>
    <n v="123369932"/>
    <x v="2081"/>
    <x v="9"/>
    <n v="-1.9114593165942908E-2"/>
  </r>
  <r>
    <d v="2024-01-25T00:00:00"/>
    <n v="189.7"/>
    <n v="193"/>
    <n v="180.06"/>
    <n v="182.63"/>
    <n v="198076787"/>
    <x v="2082"/>
    <x v="9"/>
    <n v="-3.7269372693726904E-2"/>
  </r>
  <r>
    <d v="2024-01-26T00:00:00"/>
    <n v="185.5"/>
    <n v="186.78"/>
    <n v="182.1"/>
    <n v="183.25"/>
    <n v="107343231"/>
    <x v="2083"/>
    <x v="9"/>
    <n v="-1.2129380053908356E-2"/>
  </r>
  <r>
    <d v="2024-01-29T00:00:00"/>
    <n v="185.63"/>
    <n v="191.48"/>
    <n v="183.67"/>
    <n v="190.93"/>
    <n v="125013148"/>
    <x v="2084"/>
    <x v="9"/>
    <n v="2.8551419490384158E-2"/>
  </r>
  <r>
    <d v="2024-01-30T00:00:00"/>
    <n v="195.33"/>
    <n v="196.36"/>
    <n v="190.61"/>
    <n v="191.59"/>
    <n v="109982327"/>
    <x v="2085"/>
    <x v="9"/>
    <n v="-1.9147084421235902E-2"/>
  </r>
  <r>
    <d v="2024-01-31T00:00:00"/>
    <n v="187"/>
    <n v="193.97"/>
    <n v="185.85"/>
    <n v="187.29"/>
    <n v="103221430"/>
    <x v="2086"/>
    <x v="9"/>
    <n v="1.5508021390373905E-3"/>
  </r>
  <r>
    <d v="2024-02-01T00:00:00"/>
    <n v="188.5"/>
    <n v="189.88"/>
    <n v="184.28"/>
    <n v="188.86"/>
    <n v="91843275"/>
    <x v="2087"/>
    <x v="9"/>
    <n v="1.9098143236074994E-3"/>
  </r>
  <r>
    <d v="2024-02-02T00:00:00"/>
    <n v="185.04"/>
    <n v="188.69"/>
    <n v="182"/>
    <n v="187.91"/>
    <n v="110612672"/>
    <x v="2088"/>
    <x v="9"/>
    <n v="1.5510159965412908E-2"/>
  </r>
  <r>
    <d v="2024-02-05T00:00:00"/>
    <n v="184.26"/>
    <n v="184.68"/>
    <n v="175.01"/>
    <n v="181.06"/>
    <n v="134294447"/>
    <x v="2089"/>
    <x v="9"/>
    <n v="-1.73667643547161E-2"/>
  </r>
  <r>
    <d v="2024-02-06T00:00:00"/>
    <n v="177.21"/>
    <n v="186.49"/>
    <n v="177.11"/>
    <n v="185.1"/>
    <n v="122675954"/>
    <x v="2090"/>
    <x v="9"/>
    <n v="4.4523446758083549E-2"/>
  </r>
  <r>
    <d v="2024-02-07T00:00:00"/>
    <n v="188.18"/>
    <n v="189.79"/>
    <n v="182.68"/>
    <n v="187.58"/>
    <n v="111535217"/>
    <x v="2091"/>
    <x v="9"/>
    <n v="-3.188436603252175E-3"/>
  </r>
  <r>
    <d v="2024-02-08T00:00:00"/>
    <n v="189"/>
    <n v="191.62"/>
    <n v="185.58"/>
    <n v="189.56"/>
    <n v="83034043"/>
    <x v="2092"/>
    <x v="9"/>
    <n v="2.962962962962975E-3"/>
  </r>
  <r>
    <d v="2024-02-09T00:00:00"/>
    <n v="190.18"/>
    <n v="194.12"/>
    <n v="189.48"/>
    <n v="193.57"/>
    <n v="84476347"/>
    <x v="2093"/>
    <x v="9"/>
    <n v="1.7825218214323202E-2"/>
  </r>
  <r>
    <d v="2024-02-12T00:00:00"/>
    <n v="192.11"/>
    <n v="194.73"/>
    <n v="187.28"/>
    <n v="188.13"/>
    <n v="95498597"/>
    <x v="2094"/>
    <x v="9"/>
    <n v="-2.071729738170849E-2"/>
  </r>
  <r>
    <d v="2024-02-13T00:00:00"/>
    <n v="183.99"/>
    <n v="187.26"/>
    <n v="182.11"/>
    <n v="184.02"/>
    <n v="86759478"/>
    <x v="2095"/>
    <x v="9"/>
    <n v="1.6305233980108233E-4"/>
  </r>
  <r>
    <d v="2024-02-14T00:00:00"/>
    <n v="185.3"/>
    <n v="188.89"/>
    <n v="183.35"/>
    <n v="188.71"/>
    <n v="81202987"/>
    <x v="2096"/>
    <x v="9"/>
    <n v="1.8402590393955729E-2"/>
  </r>
  <r>
    <d v="2024-02-15T00:00:00"/>
    <n v="189.16"/>
    <n v="200.88"/>
    <n v="188.86"/>
    <n v="200.45"/>
    <n v="120831762"/>
    <x v="2097"/>
    <x v="9"/>
    <n v="5.96849228166631E-2"/>
  </r>
  <r>
    <d v="2024-02-16T00:00:00"/>
    <n v="202.06"/>
    <n v="203.17"/>
    <n v="197.4"/>
    <n v="199.95"/>
    <n v="111346705"/>
    <x v="2098"/>
    <x v="9"/>
    <n v="-1.0442442838760831E-2"/>
  </r>
  <r>
    <d v="2024-02-20T00:00:00"/>
    <n v="196.13"/>
    <n v="198.6"/>
    <n v="189.13"/>
    <n v="193.76"/>
    <n v="104545762"/>
    <x v="2099"/>
    <x v="9"/>
    <n v="-1.2083821954825904E-2"/>
  </r>
  <r>
    <d v="2024-02-21T00:00:00"/>
    <n v="193.36"/>
    <n v="199.44"/>
    <n v="191.95"/>
    <n v="194.77"/>
    <n v="103844008"/>
    <x v="2100"/>
    <x v="9"/>
    <n v="7.292097641704574E-3"/>
  </r>
  <r>
    <d v="2024-02-22T00:00:00"/>
    <n v="194"/>
    <n v="198.32"/>
    <n v="191.36"/>
    <n v="197.41"/>
    <n v="92739461"/>
    <x v="2101"/>
    <x v="9"/>
    <n v="1.7577319587628849E-2"/>
  </r>
  <r>
    <d v="2024-02-23T00:00:00"/>
    <n v="195.31"/>
    <n v="197.57"/>
    <n v="191.5"/>
    <n v="191.97"/>
    <n v="78841917"/>
    <x v="2102"/>
    <x v="9"/>
    <n v="-1.7101018893041848E-2"/>
  </r>
  <r>
    <d v="2024-02-26T00:00:00"/>
    <n v="192.29"/>
    <n v="201.78"/>
    <n v="192"/>
    <n v="199.4"/>
    <n v="111747116"/>
    <x v="2103"/>
    <x v="9"/>
    <n v="3.6975401736959873E-2"/>
  </r>
  <r>
    <d v="2024-02-27T00:00:00"/>
    <n v="204.04"/>
    <n v="205.6"/>
    <n v="198.26"/>
    <n v="199.73"/>
    <n v="108645412"/>
    <x v="2104"/>
    <x v="9"/>
    <n v="-2.1123309155067646E-2"/>
  </r>
  <r>
    <d v="2024-02-28T00:00:00"/>
    <n v="200.42"/>
    <n v="205.3"/>
    <n v="198.44"/>
    <n v="202.04"/>
    <n v="99806173"/>
    <x v="2105"/>
    <x v="9"/>
    <n v="8.0830256461431223E-3"/>
  </r>
  <r>
    <d v="2024-02-29T00:00:00"/>
    <n v="204.18"/>
    <n v="205.28"/>
    <n v="198.45"/>
    <n v="201.88"/>
    <n v="85906974"/>
    <x v="2106"/>
    <x v="9"/>
    <n v="-1.1264570477030127E-2"/>
  </r>
  <r>
    <d v="2024-03-01T00:00:00"/>
    <n v="200.52"/>
    <n v="204.52"/>
    <n v="198.5"/>
    <n v="202.64"/>
    <n v="82243119"/>
    <x v="2107"/>
    <x v="9"/>
    <n v="1.0572511470177419E-2"/>
  </r>
  <r>
    <d v="2024-03-04T00:00:00"/>
    <n v="198.73"/>
    <n v="199.75"/>
    <n v="186.72"/>
    <n v="188.14"/>
    <n v="134334869"/>
    <x v="2108"/>
    <x v="9"/>
    <n v="-5.3288381220751795E-2"/>
  </r>
  <r>
    <d v="2024-03-05T00:00:00"/>
    <n v="183.05"/>
    <n v="184.59"/>
    <n v="177.57"/>
    <n v="180.74"/>
    <n v="119660758"/>
    <x v="2109"/>
    <x v="9"/>
    <n v="-1.2619502868068845E-2"/>
  </r>
  <r>
    <d v="2024-03-06T00:00:00"/>
    <n v="179.99"/>
    <n v="181.58"/>
    <n v="173.7"/>
    <n v="176.54"/>
    <n v="107920944"/>
    <x v="2110"/>
    <x v="9"/>
    <n v="-1.916773154064124E-2"/>
  </r>
  <r>
    <d v="2024-03-07T00:00:00"/>
    <n v="174.35"/>
    <n v="180.04"/>
    <n v="173.7"/>
    <n v="178.65"/>
    <n v="102129004"/>
    <x v="2111"/>
    <x v="9"/>
    <n v="2.4663034126756592E-2"/>
  </r>
  <r>
    <d v="2024-03-08T00:00:00"/>
    <n v="181.5"/>
    <n v="182.73"/>
    <n v="174.7"/>
    <n v="175.34"/>
    <n v="85544644"/>
    <x v="2112"/>
    <x v="9"/>
    <n v="-3.3939393939393922E-2"/>
  </r>
  <r>
    <d v="2024-03-11T00:00:00"/>
    <n v="175.45"/>
    <n v="182.87"/>
    <n v="174.8"/>
    <n v="177.77"/>
    <n v="85391528"/>
    <x v="2113"/>
    <x v="9"/>
    <n v="1.3223140495867893E-2"/>
  </r>
  <r>
    <d v="2024-03-12T00:00:00"/>
    <n v="177.77"/>
    <n v="179.43"/>
    <n v="172.41"/>
    <n v="177.54"/>
    <n v="87391684"/>
    <x v="2114"/>
    <x v="9"/>
    <n v="-1.2938066040390289E-3"/>
  </r>
  <r>
    <d v="2024-03-13T00:00:00"/>
    <n v="173.05"/>
    <n v="176.05"/>
    <n v="169.15"/>
    <n v="169.48"/>
    <n v="106524518"/>
    <x v="2115"/>
    <x v="9"/>
    <n v="-2.0629875758451439E-2"/>
  </r>
  <r>
    <d v="2024-03-14T00:00:00"/>
    <n v="167.77"/>
    <n v="171.17"/>
    <n v="160.51"/>
    <n v="162.5"/>
    <n v="126325696"/>
    <x v="2116"/>
    <x v="9"/>
    <n v="-3.1412052214341124E-2"/>
  </r>
  <r>
    <d v="2024-03-15T00:00:00"/>
    <n v="163.16"/>
    <n v="165.18"/>
    <n v="160.76"/>
    <n v="163.57"/>
    <n v="97146832"/>
    <x v="2117"/>
    <x v="9"/>
    <n v="2.5128708016670543E-3"/>
  </r>
  <r>
    <d v="2024-03-18T00:00:00"/>
    <n v="170.02"/>
    <n v="174.72"/>
    <n v="165.9"/>
    <n v="173.8"/>
    <n v="108214358"/>
    <x v="2118"/>
    <x v="9"/>
    <n v="2.2232678508410781E-2"/>
  </r>
  <r>
    <d v="2024-03-19T00:00:00"/>
    <n v="172.36"/>
    <n v="172.82"/>
    <n v="167.42"/>
    <n v="171.32"/>
    <n v="77271428"/>
    <x v="2119"/>
    <x v="9"/>
    <n v="-6.0338825713623836E-3"/>
  </r>
  <r>
    <d v="2024-03-20T00:00:00"/>
    <n v="173"/>
    <n v="176.25"/>
    <n v="170.82"/>
    <n v="175.66"/>
    <n v="83846726"/>
    <x v="2120"/>
    <x v="9"/>
    <n v="1.5375722543352581E-2"/>
  </r>
  <r>
    <d v="2024-03-21T00:00:00"/>
    <n v="176.39"/>
    <n v="178.18"/>
    <n v="171.8"/>
    <n v="172.82"/>
    <n v="73178014"/>
    <x v="2121"/>
    <x v="9"/>
    <n v="-2.023924258744823E-2"/>
  </r>
  <r>
    <d v="2024-03-22T00:00:00"/>
    <n v="166.69"/>
    <n v="171.2"/>
    <n v="166.3"/>
    <n v="170.83"/>
    <n v="75580637"/>
    <x v="2122"/>
    <x v="9"/>
    <n v="2.4836522886795939E-2"/>
  </r>
  <r>
    <d v="2024-03-25T00:00:00"/>
    <n v="168.76"/>
    <n v="175.24"/>
    <n v="168.73"/>
    <n v="172.63"/>
    <n v="74228615"/>
    <x v="2123"/>
    <x v="9"/>
    <n v="2.2931974401516977E-2"/>
  </r>
  <r>
    <d v="2024-03-26T00:00:00"/>
    <n v="178.58"/>
    <n v="184.25"/>
    <n v="177.38"/>
    <n v="177.67"/>
    <n v="113186227"/>
    <x v="2124"/>
    <x v="9"/>
    <n v="-5.09575540374076E-3"/>
  </r>
  <r>
    <d v="2024-03-27T00:00:00"/>
    <n v="181.41"/>
    <n v="181.91"/>
    <n v="176"/>
    <n v="179.83"/>
    <n v="81804043"/>
    <x v="2125"/>
    <x v="9"/>
    <n v="-8.7095529463645013E-3"/>
  </r>
  <r>
    <d v="2024-03-28T00:00:00"/>
    <n v="177.45"/>
    <n v="179.57"/>
    <n v="175.3"/>
    <n v="175.79"/>
    <n v="77654838"/>
    <x v="2126"/>
    <x v="9"/>
    <n v="-9.3547478162862591E-3"/>
  </r>
  <r>
    <d v="2024-04-01T00:00:00"/>
    <n v="176.17"/>
    <n v="176.75"/>
    <n v="170.21"/>
    <n v="175.22"/>
    <n v="81562127"/>
    <x v="2127"/>
    <x v="9"/>
    <n v="-5.3925185899982332E-3"/>
  </r>
  <r>
    <d v="2024-04-02T00:00:00"/>
    <n v="164.75"/>
    <n v="167.69"/>
    <n v="163.43"/>
    <n v="166.63"/>
    <n v="116650594"/>
    <x v="2128"/>
    <x v="9"/>
    <n v="1.1411229135053083E-2"/>
  </r>
  <r>
    <d v="2024-04-03T00:00:00"/>
    <n v="164.02"/>
    <n v="168.82"/>
    <n v="163.28"/>
    <n v="168.38"/>
    <n v="82950141"/>
    <x v="2129"/>
    <x v="9"/>
    <n v="2.6582124131203418E-2"/>
  </r>
  <r>
    <d v="2024-04-04T00:00:00"/>
    <n v="170.07"/>
    <n v="177.19"/>
    <n v="168.01"/>
    <n v="171.11"/>
    <n v="123161960"/>
    <x v="2130"/>
    <x v="9"/>
    <n v="6.1151290645029719E-3"/>
  </r>
  <r>
    <d v="2024-04-05T00:00:00"/>
    <n v="169.08"/>
    <n v="170.86"/>
    <n v="160.51"/>
    <n v="164.9"/>
    <n v="143157603"/>
    <x v="2131"/>
    <x v="9"/>
    <n v="-2.4722025076886721E-2"/>
  </r>
  <r>
    <d v="2024-04-08T00:00:00"/>
    <n v="169.34"/>
    <n v="174.5"/>
    <n v="167.79"/>
    <n v="172.98"/>
    <n v="104423320"/>
    <x v="2132"/>
    <x v="9"/>
    <n v="2.1495216723750953E-2"/>
  </r>
  <r>
    <d v="2024-04-09T00:00:00"/>
    <n v="172.91"/>
    <n v="179.22"/>
    <n v="171.92"/>
    <n v="176.88"/>
    <n v="103232675"/>
    <x v="2133"/>
    <x v="9"/>
    <n v="2.2959921346365156E-2"/>
  </r>
  <r>
    <d v="2024-04-10T00:00:00"/>
    <n v="173.04"/>
    <n v="174.93"/>
    <n v="170.01"/>
    <n v="171.76"/>
    <n v="84532407"/>
    <x v="2134"/>
    <x v="9"/>
    <n v="-7.3971336107258503E-3"/>
  </r>
  <r>
    <d v="2024-04-11T00:00:00"/>
    <n v="172.55"/>
    <n v="175.88"/>
    <n v="168.51"/>
    <n v="174.6"/>
    <n v="94515987"/>
    <x v="2135"/>
    <x v="9"/>
    <n v="1.1880614314691295E-2"/>
  </r>
  <r>
    <d v="2024-04-12T00:00:00"/>
    <n v="172.34"/>
    <n v="173.81"/>
    <n v="170.36"/>
    <n v="171.05"/>
    <n v="64722669"/>
    <x v="2136"/>
    <x v="9"/>
    <n v="-7.4852036671695021E-3"/>
  </r>
  <r>
    <d v="2024-04-15T00:00:00"/>
    <n v="170.24"/>
    <n v="170.69"/>
    <n v="161.38"/>
    <n v="161.47999999999999"/>
    <n v="100245310"/>
    <x v="2137"/>
    <x v="9"/>
    <n v="-5.1456766917293346E-2"/>
  </r>
  <r>
    <d v="2024-04-16T00:00:00"/>
    <n v="156.74"/>
    <n v="158.19"/>
    <n v="153.75"/>
    <n v="157.11000000000001"/>
    <n v="96999956"/>
    <x v="2138"/>
    <x v="9"/>
    <n v="2.3605971672834283E-3"/>
  </r>
  <r>
    <d v="2024-04-17T00:00:00"/>
    <n v="157.63999999999999"/>
    <n v="158.33000000000001"/>
    <n v="153.78"/>
    <n v="155.44999999999999"/>
    <n v="82439718"/>
    <x v="2139"/>
    <x v="9"/>
    <n v="-1.389241309312356E-2"/>
  </r>
  <r>
    <d v="2024-04-18T00:00:00"/>
    <n v="151.25"/>
    <n v="152.19999999999999"/>
    <n v="148.69999999999999"/>
    <n v="149.93"/>
    <n v="96098830"/>
    <x v="2140"/>
    <x v="9"/>
    <n v="-8.7272727272726825E-3"/>
  </r>
  <r>
    <d v="2024-04-19T00:00:00"/>
    <n v="148.97"/>
    <n v="150.94"/>
    <n v="146.22"/>
    <n v="147.05000000000001"/>
    <n v="87074500"/>
    <x v="2141"/>
    <x v="9"/>
    <n v="-1.2888501040477864E-2"/>
  </r>
  <r>
    <d v="2024-04-22T00:00:00"/>
    <n v="140.56"/>
    <n v="144.44"/>
    <n v="138.80000000000001"/>
    <n v="142.05000000000001"/>
    <n v="107097564"/>
    <x v="2142"/>
    <x v="9"/>
    <n v="1.0600455321570924E-2"/>
  </r>
  <r>
    <d v="2024-04-23T00:00:00"/>
    <n v="143.33000000000001"/>
    <n v="147.26"/>
    <n v="141.11000000000001"/>
    <n v="144.68"/>
    <n v="124545104"/>
    <x v="2143"/>
    <x v="9"/>
    <n v="9.4188236935742291E-3"/>
  </r>
  <r>
    <d v="2024-04-24T00:00:00"/>
    <n v="162.84"/>
    <n v="167.97"/>
    <n v="157.51"/>
    <n v="162.13"/>
    <n v="181178020"/>
    <x v="2144"/>
    <x v="9"/>
    <n v="-4.3601080815524927E-3"/>
  </r>
  <r>
    <d v="2024-04-25T00:00:00"/>
    <n v="158.96"/>
    <n v="170.88"/>
    <n v="158.36000000000001"/>
    <n v="170.18"/>
    <n v="126427521"/>
    <x v="2145"/>
    <x v="9"/>
    <n v="7.0583794665324592E-2"/>
  </r>
  <r>
    <d v="2024-04-26T00:00:00"/>
    <n v="168.85"/>
    <n v="172.12"/>
    <n v="166.37"/>
    <n v="168.29"/>
    <n v="109815725"/>
    <x v="2146"/>
    <x v="9"/>
    <n v="-3.3165531536867177E-3"/>
  </r>
  <r>
    <d v="2024-04-29T00:00:00"/>
    <n v="188.42"/>
    <n v="198.87"/>
    <n v="184.54"/>
    <n v="194.05"/>
    <n v="243869678"/>
    <x v="2147"/>
    <x v="9"/>
    <n v="2.9880055195839212E-2"/>
  </r>
  <r>
    <d v="2024-04-30T00:00:00"/>
    <n v="186.98"/>
    <n v="190.95"/>
    <n v="182.84"/>
    <n v="183.28"/>
    <n v="127031787"/>
    <x v="2148"/>
    <x v="9"/>
    <n v="-1.9788212643063369E-2"/>
  </r>
  <r>
    <d v="2024-05-01T00:00:00"/>
    <n v="182"/>
    <n v="185.86"/>
    <n v="179.01"/>
    <n v="179.99"/>
    <n v="92829719"/>
    <x v="2149"/>
    <x v="9"/>
    <n v="-1.1043956043955994E-2"/>
  </r>
  <r>
    <d v="2024-05-02T00:00:00"/>
    <n v="182.86"/>
    <n v="184.6"/>
    <n v="176.02"/>
    <n v="180.01"/>
    <n v="89148041"/>
    <x v="2150"/>
    <x v="9"/>
    <n v="-1.5585693973531788E-2"/>
  </r>
  <r>
    <d v="2024-05-03T00:00:00"/>
    <n v="182.1"/>
    <n v="184.78"/>
    <n v="178.42"/>
    <n v="181.19"/>
    <n v="75491539"/>
    <x v="2151"/>
    <x v="9"/>
    <n v="-4.9972542559033311E-3"/>
  </r>
  <r>
    <d v="2024-05-06T00:00:00"/>
    <n v="183.8"/>
    <n v="187.56"/>
    <n v="182.2"/>
    <n v="184.76"/>
    <n v="84390253"/>
    <x v="2152"/>
    <x v="9"/>
    <n v="5.2230685527746437E-3"/>
  </r>
  <r>
    <d v="2024-05-07T00:00:00"/>
    <n v="182.4"/>
    <n v="183.26"/>
    <n v="177.4"/>
    <n v="177.81"/>
    <n v="75045854"/>
    <x v="2153"/>
    <x v="9"/>
    <n v="-2.5164473684210546E-2"/>
  </r>
  <r>
    <d v="2024-05-08T00:00:00"/>
    <n v="171.59"/>
    <n v="176.06"/>
    <n v="170.15"/>
    <n v="174.72"/>
    <n v="79969488"/>
    <x v="2154"/>
    <x v="9"/>
    <n v="1.8241156244536368E-2"/>
  </r>
  <r>
    <d v="2024-05-09T00:00:00"/>
    <n v="175.01"/>
    <n v="175.62"/>
    <n v="171.37"/>
    <n v="171.97"/>
    <n v="65950292"/>
    <x v="2155"/>
    <x v="9"/>
    <n v="-1.7370435975087094E-2"/>
  </r>
  <r>
    <d v="2024-05-10T00:00:00"/>
    <n v="173.05"/>
    <n v="173.06"/>
    <n v="167.75"/>
    <n v="168.47"/>
    <n v="72627178"/>
    <x v="2156"/>
    <x v="9"/>
    <n v="-2.6466339208321366E-2"/>
  </r>
  <r>
    <d v="2024-05-13T00:00:00"/>
    <n v="170"/>
    <n v="175.4"/>
    <n v="169"/>
    <n v="171.89"/>
    <n v="67018903"/>
    <x v="2157"/>
    <x v="9"/>
    <n v="1.1117647058823449E-2"/>
  </r>
  <r>
    <d v="2024-05-14T00:00:00"/>
    <n v="174.5"/>
    <n v="179.49"/>
    <n v="174.07"/>
    <n v="177.55"/>
    <n v="86407422"/>
    <x v="2158"/>
    <x v="9"/>
    <n v="1.747851002865336E-2"/>
  </r>
  <r>
    <d v="2024-05-15T00:00:00"/>
    <n v="179.9"/>
    <n v="180"/>
    <n v="173.11"/>
    <n v="173.99"/>
    <n v="79662993"/>
    <x v="2159"/>
    <x v="9"/>
    <n v="-3.2851584213451898E-2"/>
  </r>
  <r>
    <d v="2024-05-16T00:00:00"/>
    <n v="174.1"/>
    <n v="175.79"/>
    <n v="171.43"/>
    <n v="174.84"/>
    <n v="59812220"/>
    <x v="2160"/>
    <x v="9"/>
    <n v="4.2504307869041308E-3"/>
  </r>
  <r>
    <d v="2024-05-17T00:00:00"/>
    <n v="173.55"/>
    <n v="179.63"/>
    <n v="172.75"/>
    <n v="177.46"/>
    <n v="77445845"/>
    <x v="2161"/>
    <x v="9"/>
    <n v="2.2529530394698911E-2"/>
  </r>
  <r>
    <d v="2024-05-20T00:00:00"/>
    <n v="177.56"/>
    <n v="177.75"/>
    <n v="173.52"/>
    <n v="174.95"/>
    <n v="61727425"/>
    <x v="2162"/>
    <x v="9"/>
    <n v="-1.4699256589321997E-2"/>
  </r>
  <r>
    <d v="2024-05-21T00:00:00"/>
    <n v="175.51"/>
    <n v="186.88"/>
    <n v="174.71"/>
    <n v="186.6"/>
    <n v="115266512"/>
    <x v="2163"/>
    <x v="9"/>
    <n v="6.3187282775910222E-2"/>
  </r>
  <r>
    <d v="2024-05-22T00:00:00"/>
    <n v="182.85"/>
    <n v="183.8"/>
    <n v="178.12"/>
    <n v="180.11"/>
    <n v="88313477"/>
    <x v="2164"/>
    <x v="9"/>
    <n v="-1.4984960350013567E-2"/>
  </r>
  <r>
    <d v="2024-05-23T00:00:00"/>
    <n v="181.8"/>
    <n v="181.9"/>
    <n v="173.26"/>
    <n v="173.74"/>
    <n v="71975496"/>
    <x v="2165"/>
    <x v="9"/>
    <n v="-4.4334433443344347E-2"/>
  </r>
  <r>
    <d v="2024-05-24T00:00:00"/>
    <n v="174.84"/>
    <n v="180.08"/>
    <n v="173.73"/>
    <n v="179.24"/>
    <n v="65584478"/>
    <x v="2166"/>
    <x v="9"/>
    <n v="2.5165865934568779E-2"/>
  </r>
  <r>
    <d v="2024-05-28T00:00:00"/>
    <n v="176.4"/>
    <n v="178.25"/>
    <n v="173.16"/>
    <n v="176.75"/>
    <n v="59736620"/>
    <x v="2167"/>
    <x v="9"/>
    <n v="1.9841269841269519E-3"/>
  </r>
  <r>
    <d v="2024-05-29T00:00:00"/>
    <n v="174.19"/>
    <n v="178.15"/>
    <n v="173.93"/>
    <n v="176.19"/>
    <n v="54782649"/>
    <x v="2168"/>
    <x v="9"/>
    <n v="1.1481715368276021E-2"/>
  </r>
  <r>
    <d v="2024-05-30T00:00:00"/>
    <n v="178.58"/>
    <n v="182.67"/>
    <n v="175.38"/>
    <n v="178.79"/>
    <n v="77784755"/>
    <x v="2169"/>
    <x v="9"/>
    <n v="1.1759435547092593E-3"/>
  </r>
  <r>
    <d v="2024-05-31T00:00:00"/>
    <n v="178.5"/>
    <n v="180.32"/>
    <n v="173.82"/>
    <n v="178.08"/>
    <n v="67314602"/>
    <x v="2170"/>
    <x v="9"/>
    <n v="-2.3529411764705182E-3"/>
  </r>
  <r>
    <d v="2024-06-03T00:00:00"/>
    <n v="178.13"/>
    <n v="182.64"/>
    <n v="174.49"/>
    <n v="176.29"/>
    <n v="68568920"/>
    <x v="2171"/>
    <x v="9"/>
    <n v="-1.0329534609554838E-2"/>
  </r>
  <r>
    <d v="2024-06-04T00:00:00"/>
    <n v="174.78"/>
    <n v="177.76"/>
    <n v="174"/>
    <n v="174.77"/>
    <n v="60056340"/>
    <x v="2172"/>
    <x v="9"/>
    <n v="-5.7214784300211153E-5"/>
  </r>
  <r>
    <d v="2024-06-05T00:00:00"/>
    <n v="175.35"/>
    <n v="176.15"/>
    <n v="172.13"/>
    <n v="175"/>
    <n v="57953756"/>
    <x v="2173"/>
    <x v="9"/>
    <n v="-1.9960079840319039E-3"/>
  </r>
  <r>
    <d v="2024-06-06T00:00:00"/>
    <n v="174.6"/>
    <n v="179.73"/>
    <n v="172.73"/>
    <n v="177.94"/>
    <n v="69887024"/>
    <x v="2174"/>
    <x v="9"/>
    <n v="1.9129438717067602E-2"/>
  </r>
  <r>
    <d v="2024-06-07T00:00:00"/>
    <n v="176.13"/>
    <n v="179.35"/>
    <n v="175.58"/>
    <n v="177.48"/>
    <n v="56244932"/>
    <x v="2175"/>
    <x v="9"/>
    <n v="7.6647930505876023E-3"/>
  </r>
  <r>
    <d v="2024-06-10T00:00:00"/>
    <n v="176.06"/>
    <n v="178.57"/>
    <n v="173.17"/>
    <n v="173.79"/>
    <n v="50869682"/>
    <x v="2176"/>
    <x v="9"/>
    <n v="-1.2893331818698228E-2"/>
  </r>
  <r>
    <d v="2024-06-11T00:00:00"/>
    <n v="173.92"/>
    <n v="174.75"/>
    <n v="167.41"/>
    <n v="170.66"/>
    <n v="64761928"/>
    <x v="2177"/>
    <x v="9"/>
    <n v="-1.8744250229990749E-2"/>
  </r>
  <r>
    <d v="2024-06-12T00:00:00"/>
    <n v="171.12"/>
    <n v="180.55"/>
    <n v="169.8"/>
    <n v="177.29"/>
    <n v="90389446"/>
    <x v="2178"/>
    <x v="9"/>
    <n v="3.6056568489948503E-2"/>
  </r>
  <r>
    <d v="2024-06-13T00:00:00"/>
    <n v="188.39"/>
    <n v="191.08"/>
    <n v="181.23"/>
    <n v="182.47"/>
    <n v="118984122"/>
    <x v="2179"/>
    <x v="9"/>
    <n v="-3.1424173257603841E-2"/>
  </r>
  <r>
    <d v="2024-06-14T00:00:00"/>
    <n v="185.8"/>
    <n v="186"/>
    <n v="176.92"/>
    <n v="178.01"/>
    <n v="82038194"/>
    <x v="2180"/>
    <x v="9"/>
    <n v="-4.1926803013993652E-2"/>
  </r>
  <r>
    <d v="2024-06-17T00:00:00"/>
    <n v="177.92"/>
    <n v="188.81"/>
    <n v="177"/>
    <n v="187.44"/>
    <n v="109786083"/>
    <x v="2181"/>
    <x v="9"/>
    <n v="5.3507194244604379E-2"/>
  </r>
  <r>
    <d v="2024-06-18T00:00:00"/>
    <n v="186.56"/>
    <n v="187.2"/>
    <n v="182.37"/>
    <n v="184.86"/>
    <n v="68982265"/>
    <x v="2182"/>
    <x v="9"/>
    <n v="-9.1123499142366452E-3"/>
  </r>
  <r>
    <d v="2024-06-20T00:00:00"/>
    <n v="184.68"/>
    <n v="185.21"/>
    <n v="179.66"/>
    <n v="181.57"/>
    <n v="55893139"/>
    <x v="2183"/>
    <x v="9"/>
    <n v="-1.6839939354559311E-2"/>
  </r>
  <r>
    <d v="2024-06-21T00:00:00"/>
    <n v="182.3"/>
    <n v="183.95"/>
    <n v="180.69"/>
    <n v="183.01"/>
    <n v="63029482"/>
    <x v="2184"/>
    <x v="9"/>
    <n v="3.8946791003838699E-3"/>
  </r>
  <r>
    <d v="2024-06-24T00:00:00"/>
    <n v="184.97"/>
    <n v="188.8"/>
    <n v="182.55"/>
    <n v="182.58"/>
    <n v="61992070"/>
    <x v="2185"/>
    <x v="9"/>
    <n v="-1.2921014218521848E-2"/>
  </r>
  <r>
    <d v="2024-06-25T00:00:00"/>
    <n v="184.4"/>
    <n v="187.97"/>
    <n v="182.01"/>
    <n v="187.35"/>
    <n v="63678265"/>
    <x v="2186"/>
    <x v="9"/>
    <n v="1.5997830802602975E-2"/>
  </r>
  <r>
    <d v="2024-06-26T00:00:00"/>
    <n v="186.54"/>
    <n v="197.76"/>
    <n v="186.36"/>
    <n v="196.37"/>
    <n v="95737066"/>
    <x v="2187"/>
    <x v="9"/>
    <n v="5.2696472606411561E-2"/>
  </r>
  <r>
    <d v="2024-06-27T00:00:00"/>
    <n v="195.17"/>
    <n v="198.72"/>
    <n v="194.05"/>
    <n v="197.42"/>
    <n v="72746521"/>
    <x v="2188"/>
    <x v="9"/>
    <n v="1.1528411128759544E-2"/>
  </r>
  <r>
    <d v="2024-06-28T00:00:00"/>
    <n v="199.55"/>
    <n v="203.2"/>
    <n v="195.26"/>
    <n v="197.88"/>
    <n v="95438068"/>
    <x v="2189"/>
    <x v="9"/>
    <n v="-8.3688298672012825E-3"/>
  </r>
  <r>
    <d v="2024-07-01T00:00:00"/>
    <n v="201.02"/>
    <n v="213.23"/>
    <n v="200.85"/>
    <n v="209.86"/>
    <n v="135691395"/>
    <x v="2190"/>
    <x v="9"/>
    <n v="4.3975723808576277E-2"/>
  </r>
  <r>
    <d v="2024-07-02T00:00:00"/>
    <n v="218.89"/>
    <n v="231.3"/>
    <n v="218.06"/>
    <n v="231.26"/>
    <n v="205047920"/>
    <x v="2191"/>
    <x v="9"/>
    <n v="5.6512403490337634E-2"/>
  </r>
  <r>
    <d v="2024-07-03T00:00:00"/>
    <n v="234.56"/>
    <n v="248.35"/>
    <n v="234.25"/>
    <n v="246.39"/>
    <n v="166561471"/>
    <x v="2192"/>
    <x v="9"/>
    <n v="5.043485675306951E-2"/>
  </r>
  <r>
    <d v="2024-07-05T00:00:00"/>
    <n v="249.81"/>
    <n v="252.37"/>
    <n v="242.46"/>
    <n v="251.52"/>
    <n v="154501152"/>
    <x v="2193"/>
    <x v="9"/>
    <n v="6.8452023537889112E-3"/>
  </r>
  <r>
    <d v="2024-07-08T00:00:00"/>
    <n v="247.71"/>
    <n v="259.44"/>
    <n v="244.57"/>
    <n v="252.94"/>
    <n v="157219580"/>
    <x v="2194"/>
    <x v="9"/>
    <n v="2.1113398732388638E-2"/>
  </r>
  <r>
    <d v="2024-07-09T00:00:00"/>
    <n v="251"/>
    <n v="265.61"/>
    <n v="250.3"/>
    <n v="262.33"/>
    <n v="160742516"/>
    <x v="2195"/>
    <x v="9"/>
    <n v="4.5139442231075633E-2"/>
  </r>
  <r>
    <d v="2024-07-10T00:00:00"/>
    <n v="262.8"/>
    <n v="267.58999999999997"/>
    <n v="257.86"/>
    <n v="263.26"/>
    <n v="128519430"/>
    <x v="2196"/>
    <x v="9"/>
    <n v="1.7503805175037273E-3"/>
  </r>
  <r>
    <d v="2024-07-11T00:00:00"/>
    <n v="263.3"/>
    <n v="271"/>
    <n v="239.65"/>
    <n v="241.03"/>
    <n v="221707273"/>
    <x v="2197"/>
    <x v="9"/>
    <n v="-8.4580326623623275E-2"/>
  </r>
  <r>
    <d v="2024-07-12T00:00:00"/>
    <n v="235.8"/>
    <n v="251.84"/>
    <n v="233.09"/>
    <n v="248.23"/>
    <n v="155955773"/>
    <x v="2198"/>
    <x v="9"/>
    <n v="5.2714164546225524E-2"/>
  </r>
  <r>
    <d v="2024-07-15T00:00:00"/>
    <n v="255.97"/>
    <n v="265.60000000000002"/>
    <n v="251.73"/>
    <n v="252.64"/>
    <n v="146912920"/>
    <x v="2199"/>
    <x v="9"/>
    <n v="-1.3009337031683449E-2"/>
  </r>
  <r>
    <d v="2024-07-16T00:00:00"/>
    <n v="255.31"/>
    <n v="258.62"/>
    <n v="245.8"/>
    <n v="256.56"/>
    <n v="126332470"/>
    <x v="2200"/>
    <x v="9"/>
    <n v="4.8960087736477226E-3"/>
  </r>
  <r>
    <d v="2024-07-17T00:00:00"/>
    <n v="252.73"/>
    <n v="258.47000000000003"/>
    <n v="246.18"/>
    <n v="248.5"/>
    <n v="115584810"/>
    <x v="2201"/>
    <x v="9"/>
    <n v="-1.6737229454358366E-2"/>
  </r>
  <r>
    <d v="2024-07-18T00:00:00"/>
    <n v="251.09"/>
    <n v="257.14"/>
    <n v="247.2"/>
    <n v="249.23"/>
    <n v="110869037"/>
    <x v="2202"/>
    <x v="9"/>
    <n v="-7.407702417459929E-3"/>
  </r>
  <r>
    <d v="2024-07-19T00:00:00"/>
    <n v="247.79"/>
    <n v="249.44"/>
    <n v="236.83"/>
    <n v="239.2"/>
    <n v="87403903"/>
    <x v="2203"/>
    <x v="9"/>
    <n v="-3.4666451430646936E-2"/>
  </r>
  <r>
    <d v="2024-07-22T00:00:00"/>
    <n v="244.21"/>
    <n v="253.21"/>
    <n v="243.75"/>
    <n v="251.51"/>
    <n v="101225430"/>
    <x v="2204"/>
    <x v="9"/>
    <n v="2.9892305802383123E-2"/>
  </r>
  <r>
    <d v="2024-07-23T00:00:00"/>
    <n v="253.6"/>
    <n v="255.76"/>
    <n v="245.63"/>
    <n v="246.38"/>
    <n v="111928192"/>
    <x v="2205"/>
    <x v="9"/>
    <n v="-2.847003154574132E-2"/>
  </r>
  <r>
    <d v="2024-07-24T00:00:00"/>
    <n v="225.42"/>
    <n v="225.99"/>
    <n v="214.71"/>
    <n v="215.99"/>
    <n v="167942939"/>
    <x v="2206"/>
    <x v="9"/>
    <n v="-4.1833022801880837E-2"/>
  </r>
  <r>
    <d v="2024-07-25T00:00:00"/>
    <n v="216.8"/>
    <n v="226"/>
    <n v="216.23"/>
    <n v="220.25"/>
    <n v="100636466"/>
    <x v="2207"/>
    <x v="9"/>
    <n v="1.5913284132841276E-2"/>
  </r>
  <r>
    <d v="2024-07-26T00:00:00"/>
    <n v="221.19"/>
    <n v="222.28"/>
    <n v="215.33"/>
    <n v="219.8"/>
    <n v="94604145"/>
    <x v="2208"/>
    <x v="9"/>
    <n v="-6.2841900628418388E-3"/>
  </r>
  <r>
    <d v="2024-07-29T00:00:00"/>
    <n v="224.9"/>
    <n v="234.27"/>
    <n v="224.7"/>
    <n v="232.1"/>
    <n v="129201789"/>
    <x v="2209"/>
    <x v="9"/>
    <n v="3.2014228546020401E-2"/>
  </r>
  <r>
    <d v="2024-07-30T00:00:00"/>
    <n v="232.25"/>
    <n v="232.41"/>
    <n v="220"/>
    <n v="222.62"/>
    <n v="100560334"/>
    <x v="2210"/>
    <x v="9"/>
    <n v="-4.1463939720129149E-2"/>
  </r>
  <r>
    <d v="2024-07-31T00:00:00"/>
    <n v="227.9"/>
    <n v="234.68"/>
    <n v="226.79"/>
    <n v="232.07"/>
    <n v="67497011"/>
    <x v="2211"/>
    <x v="9"/>
    <n v="1.8297498903027589E-2"/>
  </r>
  <r>
    <d v="2024-08-01T00:00:00"/>
    <n v="227.69"/>
    <n v="231.87"/>
    <n v="214.33"/>
    <n v="216.86"/>
    <n v="83861898"/>
    <x v="2212"/>
    <x v="9"/>
    <n v="-4.7564671263560031E-2"/>
  </r>
  <r>
    <d v="2024-08-02T00:00:00"/>
    <n v="214.88"/>
    <n v="216.13"/>
    <n v="205.78"/>
    <n v="207.67"/>
    <n v="82880120"/>
    <x v="2213"/>
    <x v="9"/>
    <n v="-3.3553611317944938E-2"/>
  </r>
  <r>
    <d v="2024-08-05T00:00:00"/>
    <n v="185.22"/>
    <n v="203.88"/>
    <n v="182"/>
    <n v="198.88"/>
    <n v="100308836"/>
    <x v="2214"/>
    <x v="9"/>
    <n v="7.3750134974624751E-2"/>
  </r>
  <r>
    <d v="2024-08-06T00:00:00"/>
    <n v="200.75"/>
    <n v="202.9"/>
    <n v="192.67"/>
    <n v="200.64"/>
    <n v="73783942"/>
    <x v="2215"/>
    <x v="9"/>
    <n v="-5.4794520547952E-4"/>
  </r>
  <r>
    <d v="2024-08-07T00:00:00"/>
    <n v="200.77"/>
    <n v="203.49"/>
    <n v="191.48"/>
    <n v="191.76"/>
    <n v="71159778"/>
    <x v="2216"/>
    <x v="9"/>
    <n v="-4.4877222692633459E-2"/>
  </r>
  <r>
    <d v="2024-08-08T00:00:00"/>
    <n v="195.7"/>
    <n v="200.7"/>
    <n v="192.04"/>
    <n v="198.84"/>
    <n v="65033874"/>
    <x v="2217"/>
    <x v="9"/>
    <n v="1.6044966785896859E-2"/>
  </r>
  <r>
    <d v="2024-08-09T00:00:00"/>
    <n v="197.05"/>
    <n v="200.88"/>
    <n v="195.11"/>
    <n v="200"/>
    <n v="58648274"/>
    <x v="2218"/>
    <x v="9"/>
    <n v="1.497081958893676E-2"/>
  </r>
  <r>
    <d v="2024-08-12T00:00:00"/>
    <n v="199.02"/>
    <n v="199.26"/>
    <n v="194.67"/>
    <n v="197.49"/>
    <n v="64044903"/>
    <x v="2219"/>
    <x v="9"/>
    <n v="-7.6876695809466435E-3"/>
  </r>
  <r>
    <d v="2024-08-13T00:00:00"/>
    <n v="198.47"/>
    <n v="208.49"/>
    <n v="197.06"/>
    <n v="207.83"/>
    <n v="76247387"/>
    <x v="2220"/>
    <x v="9"/>
    <n v="4.716077996674567E-2"/>
  </r>
  <r>
    <d v="2024-08-14T00:00:00"/>
    <n v="207.39"/>
    <n v="208.44"/>
    <n v="198.75"/>
    <n v="201.38"/>
    <n v="70250014"/>
    <x v="2221"/>
    <x v="9"/>
    <n v="-2.8979217898645025E-2"/>
  </r>
  <r>
    <d v="2024-08-15T00:00:00"/>
    <n v="205.02"/>
    <n v="215.88"/>
    <n v="204.82"/>
    <n v="214.14"/>
    <n v="89848530"/>
    <x v="2222"/>
    <x v="9"/>
    <n v="4.4483465027802045E-2"/>
  </r>
  <r>
    <d v="2024-08-16T00:00:00"/>
    <n v="211.15"/>
    <n v="219.8"/>
    <n v="210.8"/>
    <n v="216.12"/>
    <n v="88765122"/>
    <x v="2223"/>
    <x v="9"/>
    <n v="2.35377693582761E-2"/>
  </r>
  <r>
    <d v="2024-08-19T00:00:00"/>
    <n v="217.07"/>
    <n v="222.98"/>
    <n v="214.09"/>
    <n v="222.72"/>
    <n v="76435222"/>
    <x v="2224"/>
    <x v="9"/>
    <n v="2.6028470078776459E-2"/>
  </r>
  <r>
    <d v="2024-08-20T00:00:00"/>
    <n v="224.88"/>
    <n v="228.22"/>
    <n v="219.56"/>
    <n v="221.1"/>
    <n v="74001182"/>
    <x v="2225"/>
    <x v="9"/>
    <n v="-1.6808964781216653E-2"/>
  </r>
  <r>
    <d v="2024-08-21T00:00:00"/>
    <n v="222.67"/>
    <n v="224.66"/>
    <n v="218.86"/>
    <n v="223.27"/>
    <n v="70145964"/>
    <x v="2226"/>
    <x v="9"/>
    <n v="2.6945704405623694E-3"/>
  </r>
  <r>
    <d v="2024-08-22T00:00:00"/>
    <n v="223.82"/>
    <n v="224.8"/>
    <n v="210.32"/>
    <n v="210.66"/>
    <n v="79514482"/>
    <x v="2227"/>
    <x v="9"/>
    <n v="-5.8797247788401383E-2"/>
  </r>
  <r>
    <d v="2024-08-23T00:00:00"/>
    <n v="214.46"/>
    <n v="221.48"/>
    <n v="214.21"/>
    <n v="220.32"/>
    <n v="81525207"/>
    <x v="2228"/>
    <x v="9"/>
    <n v="2.7324442786533551E-2"/>
  </r>
  <r>
    <d v="2024-08-26T00:00:00"/>
    <n v="218.75"/>
    <n v="219.09"/>
    <n v="211.01"/>
    <n v="213.21"/>
    <n v="59301187"/>
    <x v="2229"/>
    <x v="9"/>
    <n v="-2.532571428571425E-2"/>
  </r>
  <r>
    <d v="2024-08-27T00:00:00"/>
    <n v="213.25"/>
    <n v="215.66"/>
    <n v="206.94"/>
    <n v="209.21"/>
    <n v="62821390"/>
    <x v="2230"/>
    <x v="9"/>
    <n v="-1.8944900351699847E-2"/>
  </r>
  <r>
    <d v="2024-08-28T00:00:00"/>
    <n v="209.72"/>
    <n v="211.84"/>
    <n v="202.59"/>
    <n v="205.75"/>
    <n v="64116350"/>
    <x v="2231"/>
    <x v="9"/>
    <n v="-1.8930001907304973E-2"/>
  </r>
  <r>
    <d v="2024-08-29T00:00:00"/>
    <n v="209.8"/>
    <n v="214.89"/>
    <n v="205.97"/>
    <n v="206.28"/>
    <n v="62308818"/>
    <x v="2232"/>
    <x v="9"/>
    <n v="-1.6777883698760772E-2"/>
  </r>
  <r>
    <d v="2024-08-30T00:00:00"/>
    <n v="208.63"/>
    <n v="214.57"/>
    <n v="207.03"/>
    <n v="214.11"/>
    <n v="63370608"/>
    <x v="2233"/>
    <x v="9"/>
    <n v="2.6266596366773802E-2"/>
  </r>
  <r>
    <d v="2024-09-03T00:00:00"/>
    <n v="215.26"/>
    <n v="219.9"/>
    <n v="209.64"/>
    <n v="210.6"/>
    <n v="76714222"/>
    <x v="2234"/>
    <x v="9"/>
    <n v="-2.1648239338474387E-2"/>
  </r>
  <r>
    <d v="2024-09-04T00:00:00"/>
    <n v="210.59"/>
    <n v="222.22"/>
    <n v="210.57"/>
    <n v="219.41"/>
    <n v="80651767"/>
    <x v="2235"/>
    <x v="9"/>
    <n v="4.1882330594994979E-2"/>
  </r>
  <r>
    <d v="2024-09-05T00:00:00"/>
    <n v="223.49"/>
    <n v="235"/>
    <n v="222.25"/>
    <n v="230.17"/>
    <n v="119355013"/>
    <x v="2236"/>
    <x v="9"/>
    <n v="2.9889480513669419E-2"/>
  </r>
  <r>
    <d v="2024-09-06T00:00:00"/>
    <n v="232.6"/>
    <n v="233.6"/>
    <n v="210.51"/>
    <n v="210.73"/>
    <n v="112177004"/>
    <x v="2237"/>
    <x v="9"/>
    <n v="-9.4024075666380075E-2"/>
  </r>
  <r>
    <d v="2024-09-09T00:00:00"/>
    <n v="216.2"/>
    <n v="219.87"/>
    <n v="213.67"/>
    <n v="216.27"/>
    <n v="67443518"/>
    <x v="2238"/>
    <x v="9"/>
    <n v="3.2377428307133025E-4"/>
  </r>
  <r>
    <d v="2024-09-10T00:00:00"/>
    <n v="220.07"/>
    <n v="226.4"/>
    <n v="218.64"/>
    <n v="226.17"/>
    <n v="78891136"/>
    <x v="2239"/>
    <x v="9"/>
    <n v="2.7718453219430155E-2"/>
  </r>
  <r>
    <d v="2024-09-11T00:00:00"/>
    <n v="224.55"/>
    <n v="228.47"/>
    <n v="216.8"/>
    <n v="228.13"/>
    <n v="83548633"/>
    <x v="2240"/>
    <x v="9"/>
    <n v="1.5942997105321682E-2"/>
  </r>
  <r>
    <d v="2024-09-12T00:00:00"/>
    <n v="224.66"/>
    <n v="231.45"/>
    <n v="223.83"/>
    <n v="229.81"/>
    <n v="72020042"/>
    <x v="2241"/>
    <x v="9"/>
    <n v="2.2923528888097594E-2"/>
  </r>
  <r>
    <d v="2024-09-13T00:00:00"/>
    <n v="228"/>
    <n v="232.67"/>
    <n v="226.32"/>
    <n v="230.29"/>
    <n v="59515114"/>
    <x v="2242"/>
    <x v="9"/>
    <n v="1.0043859649122772E-2"/>
  </r>
  <r>
    <d v="2024-09-16T00:00:00"/>
    <n v="229.3"/>
    <n v="229.96"/>
    <n v="223.53"/>
    <n v="226.78"/>
    <n v="54322995"/>
    <x v="2243"/>
    <x v="9"/>
    <n v="-1.0989969472307065E-2"/>
  </r>
  <r>
    <d v="2024-09-17T00:00:00"/>
    <n v="229.45"/>
    <n v="234.57"/>
    <n v="226.55"/>
    <n v="227.87"/>
    <n v="66761636"/>
    <x v="2244"/>
    <x v="9"/>
    <n v="-6.8860318152102161E-3"/>
  </r>
  <r>
    <d v="2024-09-18T00:00:00"/>
    <n v="230.09"/>
    <n v="235.68"/>
    <n v="226.88"/>
    <n v="227.2"/>
    <n v="78010204"/>
    <x v="2245"/>
    <x v="9"/>
    <n v="-1.2560302490329935E-2"/>
  </r>
  <r>
    <d v="2024-09-19T00:00:00"/>
    <n v="234"/>
    <n v="244.24"/>
    <n v="232.13"/>
    <n v="243.92"/>
    <n v="102694576"/>
    <x v="2246"/>
    <x v="9"/>
    <n v="4.2393162393162341E-2"/>
  </r>
  <r>
    <d v="2024-09-20T00:00:00"/>
    <n v="241.52"/>
    <n v="243.99"/>
    <n v="235.92"/>
    <n v="238.25"/>
    <n v="99879070"/>
    <x v="2247"/>
    <x v="9"/>
    <n v="-1.3539251407750953E-2"/>
  </r>
  <r>
    <d v="2024-09-23T00:00:00"/>
    <n v="242.61"/>
    <n v="250"/>
    <n v="241.92"/>
    <n v="250"/>
    <n v="86927194"/>
    <x v="2248"/>
    <x v="9"/>
    <n v="3.0460409711058845E-2"/>
  </r>
  <r>
    <d v="2024-09-24T00:00:00"/>
    <n v="254.08"/>
    <n v="257.19"/>
    <n v="249.05"/>
    <n v="254.27"/>
    <n v="88490999"/>
    <x v="2249"/>
    <x v="9"/>
    <n v="7.4779596977329074E-4"/>
  </r>
  <r>
    <d v="2024-09-25T00:00:00"/>
    <n v="252.54"/>
    <n v="257.05"/>
    <n v="252.28"/>
    <n v="257.02"/>
    <n v="65034318"/>
    <x v="2250"/>
    <x v="9"/>
    <n v="1.7739763997782491E-2"/>
  </r>
  <r>
    <d v="2024-09-26T00:00:00"/>
    <n v="260.60000000000002"/>
    <n v="261.75"/>
    <n v="251.53"/>
    <n v="254.22"/>
    <n v="67142193"/>
    <x v="2251"/>
    <x v="9"/>
    <n v="-2.4481964696853504E-2"/>
  </r>
  <r>
    <d v="2024-09-27T00:00:00"/>
    <n v="257.38"/>
    <n v="260.7"/>
    <n v="254.12"/>
    <n v="260.45999999999998"/>
    <n v="70988067"/>
    <x v="2252"/>
    <x v="9"/>
    <n v="1.1966741782578227E-2"/>
  </r>
  <r>
    <d v="2024-09-30T00:00:00"/>
    <n v="259.04000000000002"/>
    <n v="264.86"/>
    <n v="255.77"/>
    <n v="261.63"/>
    <n v="80873381"/>
    <x v="2253"/>
    <x v="9"/>
    <n v="9.9984558369362823E-3"/>
  </r>
  <r>
    <d v="2024-10-01T00:00:00"/>
    <n v="262.67"/>
    <n v="263.98"/>
    <n v="248.53"/>
    <n v="258.02"/>
    <n v="87397613"/>
    <x v="2254"/>
    <x v="9"/>
    <n v="-1.7702821030190101E-2"/>
  </r>
  <r>
    <d v="2024-10-02T00:00:00"/>
    <n v="247.55"/>
    <n v="251.16"/>
    <n v="241.5"/>
    <n v="249.02"/>
    <n v="93983930"/>
    <x v="2255"/>
    <x v="9"/>
    <n v="5.9381943041809685E-3"/>
  </r>
  <r>
    <d v="2024-10-03T00:00:00"/>
    <n v="244.48"/>
    <n v="249.79"/>
    <n v="237.81"/>
    <n v="240.66"/>
    <n v="80729240"/>
    <x v="2256"/>
    <x v="9"/>
    <n v="-1.5624999999999972E-2"/>
  </r>
  <r>
    <d v="2024-10-04T00:00:00"/>
    <n v="246.69"/>
    <n v="250.96"/>
    <n v="244.58"/>
    <n v="250.08"/>
    <n v="86726285"/>
    <x v="2257"/>
    <x v="9"/>
    <n v="1.374194332968509E-2"/>
  </r>
  <r>
    <d v="2024-10-07T00:00:00"/>
    <n v="249"/>
    <n v="249.83"/>
    <n v="240.7"/>
    <n v="240.83"/>
    <n v="68113270"/>
    <x v="2258"/>
    <x v="9"/>
    <n v="-3.2811244979919628E-2"/>
  </r>
  <r>
    <d v="2024-10-08T00:00:00"/>
    <n v="243.56"/>
    <n v="246.21"/>
    <n v="240.56"/>
    <n v="244.5"/>
    <n v="56303160"/>
    <x v="2259"/>
    <x v="9"/>
    <n v="3.8594186237477326E-3"/>
  </r>
  <r>
    <d v="2024-10-09T00:00:00"/>
    <n v="243.82"/>
    <n v="247.43"/>
    <n v="239.51"/>
    <n v="241.05"/>
    <n v="66289529"/>
    <x v="2260"/>
    <x v="9"/>
    <n v="-1.1360839963907727E-2"/>
  </r>
  <r>
    <d v="2024-10-10T00:00:00"/>
    <n v="241.81"/>
    <n v="242.79"/>
    <n v="232.34"/>
    <n v="238.77"/>
    <n v="83087063"/>
    <x v="2261"/>
    <x v="9"/>
    <n v="-1.2571853934907539E-2"/>
  </r>
  <r>
    <d v="2024-10-11T00:00:00"/>
    <n v="220.13"/>
    <n v="223.34"/>
    <n v="214.38"/>
    <n v="217.8"/>
    <n v="142628874"/>
    <x v="2262"/>
    <x v="9"/>
    <n v="-1.0584654522327644E-2"/>
  </r>
  <r>
    <d v="2024-10-14T00:00:00"/>
    <n v="220.13"/>
    <n v="221.91"/>
    <n v="213.74"/>
    <n v="219.16"/>
    <n v="86291923"/>
    <x v="2263"/>
    <x v="9"/>
    <n v="-4.4064870758188292E-3"/>
  </r>
  <r>
    <d v="2024-10-15T00:00:00"/>
    <n v="220.01"/>
    <n v="224.26"/>
    <n v="217.12"/>
    <n v="219.57"/>
    <n v="62988787"/>
    <x v="2264"/>
    <x v="9"/>
    <n v="-1.9999090950411241E-3"/>
  </r>
  <r>
    <d v="2024-10-16T00:00:00"/>
    <n v="221.4"/>
    <n v="222.82"/>
    <n v="218.93"/>
    <n v="221.33"/>
    <n v="49632824"/>
    <x v="2265"/>
    <x v="9"/>
    <n v="-3.1616982836491951E-4"/>
  </r>
  <r>
    <d v="2024-10-17T00:00:00"/>
    <n v="221.59"/>
    <n v="222.08"/>
    <n v="217.9"/>
    <n v="220.89"/>
    <n v="50791784"/>
    <x v="2266"/>
    <x v="9"/>
    <n v="-3.1589873189224109E-3"/>
  </r>
  <r>
    <d v="2024-10-18T00:00:00"/>
    <n v="220.71"/>
    <n v="222.28"/>
    <n v="219.23"/>
    <n v="220.7"/>
    <n v="49611867"/>
    <x v="2267"/>
    <x v="9"/>
    <n v="-4.5308323139048194E-5"/>
  </r>
  <r>
    <d v="2024-10-21T00:00:00"/>
    <n v="218.9"/>
    <n v="220.48"/>
    <n v="215.73"/>
    <n v="218.85"/>
    <n v="47328988"/>
    <x v="2268"/>
    <x v="9"/>
    <n v="-2.2841480127917482E-4"/>
  </r>
  <r>
    <d v="2024-10-22T00:00:00"/>
    <n v="217.31"/>
    <n v="218.22"/>
    <n v="215.26"/>
    <n v="217.97"/>
    <n v="43268741"/>
    <x v="2269"/>
    <x v="9"/>
    <n v="3.037135888822404E-3"/>
  </r>
  <r>
    <d v="2024-10-23T00:00:00"/>
    <n v="217.13"/>
    <n v="218.72"/>
    <n v="212.11"/>
    <n v="213.65"/>
    <n v="80938892"/>
    <x v="2270"/>
    <x v="9"/>
    <n v="-1.6027264772256206E-2"/>
  </r>
  <r>
    <d v="2024-10-24T00:00:00"/>
    <n v="244.68"/>
    <n v="262.12"/>
    <n v="242.65"/>
    <n v="260.48"/>
    <n v="204491903"/>
    <x v="2271"/>
    <x v="9"/>
    <n v="6.4574137649174482E-2"/>
  </r>
  <r>
    <d v="2024-10-25T00:00:00"/>
    <n v="256.01"/>
    <n v="269.49"/>
    <n v="255.32"/>
    <n v="269.19"/>
    <n v="161611931"/>
    <x v="2272"/>
    <x v="9"/>
    <n v="5.1482363970157444E-2"/>
  </r>
  <r>
    <d v="2024-10-28T00:00:00"/>
    <n v="270"/>
    <n v="273.54000000000002"/>
    <n v="262.24"/>
    <n v="262.51"/>
    <n v="107653603"/>
    <x v="2273"/>
    <x v="9"/>
    <n v="-2.7740740740740774E-2"/>
  </r>
  <r>
    <d v="2024-10-29T00:00:00"/>
    <n v="264.51"/>
    <n v="264.98"/>
    <n v="255.51"/>
    <n v="259.52"/>
    <n v="80521751"/>
    <x v="2274"/>
    <x v="9"/>
    <n v="-1.8865071263846393E-2"/>
  </r>
  <r>
    <d v="2024-10-30T00:00:00"/>
    <n v="258.04000000000002"/>
    <n v="263.35000000000002"/>
    <n v="255.82"/>
    <n v="257.55"/>
    <n v="53993576"/>
    <x v="2275"/>
    <x v="9"/>
    <n v="-1.898930398387882E-3"/>
  </r>
  <r>
    <d v="2024-10-31T00:00:00"/>
    <n v="257.99"/>
    <n v="259.75"/>
    <n v="249.25"/>
    <n v="249.85"/>
    <n v="66575292"/>
    <x v="2276"/>
    <x v="9"/>
    <n v="-3.1551610527539881E-2"/>
  </r>
  <r>
    <d v="2024-11-01T00:00:00"/>
    <n v="252.04"/>
    <n v="254"/>
    <n v="246.63"/>
    <n v="248.98"/>
    <n v="57544757"/>
    <x v="2277"/>
    <x v="9"/>
    <n v="-1.2140930011109358E-2"/>
  </r>
  <r>
    <d v="2024-11-04T00:00:00"/>
    <n v="244.56"/>
    <n v="248.9"/>
    <n v="238.88"/>
    <n v="242.84"/>
    <n v="68802354"/>
    <x v="2278"/>
    <x v="9"/>
    <n v="-7.0330389270526613E-3"/>
  </r>
  <r>
    <d v="2024-11-05T00:00:00"/>
    <n v="247.34"/>
    <n v="255.28"/>
    <n v="246.21"/>
    <n v="251.44"/>
    <n v="69282505"/>
    <x v="2279"/>
    <x v="9"/>
    <n v="1.6576372604511985E-2"/>
  </r>
  <r>
    <d v="2024-11-06T00:00:00"/>
    <n v="284.67"/>
    <n v="289.58999999999997"/>
    <n v="275.62"/>
    <n v="288.52999999999997"/>
    <n v="165228710"/>
    <x v="2280"/>
    <x v="9"/>
    <n v="1.3559560192503449E-2"/>
  </r>
  <r>
    <d v="2024-11-07T00:00:00"/>
    <n v="288.89"/>
    <n v="299.75"/>
    <n v="285.52"/>
    <n v="296.91000000000003"/>
    <n v="117309232"/>
    <x v="2281"/>
    <x v="9"/>
    <n v="2.7761431686801341E-2"/>
  </r>
  <r>
    <d v="2024-11-08T00:00:00"/>
    <n v="299.14"/>
    <n v="328.71"/>
    <n v="297.66000000000003"/>
    <n v="321.22000000000003"/>
    <n v="204782763"/>
    <x v="2282"/>
    <x v="9"/>
    <n v="7.3811593233937434E-2"/>
  </r>
  <r>
    <d v="2024-11-11T00:00:00"/>
    <n v="346.3"/>
    <n v="358.64"/>
    <n v="336"/>
    <n v="350"/>
    <n v="210521625"/>
    <x v="2283"/>
    <x v="9"/>
    <n v="1.0684377707190265E-2"/>
  </r>
  <r>
    <d v="2024-11-12T00:00:00"/>
    <n v="342.74"/>
    <n v="345.84"/>
    <n v="323.31"/>
    <n v="328.49"/>
    <n v="155726016"/>
    <x v="2284"/>
    <x v="9"/>
    <n v="-4.1576705374336227E-2"/>
  </r>
  <r>
    <d v="2024-11-13T00:00:00"/>
    <n v="335.85"/>
    <n v="344.6"/>
    <n v="322.5"/>
    <n v="330.24"/>
    <n v="125405599"/>
    <x v="2285"/>
    <x v="9"/>
    <n v="-1.670388566324256E-2"/>
  </r>
  <r>
    <d v="2024-11-14T00:00:00"/>
    <n v="327.69"/>
    <n v="329.98"/>
    <n v="310.37"/>
    <n v="311.18"/>
    <n v="120726109"/>
    <x v="2286"/>
    <x v="9"/>
    <n v="-5.0382983917727095E-2"/>
  </r>
  <r>
    <d v="2024-11-15T00:00:00"/>
    <n v="310.57"/>
    <n v="324.68"/>
    <n v="309.22000000000003"/>
    <n v="320.72000000000003"/>
    <n v="114440286"/>
    <x v="2287"/>
    <x v="9"/>
    <n v="3.2681843062755692E-2"/>
  </r>
  <r>
    <d v="2024-11-18T00:00:00"/>
    <n v="340.73"/>
    <n v="348.55"/>
    <n v="330.01"/>
    <n v="338.74"/>
    <n v="126547455"/>
    <x v="2288"/>
    <x v="9"/>
    <n v="-5.840401490916588E-3"/>
  </r>
  <r>
    <d v="2024-11-19T00:00:00"/>
    <n v="335.76"/>
    <n v="347.38"/>
    <n v="332.75"/>
    <n v="346"/>
    <n v="88852452"/>
    <x v="2289"/>
    <x v="9"/>
    <n v="3.0497974743864693E-2"/>
  </r>
  <r>
    <d v="2024-11-20T00:00:00"/>
    <n v="345"/>
    <n v="346.6"/>
    <n v="334.3"/>
    <n v="342.03"/>
    <n v="66340650"/>
    <x v="2290"/>
    <x v="9"/>
    <n v="-8.6086956521739914E-3"/>
  </r>
  <r>
    <d v="2024-11-21T00:00:00"/>
    <n v="343.81"/>
    <n v="347.99"/>
    <n v="335.28"/>
    <n v="339.64"/>
    <n v="58011719"/>
    <x v="2291"/>
    <x v="9"/>
    <n v="-1.2128792065384997E-2"/>
  </r>
  <r>
    <d v="2024-11-22T00:00:00"/>
    <n v="341.09"/>
    <n v="361.53"/>
    <n v="337.7"/>
    <n v="352.56"/>
    <n v="89140722"/>
    <x v="2292"/>
    <x v="9"/>
    <n v="3.3627488346184377E-2"/>
  </r>
  <r>
    <d v="2024-11-25T00:00:00"/>
    <n v="360.14"/>
    <n v="361.93"/>
    <n v="338.2"/>
    <n v="338.59"/>
    <n v="95890899"/>
    <x v="2293"/>
    <x v="9"/>
    <n v="-5.9837840839673494E-2"/>
  </r>
  <r>
    <d v="2024-11-26T00:00:00"/>
    <n v="341"/>
    <n v="346.96"/>
    <n v="335.66"/>
    <n v="338.23"/>
    <n v="62295857"/>
    <x v="2294"/>
    <x v="9"/>
    <n v="-8.1231671554251664E-3"/>
  </r>
  <r>
    <d v="2024-11-27T00:00:00"/>
    <n v="341.8"/>
    <n v="342.55"/>
    <n v="326.58999999999997"/>
    <n v="332.89"/>
    <n v="57896439"/>
    <x v="2295"/>
    <x v="9"/>
    <n v="-2.6067875950848522E-2"/>
  </r>
  <r>
    <d v="2024-11-29T00:00:00"/>
    <n v="336.08"/>
    <n v="345.45"/>
    <n v="334.65"/>
    <n v="345.16"/>
    <n v="37167621"/>
    <x v="2296"/>
    <x v="9"/>
    <n v="2.701737681504416E-2"/>
  </r>
  <r>
    <d v="2024-12-02T00:00:00"/>
    <n v="352.38"/>
    <n v="360"/>
    <n v="351.15"/>
    <n v="357.09"/>
    <n v="77986478"/>
    <x v="2297"/>
    <x v="9"/>
    <n v="1.3366252341222486E-2"/>
  </r>
  <r>
    <d v="2024-12-03T00:00:00"/>
    <n v="351.8"/>
    <n v="355.69"/>
    <n v="348.2"/>
    <n v="351.42"/>
    <n v="58267196"/>
    <x v="2298"/>
    <x v="9"/>
    <n v="-1.0801591813530285E-3"/>
  </r>
  <r>
    <d v="2024-12-04T00:00:00"/>
    <n v="353"/>
    <n v="358.1"/>
    <n v="348.6"/>
    <n v="357.93"/>
    <n v="50810874"/>
    <x v="2299"/>
    <x v="9"/>
    <n v="1.3966005665722399E-2"/>
  </r>
  <r>
    <d v="2024-12-05T00:00:00"/>
    <n v="359.87"/>
    <n v="375.43"/>
    <n v="359.5"/>
    <n v="369.49"/>
    <n v="81403569"/>
    <x v="2300"/>
    <x v="9"/>
    <n v="2.6731875399449812E-2"/>
  </r>
  <r>
    <d v="2024-12-06T00:00:00"/>
    <n v="377.42"/>
    <n v="389.49"/>
    <n v="370.8"/>
    <n v="389.22"/>
    <n v="81455834"/>
    <x v="2301"/>
    <x v="9"/>
    <n v="3.1264903820677259E-2"/>
  </r>
  <r>
    <d v="2024-12-09T00:00:00"/>
    <n v="397.61"/>
    <n v="404.8"/>
    <n v="378.01"/>
    <n v="389.79"/>
    <n v="96359173"/>
    <x v="2302"/>
    <x v="9"/>
    <n v="-1.9667513392520292E-2"/>
  </r>
  <r>
    <d v="2024-12-10T00:00:00"/>
    <n v="392.68"/>
    <n v="409.73"/>
    <n v="390.85"/>
    <n v="400.99"/>
    <n v="97563578"/>
    <x v="2303"/>
    <x v="9"/>
    <n v="2.1162269532443725E-2"/>
  </r>
  <r>
    <d v="2024-12-11T00:00:00"/>
    <n v="409.7"/>
    <n v="424.88"/>
    <n v="402.38"/>
    <n v="424.77"/>
    <n v="104287559"/>
    <x v="2304"/>
    <x v="9"/>
    <n v="3.6783011959970698E-2"/>
  </r>
  <r>
    <d v="2024-12-12T00:00:00"/>
    <n v="424.84"/>
    <n v="429.3"/>
    <n v="415"/>
    <n v="418.1"/>
    <n v="87752225"/>
    <x v="2305"/>
    <x v="9"/>
    <n v="-1.5864796158553698E-2"/>
  </r>
  <r>
    <d v="2024-12-13T00:00:00"/>
    <n v="420"/>
    <n v="436.3"/>
    <n v="415.71"/>
    <n v="436.23"/>
    <n v="89000158"/>
    <x v="2306"/>
    <x v="9"/>
    <n v="3.8642857142857187E-2"/>
  </r>
  <r>
    <d v="2024-12-16T00:00:00"/>
    <n v="441.09"/>
    <n v="463.19"/>
    <n v="436.15"/>
    <n v="463.02"/>
    <n v="114083811"/>
    <x v="2307"/>
    <x v="9"/>
    <n v="4.97177446779569E-2"/>
  </r>
  <r>
    <d v="2024-12-17T00:00:00"/>
    <n v="475.9"/>
    <n v="483.99"/>
    <n v="457.51"/>
    <n v="479.86"/>
    <n v="131222978"/>
    <x v="2308"/>
    <x v="9"/>
    <n v="8.3210758562724026E-3"/>
  </r>
  <r>
    <d v="2024-12-18T00:00:00"/>
    <n v="466.5"/>
    <n v="488.54"/>
    <n v="427.01"/>
    <n v="440.13"/>
    <n v="149340788"/>
    <x v="2309"/>
    <x v="9"/>
    <n v="-5.6527331189710622E-2"/>
  </r>
  <r>
    <d v="2024-12-19T00:00:00"/>
    <n v="451.88"/>
    <n v="456.36"/>
    <n v="420.02"/>
    <n v="436.17"/>
    <n v="118566146"/>
    <x v="2310"/>
    <x v="9"/>
    <n v="-3.476586704434801E-2"/>
  </r>
  <r>
    <d v="2024-12-20T00:00:00"/>
    <n v="425.51"/>
    <n v="447.08"/>
    <n v="417.64"/>
    <n v="421.06"/>
    <n v="132216176"/>
    <x v="2311"/>
    <x v="9"/>
    <n v="-1.0458038588987306E-2"/>
  </r>
  <r>
    <d v="2024-12-23T00:00:00"/>
    <n v="431"/>
    <n v="434.51"/>
    <n v="415.41"/>
    <n v="430.6"/>
    <n v="72698055"/>
    <x v="2312"/>
    <x v="9"/>
    <n v="-9.2807424593962238E-4"/>
  </r>
  <r>
    <d v="2024-12-24T00:00:00"/>
    <n v="435.9"/>
    <n v="462.78"/>
    <n v="435.14"/>
    <n v="462.28"/>
    <n v="59551750"/>
    <x v="2313"/>
    <x v="9"/>
    <n v="6.051846753842624E-2"/>
  </r>
  <r>
    <d v="2024-12-26T00:00:00"/>
    <n v="465.16"/>
    <n v="465.33"/>
    <n v="451.02"/>
    <n v="454.13"/>
    <n v="76651210"/>
    <x v="2314"/>
    <x v="9"/>
    <n v="-2.3712271046521689E-2"/>
  </r>
  <r>
    <d v="2024-12-27T00:00:00"/>
    <n v="449.52"/>
    <n v="450"/>
    <n v="426.5"/>
    <n v="431.66"/>
    <n v="82666821"/>
    <x v="2315"/>
    <x v="9"/>
    <n v="-3.9731268909058454E-2"/>
  </r>
  <r>
    <d v="2024-12-30T00:00:00"/>
    <n v="419.4"/>
    <n v="427"/>
    <n v="415.75"/>
    <n v="417.41"/>
    <n v="64941012"/>
    <x v="2316"/>
    <x v="9"/>
    <n v="-4.7448736289936871E-3"/>
  </r>
  <r>
    <d v="2024-12-31T00:00:00"/>
    <n v="423.79"/>
    <n v="427.93"/>
    <n v="402.54"/>
    <n v="403.84"/>
    <n v="76825121"/>
    <x v="2317"/>
    <x v="9"/>
    <n v="-4.7075202340782094E-2"/>
  </r>
  <r>
    <d v="2025-01-02T00:00:00"/>
    <n v="390.1"/>
    <n v="392.73"/>
    <n v="373.04"/>
    <n v="379.28"/>
    <n v="109710749"/>
    <x v="2318"/>
    <x v="10"/>
    <n v="-2.7736477826198536E-2"/>
  </r>
  <r>
    <d v="2025-01-03T00:00:00"/>
    <n v="381.48"/>
    <n v="411.88"/>
    <n v="379.45"/>
    <n v="410.44"/>
    <n v="95423329"/>
    <x v="2319"/>
    <x v="10"/>
    <n v="7.5914857921778281E-2"/>
  </r>
  <r>
    <d v="2025-01-06T00:00:00"/>
    <n v="423.2"/>
    <n v="426.43"/>
    <n v="401.7"/>
    <n v="411.05"/>
    <n v="85516534"/>
    <x v="2320"/>
    <x v="10"/>
    <n v="-2.8709829867674806E-2"/>
  </r>
  <r>
    <d v="2025-01-07T00:00:00"/>
    <n v="405.83"/>
    <n v="414.33"/>
    <n v="390"/>
    <n v="394.36"/>
    <n v="75699525"/>
    <x v="2321"/>
    <x v="10"/>
    <n v="-2.826306581573558E-2"/>
  </r>
  <r>
    <d v="2025-01-08T00:00:00"/>
    <n v="392.95"/>
    <n v="402.5"/>
    <n v="387.4"/>
    <n v="394.94"/>
    <n v="73038805"/>
    <x v="2322"/>
    <x v="10"/>
    <n v="5.0642575391271387E-3"/>
  </r>
  <r>
    <d v="2025-01-10T00:00:00"/>
    <n v="391.4"/>
    <n v="399.28"/>
    <n v="377.29"/>
    <n v="394.74"/>
    <n v="62287333"/>
    <x v="2323"/>
    <x v="10"/>
    <n v="8.5334695963209806E-3"/>
  </r>
  <r>
    <d v="2025-01-13T00:00:00"/>
    <n v="383.21"/>
    <n v="403.79"/>
    <n v="380.07"/>
    <n v="403.31"/>
    <n v="67580494"/>
    <x v="2324"/>
    <x v="10"/>
    <n v="5.2451658359646207E-2"/>
  </r>
  <r>
    <d v="2025-01-14T00:00:00"/>
    <n v="414.34"/>
    <n v="422.64"/>
    <n v="394.54"/>
    <n v="396.36"/>
    <n v="84565022"/>
    <x v="2325"/>
    <x v="10"/>
    <n v="-4.3394313848530104E-2"/>
  </r>
  <r>
    <d v="2025-01-15T00:00:00"/>
    <n v="409.9"/>
    <n v="429.8"/>
    <n v="405.66"/>
    <n v="428.22"/>
    <n v="81375460"/>
    <x v="2326"/>
    <x v="10"/>
    <n v="4.4693827762869114E-2"/>
  </r>
  <r>
    <d v="2025-01-16T00:00:00"/>
    <n v="423.49"/>
    <n v="424"/>
    <n v="409.13"/>
    <n v="413.82"/>
    <n v="68335151"/>
    <x v="2327"/>
    <x v="10"/>
    <n v="-2.2834069281447062E-2"/>
  </r>
  <r>
    <d v="2025-01-17T00:00:00"/>
    <n v="421.5"/>
    <n v="439.74"/>
    <n v="419.75"/>
    <n v="426.5"/>
    <n v="94991429"/>
    <x v="2328"/>
    <x v="10"/>
    <n v="1.1862396204033215E-2"/>
  </r>
  <r>
    <d v="2025-01-21T00:00:00"/>
    <n v="432.64"/>
    <n v="433.2"/>
    <n v="406.31"/>
    <n v="424.07"/>
    <n v="87320894"/>
    <x v="2329"/>
    <x v="10"/>
    <n v="-1.980861686390531E-2"/>
  </r>
  <r>
    <d v="2025-01-22T00:00:00"/>
    <n v="416.81"/>
    <n v="428"/>
    <n v="414.59"/>
    <n v="415.11"/>
    <n v="60963342"/>
    <x v="2330"/>
    <x v="10"/>
    <n v="-4.0785969626448227E-3"/>
  </r>
  <r>
    <d v="2025-01-23T00:00:00"/>
    <n v="416.06"/>
    <n v="420.73"/>
    <n v="408.95"/>
    <n v="412.38"/>
    <n v="50690592"/>
    <x v="2331"/>
    <x v="10"/>
    <n v="-8.8448781425756063E-3"/>
  </r>
  <r>
    <d v="2025-01-24T00:00:00"/>
    <n v="414.45"/>
    <n v="418.88"/>
    <n v="405.78"/>
    <n v="406.58"/>
    <n v="56427149"/>
    <x v="2332"/>
    <x v="10"/>
    <n v="-1.8989021594884799E-2"/>
  </r>
  <r>
    <d v="2025-01-27T00:00:00"/>
    <n v="394.8"/>
    <n v="406.69"/>
    <n v="389"/>
    <n v="397.15"/>
    <n v="58125510"/>
    <x v="2333"/>
    <x v="10"/>
    <n v="5.9523809523808662E-3"/>
  </r>
  <r>
    <d v="2025-01-28T00:00:00"/>
    <n v="396.91"/>
    <n v="400.59"/>
    <n v="386.5"/>
    <n v="398.09"/>
    <n v="48910676"/>
    <x v="2334"/>
    <x v="10"/>
    <n v="2.9729661636137914E-3"/>
  </r>
  <r>
    <d v="2025-01-29T00:00:00"/>
    <n v="395.21"/>
    <n v="398.59"/>
    <n v="384.48"/>
    <n v="389.1"/>
    <n v="68033648"/>
    <x v="2335"/>
    <x v="10"/>
    <n v="-1.5460135118038402E-2"/>
  </r>
  <r>
    <d v="2025-01-30T00:00:00"/>
    <n v="410.78"/>
    <n v="412.5"/>
    <n v="384.41"/>
    <n v="400.28"/>
    <n v="98092879"/>
    <x v="2336"/>
    <x v="10"/>
    <n v="-2.5561127610886608E-2"/>
  </r>
  <r>
    <d v="2025-01-31T00:00:00"/>
    <n v="401.53"/>
    <n v="419.99"/>
    <n v="401.34"/>
    <n v="404.6"/>
    <n v="83568219"/>
    <x v="2337"/>
    <x v="10"/>
    <n v="7.6457549871741847E-3"/>
  </r>
  <r>
    <d v="2025-02-03T00:00:00"/>
    <n v="386.68"/>
    <n v="389.17"/>
    <n v="374.36"/>
    <n v="383.68"/>
    <n v="93732122"/>
    <x v="2338"/>
    <x v="10"/>
    <n v="-7.758353160235854E-3"/>
  </r>
  <r>
    <d v="2025-02-04T00:00:00"/>
    <n v="382.63"/>
    <n v="394"/>
    <n v="381.4"/>
    <n v="392.21"/>
    <n v="57072235"/>
    <x v="2339"/>
    <x v="10"/>
    <n v="2.5037242244465893E-2"/>
  </r>
  <r>
    <d v="2025-02-05T00:00:00"/>
    <n v="387.51"/>
    <n v="388.39"/>
    <n v="375.53"/>
    <n v="378.17"/>
    <n v="57614721"/>
    <x v="2340"/>
    <x v="10"/>
    <n v="-2.4102603803772743E-2"/>
  </r>
  <r>
    <d v="2025-02-06T00:00:00"/>
    <n v="373.03"/>
    <n v="375.4"/>
    <n v="363.18"/>
    <n v="374.32"/>
    <n v="77918230"/>
    <x v="2341"/>
    <x v="10"/>
    <n v="3.4581669034662644E-3"/>
  </r>
  <r>
    <d v="2025-02-07T00:00:00"/>
    <n v="370.19"/>
    <n v="380.55"/>
    <n v="360.34"/>
    <n v="361.62"/>
    <n v="70298258"/>
    <x v="2342"/>
    <x v="10"/>
    <n v="-2.3150274183527358E-2"/>
  </r>
  <r>
    <d v="2025-02-10T00:00:00"/>
    <n v="356.21"/>
    <n v="362.7"/>
    <n v="350.51"/>
    <n v="350.73"/>
    <n v="77514903"/>
    <x v="2343"/>
    <x v="10"/>
    <n v="-1.5384183487268638E-2"/>
  </r>
  <r>
    <d v="2025-02-11T00:00:00"/>
    <n v="345.8"/>
    <n v="349.37"/>
    <n v="325.10000000000002"/>
    <n v="328.5"/>
    <n v="118543400"/>
    <x v="2344"/>
    <x v="10"/>
    <n v="-5.0028918449971115E-2"/>
  </r>
  <r>
    <d v="2025-02-12T00:00:00"/>
    <n v="329.94"/>
    <n v="346.4"/>
    <n v="329.12"/>
    <n v="336.51"/>
    <n v="105382729"/>
    <x v="2345"/>
    <x v="10"/>
    <n v="1.9912711402073083E-2"/>
  </r>
  <r>
    <d v="2025-02-13T00:00:00"/>
    <n v="345"/>
    <n v="358.69"/>
    <n v="342.85"/>
    <n v="355.94"/>
    <n v="89441519"/>
    <x v="2346"/>
    <x v="10"/>
    <n v="3.1710144927536224E-2"/>
  </r>
  <r>
    <d v="2025-02-14T00:00:00"/>
    <n v="360.62"/>
    <n v="362"/>
    <n v="347.5"/>
    <n v="355.84"/>
    <n v="68277279"/>
    <x v="2347"/>
    <x v="10"/>
    <n v="-1.3254949808662941E-2"/>
  </r>
  <r>
    <d v="2025-02-18T00:00:00"/>
    <n v="355.01"/>
    <n v="359.1"/>
    <n v="350.02"/>
    <n v="354.11"/>
    <n v="51631702"/>
    <x v="2348"/>
    <x v="10"/>
    <n v="-2.5351398552152819E-3"/>
  </r>
  <r>
    <d v="2025-02-19T00:00:00"/>
    <n v="354"/>
    <n v="367.34"/>
    <n v="353.67"/>
    <n v="360.56"/>
    <n v="67094374"/>
    <x v="2349"/>
    <x v="10"/>
    <n v="1.8531073446327689E-2"/>
  </r>
  <r>
    <d v="2025-02-20T00:00:00"/>
    <n v="361.51"/>
    <n v="362.3"/>
    <n v="348"/>
    <n v="354.4"/>
    <n v="45965354"/>
    <x v="2350"/>
    <x v="10"/>
    <n v="-1.9667505739813598E-2"/>
  </r>
  <r>
    <d v="2025-02-21T00:00:00"/>
    <n v="353.44"/>
    <n v="354.98"/>
    <n v="334.42"/>
    <n v="337.8"/>
    <n v="74058648"/>
    <x v="2351"/>
    <x v="10"/>
    <n v="-4.4250792213671307E-2"/>
  </r>
  <r>
    <d v="2025-02-24T00:00:00"/>
    <n v="338.14"/>
    <n v="342.4"/>
    <n v="324.7"/>
    <n v="330.53"/>
    <n v="76052321"/>
    <x v="2352"/>
    <x v="10"/>
    <n v="-2.250547110664226E-2"/>
  </r>
  <r>
    <d v="2025-02-25T00:00:00"/>
    <n v="327.02"/>
    <n v="328.89"/>
    <n v="297.25"/>
    <n v="302.8"/>
    <n v="134228777"/>
    <x v="2353"/>
    <x v="10"/>
    <n v="-7.4062748455751851E-2"/>
  </r>
  <r>
    <d v="2025-02-26T00:00:00"/>
    <n v="303.70999999999998"/>
    <n v="309"/>
    <n v="288.04000000000002"/>
    <n v="290.8"/>
    <n v="100118276"/>
    <x v="2354"/>
    <x v="10"/>
    <n v="-4.2507655329096734E-2"/>
  </r>
  <r>
    <d v="2025-02-27T00:00:00"/>
    <n v="291.16000000000003"/>
    <n v="297.23"/>
    <n v="280.88"/>
    <n v="281.95"/>
    <n v="101748197"/>
    <x v="2355"/>
    <x v="10"/>
    <n v="-3.1632092320373797E-2"/>
  </r>
  <r>
    <d v="2025-02-28T00:00:00"/>
    <n v="279.5"/>
    <n v="293.88"/>
    <n v="273.60000000000002"/>
    <n v="292.98"/>
    <n v="115696968"/>
    <x v="2356"/>
    <x v="10"/>
    <n v="4.8228980322003644E-2"/>
  </r>
  <r>
    <d v="2025-03-03T00:00:00"/>
    <n v="300.33999999999997"/>
    <n v="303.94"/>
    <n v="277.3"/>
    <n v="284.64999999999998"/>
    <n v="115551414"/>
    <x v="2357"/>
    <x v="10"/>
    <n v="-5.2240793767063989E-2"/>
  </r>
  <r>
    <d v="2025-03-04T00:00:00"/>
    <n v="270.93"/>
    <n v="284.35000000000002"/>
    <n v="261.83999999999997"/>
    <n v="272.04000000000002"/>
    <n v="126706623"/>
    <x v="2358"/>
    <x v="10"/>
    <n v="4.0969992248920889E-3"/>
  </r>
  <r>
    <d v="2025-03-05T00:00:00"/>
    <n v="272.92"/>
    <n v="279.55"/>
    <n v="267.70999999999998"/>
    <n v="279.10000000000002"/>
    <n v="94042913"/>
    <x v="2359"/>
    <x v="10"/>
    <n v="2.2643998241242878E-2"/>
  </r>
  <r>
    <d v="2025-03-06T00:00:00"/>
    <n v="272.06"/>
    <n v="272.64999999999998"/>
    <n v="260.02"/>
    <n v="263.45"/>
    <n v="98451566"/>
    <x v="2360"/>
    <x v="10"/>
    <n v="-3.1647430713813179E-2"/>
  </r>
  <r>
    <d v="2025-03-07T00:00:00"/>
    <n v="259.32"/>
    <n v="266.25"/>
    <n v="250.73"/>
    <n v="262.67"/>
    <n v="102369640"/>
    <x v="2361"/>
    <x v="10"/>
    <n v="1.2918401974394658E-2"/>
  </r>
  <r>
    <d v="2025-03-10T00:00:00"/>
    <n v="252.54"/>
    <n v="253.37"/>
    <n v="220"/>
    <n v="222.15"/>
    <n v="189076948"/>
    <x v="2362"/>
    <x v="10"/>
    <n v="-0.12033737229745778"/>
  </r>
  <r>
    <d v="2025-03-11T00:00:00"/>
    <n v="225.31"/>
    <n v="237.06"/>
    <n v="217.02"/>
    <n v="230.58"/>
    <n v="174896415"/>
    <x v="2363"/>
    <x v="10"/>
    <n v="2.3389996005503573E-2"/>
  </r>
  <r>
    <d v="2025-03-12T00:00:00"/>
    <n v="247.22"/>
    <n v="251.84"/>
    <n v="241.1"/>
    <n v="248.09"/>
    <n v="142215681"/>
    <x v="2364"/>
    <x v="10"/>
    <n v="3.519132756249513E-3"/>
  </r>
  <r>
    <d v="2025-03-13T00:00:00"/>
    <n v="248.13"/>
    <n v="248.29"/>
    <n v="232.6"/>
    <n v="240.68"/>
    <n v="114813525"/>
    <x v="2365"/>
    <x v="10"/>
    <n v="-3.0024583887478293E-2"/>
  </r>
  <r>
    <d v="2025-03-14T00:00:00"/>
    <n v="247.31"/>
    <n v="251.58"/>
    <n v="240.73"/>
    <n v="249.98"/>
    <n v="100242264"/>
    <x v="2366"/>
    <x v="10"/>
    <n v="1.0796166754275959E-2"/>
  </r>
  <r>
    <d v="2025-03-17T00:00:00"/>
    <n v="245.06"/>
    <n v="245.4"/>
    <n v="232.8"/>
    <n v="238.01"/>
    <n v="111900565"/>
    <x v="2367"/>
    <x v="10"/>
    <n v="-2.8768464865747211E-2"/>
  </r>
  <r>
    <d v="2025-03-18T00:00:00"/>
    <n v="228.16"/>
    <n v="230.1"/>
    <n v="222.28"/>
    <n v="225.31"/>
    <n v="111477636"/>
    <x v="2368"/>
    <x v="10"/>
    <n v="-1.2491234221598852E-2"/>
  </r>
  <r>
    <d v="2025-03-19T00:00:00"/>
    <n v="231.61"/>
    <n v="241.41"/>
    <n v="229.2"/>
    <n v="235.86"/>
    <n v="111993753"/>
    <x v="2369"/>
    <x v="10"/>
    <n v="1.834981218427529E-2"/>
  </r>
  <r>
    <d v="2025-03-20T00:00:00"/>
    <n v="233.35"/>
    <n v="238"/>
    <n v="230.05"/>
    <n v="236.26"/>
    <n v="99028270"/>
    <x v="2370"/>
    <x v="10"/>
    <n v="1.247053781872722E-2"/>
  </r>
  <r>
    <d v="2025-03-21T00:00:00"/>
    <n v="234.99"/>
    <n v="249.52"/>
    <n v="234.55"/>
    <n v="248.71"/>
    <n v="132728684"/>
    <x v="2371"/>
    <x v="10"/>
    <n v="5.8385463211200472E-2"/>
  </r>
  <r>
    <d v="2025-03-24T00:00:00"/>
    <n v="258.08"/>
    <n v="278.64"/>
    <n v="256.33"/>
    <n v="278.39"/>
    <n v="169079865"/>
    <x v="2372"/>
    <x v="10"/>
    <n v="7.8696528208307512E-2"/>
  </r>
  <r>
    <d v="2025-03-25T00:00:00"/>
    <n v="283.60000000000002"/>
    <n v="288.2"/>
    <n v="271.27999999999997"/>
    <n v="288.14"/>
    <n v="150361538"/>
    <x v="2373"/>
    <x v="10"/>
    <n v="1.6008462623413128E-2"/>
  </r>
  <r>
    <d v="2025-03-26T00:00:00"/>
    <n v="282.66000000000003"/>
    <n v="284.89999999999998"/>
    <n v="266.51"/>
    <n v="272.06"/>
    <n v="156254441"/>
    <x v="2374"/>
    <x v="10"/>
    <n v="-3.7500884454822123E-2"/>
  </r>
  <r>
    <d v="2025-03-27T00:00:00"/>
    <n v="272.48"/>
    <n v="291.85000000000002"/>
    <n v="271.82"/>
    <n v="273.13"/>
    <n v="162572146"/>
    <x v="2375"/>
    <x v="10"/>
    <n v="2.3854961832060232E-3"/>
  </r>
  <r>
    <d v="2025-03-28T00:00:00"/>
    <n v="275.58"/>
    <n v="276.10000000000002"/>
    <n v="260.57"/>
    <n v="263.55"/>
    <n v="123809389"/>
    <x v="2376"/>
    <x v="10"/>
    <n v="-4.3653385586762371E-2"/>
  </r>
  <r>
    <d v="2025-03-31T00:00:00"/>
    <n v="249.31"/>
    <n v="260.56"/>
    <n v="243.36"/>
    <n v="259.16000000000003"/>
    <n v="134008936"/>
    <x v="2377"/>
    <x v="10"/>
    <n v="3.9509044964101007E-2"/>
  </r>
  <r>
    <d v="2025-04-01T00:00:00"/>
    <n v="263.8"/>
    <n v="277.45"/>
    <n v="259.25"/>
    <n v="268.45999999999998"/>
    <n v="146486911"/>
    <x v="2378"/>
    <x v="10"/>
    <n v="1.7664897649734525E-2"/>
  </r>
  <r>
    <d v="2025-04-02T00:00:00"/>
    <n v="254.6"/>
    <n v="284.99"/>
    <n v="251.27"/>
    <n v="282.76"/>
    <n v="212787817"/>
    <x v="2379"/>
    <x v="10"/>
    <n v="0.11060487038491751"/>
  </r>
  <r>
    <d v="2025-04-03T00:00:00"/>
    <n v="265.29000000000002"/>
    <n v="276.3"/>
    <n v="261.51"/>
    <n v="267.27999999999997"/>
    <n v="136174291"/>
    <x v="2380"/>
    <x v="10"/>
    <n v="7.5012250744466514E-3"/>
  </r>
  <r>
    <d v="2025-04-04T00:00:00"/>
    <n v="255.38"/>
    <n v="261"/>
    <n v="236"/>
    <n v="239.43"/>
    <n v="181229353"/>
    <x v="2381"/>
    <x v="10"/>
    <n v="-6.245594799906018E-2"/>
  </r>
  <r>
    <d v="2025-04-07T00:00:00"/>
    <n v="223.78"/>
    <n v="252"/>
    <n v="214.25"/>
    <n v="233.29"/>
    <n v="183453776"/>
    <x v="2382"/>
    <x v="10"/>
    <n v="4.2497095361515733E-2"/>
  </r>
  <r>
    <d v="2025-04-08T00:00:00"/>
    <n v="245"/>
    <n v="250.44"/>
    <n v="217.8"/>
    <n v="221.86"/>
    <n v="171603472"/>
    <x v="2383"/>
    <x v="10"/>
    <n v="-9.4448979591836679E-2"/>
  </r>
  <r>
    <d v="2025-04-09T00:00:00"/>
    <n v="224.69"/>
    <n v="274.69"/>
    <n v="223.88"/>
    <n v="272.2"/>
    <n v="219433373"/>
    <x v="2384"/>
    <x v="10"/>
    <n v="0.21144688237126705"/>
  </r>
  <r>
    <d v="2025-04-10T00:00:00"/>
    <n v="260"/>
    <n v="262.49"/>
    <n v="239.33"/>
    <n v="252.4"/>
    <n v="181722604"/>
    <x v="2385"/>
    <x v="10"/>
    <n v="-2.9230769230769209E-2"/>
  </r>
  <r>
    <d v="2025-04-11T00:00:00"/>
    <n v="251.84"/>
    <n v="257.74"/>
    <n v="241.36"/>
    <n v="252.31"/>
    <n v="128948085"/>
    <x v="2386"/>
    <x v="10"/>
    <n v="1.8662642947903385E-3"/>
  </r>
  <r>
    <d v="2025-04-14T00:00:00"/>
    <n v="258.36"/>
    <n v="261.8"/>
    <n v="245.93"/>
    <n v="252.35"/>
    <n v="100135241"/>
    <x v="2387"/>
    <x v="10"/>
    <n v="-2.3262114878464232E-2"/>
  </r>
  <r>
    <d v="2025-04-15T00:00:00"/>
    <n v="249.91"/>
    <n v="258.75"/>
    <n v="247.54"/>
    <n v="254.11"/>
    <n v="79594318"/>
    <x v="2388"/>
    <x v="10"/>
    <n v="1.6806050178064171E-2"/>
  </r>
  <r>
    <d v="2025-04-16T00:00:00"/>
    <n v="247.61"/>
    <n v="251.97"/>
    <n v="233.89"/>
    <n v="241.55"/>
    <n v="112378737"/>
    <x v="2389"/>
    <x v="10"/>
    <n v="-2.4473971164331011E-2"/>
  </r>
  <r>
    <d v="2025-04-17T00:00:00"/>
    <n v="243.47"/>
    <n v="244.34"/>
    <n v="237.68"/>
    <n v="241.37"/>
    <n v="83404775"/>
    <x v="2390"/>
    <x v="10"/>
    <n v="-8.6252926438575364E-3"/>
  </r>
  <r>
    <d v="2025-04-21T00:00:00"/>
    <n v="230.26"/>
    <n v="232.21"/>
    <n v="222.79"/>
    <n v="227.5"/>
    <n v="97768007"/>
    <x v="2391"/>
    <x v="10"/>
    <n v="-1.1986450099887046E-2"/>
  </r>
  <r>
    <d v="2025-04-22T00:00:00"/>
    <n v="230.96"/>
    <n v="242.79"/>
    <n v="229.85"/>
    <n v="237.97"/>
    <n v="120858452"/>
    <x v="2392"/>
    <x v="10"/>
    <n v="3.0351576030481428E-2"/>
  </r>
  <r>
    <d v="2025-04-23T00:00:00"/>
    <n v="254.86"/>
    <n v="259.45"/>
    <n v="244.43"/>
    <n v="250.74"/>
    <n v="150381903"/>
    <x v="2393"/>
    <x v="10"/>
    <n v="-1.6165738052264005E-2"/>
  </r>
  <r>
    <d v="2025-04-24T00:00:00"/>
    <n v="250.5"/>
    <n v="259.54000000000002"/>
    <n v="249.2"/>
    <n v="259.51"/>
    <n v="94464195"/>
    <x v="2394"/>
    <x v="10"/>
    <n v="3.596806387225545E-2"/>
  </r>
  <r>
    <d v="2025-04-25T00:00:00"/>
    <n v="261.69"/>
    <n v="286.85000000000002"/>
    <n v="259.63"/>
    <n v="284.95"/>
    <n v="167560688"/>
    <x v="2395"/>
    <x v="10"/>
    <n v="8.8883793801826552E-2"/>
  </r>
  <r>
    <d v="2025-04-28T00:00:00"/>
    <n v="288.98"/>
    <n v="294.86"/>
    <n v="272.42"/>
    <n v="285.88"/>
    <n v="151731771"/>
    <x v="2396"/>
    <x v="10"/>
    <n v="-1.072738597826847E-2"/>
  </r>
  <r>
    <d v="2025-04-29T00:00:00"/>
    <n v="285.5"/>
    <n v="293.32"/>
    <n v="279.47000000000003"/>
    <n v="292.02999999999997"/>
    <n v="108906553"/>
    <x v="2397"/>
    <x v="10"/>
    <n v="2.2872154115586595E-2"/>
  </r>
  <r>
    <d v="2025-04-30T00:00:00"/>
    <n v="279.89999999999998"/>
    <n v="284.45"/>
    <n v="270.77999999999997"/>
    <n v="282.16000000000003"/>
    <n v="128961057"/>
    <x v="2398"/>
    <x v="10"/>
    <n v="8.0743122543767351E-3"/>
  </r>
  <r>
    <d v="2025-05-01T00:00:00"/>
    <n v="280.01"/>
    <n v="290.87"/>
    <n v="279.81"/>
    <n v="280.52"/>
    <n v="99658974"/>
    <x v="2399"/>
    <x v="10"/>
    <n v="1.8213635227312987E-3"/>
  </r>
  <r>
    <d v="2025-05-02T00:00:00"/>
    <n v="284.89999999999998"/>
    <n v="294.77999999999997"/>
    <n v="279.81"/>
    <n v="287.20999999999998"/>
    <n v="114454683"/>
    <x v="2400"/>
    <x v="10"/>
    <n v="8.1081081081081172E-3"/>
  </r>
  <r>
    <d v="2025-05-05T00:00:00"/>
    <n v="284.57"/>
    <n v="284.85000000000002"/>
    <n v="274.39999999999998"/>
    <n v="280.26"/>
    <n v="94618882"/>
    <x v="2401"/>
    <x v="10"/>
    <n v="-1.5145658361738772E-2"/>
  </r>
  <r>
    <d v="2025-05-06T00:00:00"/>
    <n v="273.11"/>
    <n v="277.73"/>
    <n v="271.35000000000002"/>
    <n v="275.35000000000002"/>
    <n v="76715792"/>
    <x v="2402"/>
    <x v="10"/>
    <n v="8.2018234411043497E-3"/>
  </r>
  <r>
    <d v="2025-05-07T00:00:00"/>
    <n v="276.88"/>
    <n v="277.92"/>
    <n v="271"/>
    <n v="276.22000000000003"/>
    <n v="71882408"/>
    <x v="2403"/>
    <x v="10"/>
    <n v="-2.3837041317537134E-3"/>
  </r>
  <r>
    <d v="2025-05-08T00:00:00"/>
    <n v="279.63"/>
    <n v="289.8"/>
    <n v="279.41000000000003"/>
    <n v="284.82"/>
    <n v="97539448"/>
    <x v="2404"/>
    <x v="10"/>
    <n v="1.8560240317562485E-2"/>
  </r>
  <r>
    <d v="2025-05-09T00:00:00"/>
    <n v="290.20999999999998"/>
    <n v="307.04000000000002"/>
    <n v="290"/>
    <n v="298.26"/>
    <n v="132387835"/>
    <x v="2405"/>
    <x v="10"/>
    <n v="2.7738534164915101E-2"/>
  </r>
  <r>
    <d v="2025-05-12T00:00:00"/>
    <n v="321.99"/>
    <n v="322.20999999999998"/>
    <n v="311.5"/>
    <n v="318.38"/>
    <n v="112826661"/>
    <x v="2406"/>
    <x v="10"/>
    <n v="-1.1211528308332599E-2"/>
  </r>
  <r>
    <d v="2025-05-13T00:00:00"/>
    <n v="320"/>
    <n v="337.59"/>
    <n v="316.8"/>
    <n v="334.07"/>
    <n v="136992574"/>
    <x v="2407"/>
    <x v="10"/>
    <n v="4.396874999999998E-2"/>
  </r>
  <r>
    <d v="2025-05-14T00:00:00"/>
    <n v="342.5"/>
    <n v="350"/>
    <n v="337"/>
    <n v="347.68"/>
    <n v="136997264"/>
    <x v="2408"/>
    <x v="10"/>
    <n v="1.5124087591240896E-2"/>
  </r>
  <r>
    <d v="2025-05-15T00:00:00"/>
    <n v="340.34"/>
    <n v="346.14"/>
    <n v="334.72"/>
    <n v="342.82"/>
    <n v="97882596"/>
    <x v="2409"/>
    <x v="10"/>
    <n v="7.2868308162426353E-3"/>
  </r>
  <r>
    <d v="2025-05-16T00:00:00"/>
    <n v="346.24"/>
    <n v="351.62"/>
    <n v="342.33"/>
    <n v="349.98"/>
    <n v="95895665"/>
    <x v="2410"/>
    <x v="10"/>
    <n v="1.0801756007393741E-2"/>
  </r>
  <r>
    <d v="2025-05-19T00:00:00"/>
    <n v="336.3"/>
    <n v="343"/>
    <n v="333.37"/>
    <n v="342.09"/>
    <n v="88869853"/>
    <x v="2411"/>
    <x v="10"/>
    <n v="1.7216770740410239E-2"/>
  </r>
  <r>
    <d v="2025-05-20T00:00:00"/>
    <n v="347.87"/>
    <n v="354.99"/>
    <n v="341.63"/>
    <n v="343.82"/>
    <n v="131715548"/>
    <x v="2412"/>
    <x v="10"/>
    <n v="-1.1642280162129563E-2"/>
  </r>
  <r>
    <d v="2025-05-21T00:00:00"/>
    <n v="344.43"/>
    <n v="347.35"/>
    <n v="332.2"/>
    <n v="334.62"/>
    <n v="102354844"/>
    <x v="168"/>
    <x v="10"/>
    <n v="-2.8481839561013855E-2"/>
  </r>
  <r>
    <d v="2025-05-22T00:00:00"/>
    <n v="344.43"/>
    <n v="347.35"/>
    <n v="332.2"/>
    <n v="334.62"/>
    <n v="5462213"/>
    <x v="2413"/>
    <x v="10"/>
    <n v="-2.8481839561013855E-2"/>
  </r>
  <r>
    <d v="2025-05-23T00:00:00"/>
    <n v="337.92"/>
    <n v="343.18"/>
    <n v="333.21"/>
    <n v="339.34"/>
    <n v="84654818"/>
    <x v="2414"/>
    <x v="10"/>
    <n v="4.2021780303029086E-3"/>
  </r>
  <r>
    <d v="2025-05-27T00:00:00"/>
    <n v="347.35"/>
    <n v="363.79"/>
    <n v="347.32"/>
    <n v="362.89"/>
    <n v="120146414"/>
    <x v="2415"/>
    <x v="10"/>
    <n v="4.4738736145098497E-2"/>
  </r>
  <r>
    <d v="2025-05-28T00:00:00"/>
    <n v="364.84"/>
    <n v="365"/>
    <n v="355.91"/>
    <n v="356.9"/>
    <n v="91404309"/>
    <x v="2416"/>
    <x v="10"/>
    <n v="-2.176296458721631E-2"/>
  </r>
  <r>
    <d v="2025-05-29T00:00:00"/>
    <n v="365.29"/>
    <n v="367.71"/>
    <n v="356"/>
    <n v="358.43"/>
    <n v="88545666"/>
    <x v="2417"/>
    <x v="10"/>
    <n v="-1.8779599770045754E-2"/>
  </r>
  <r>
    <d v="2025-05-30T00:00:00"/>
    <n v="355.52"/>
    <n v="363.68"/>
    <n v="345.29"/>
    <n v="346.46"/>
    <n v="123474938"/>
    <x v="2418"/>
    <x v="10"/>
    <n v="-2.5483798379837993E-2"/>
  </r>
  <r>
    <d v="2025-06-02T00:00:00"/>
    <n v="343.5"/>
    <n v="348.02"/>
    <n v="333.33"/>
    <n v="342.69"/>
    <n v="81873829"/>
    <x v="2419"/>
    <x v="10"/>
    <n v="-2.358078602620094E-3"/>
  </r>
  <r>
    <d v="2025-06-03T00:00:00"/>
    <n v="346.6"/>
    <n v="355.4"/>
    <n v="343.04"/>
    <n v="344.27"/>
    <n v="99324544"/>
    <x v="2420"/>
    <x v="10"/>
    <n v="-6.7224466243509546E-3"/>
  </r>
  <r>
    <d v="2025-06-04T00:00:00"/>
    <n v="345.1"/>
    <n v="345.6"/>
    <n v="327.33"/>
    <n v="332.05"/>
    <n v="98912075"/>
    <x v="2421"/>
    <x v="10"/>
    <n v="-3.78151260504202E-2"/>
  </r>
  <r>
    <d v="2025-06-05T00:00:00"/>
    <n v="322.49"/>
    <n v="324.55"/>
    <n v="273.20999999999998"/>
    <n v="284.7"/>
    <n v="292818655"/>
    <x v="2422"/>
    <x v="10"/>
    <n v="-0.11718192812180228"/>
  </r>
  <r>
    <d v="2025-06-06T00:00:00"/>
    <n v="298.83"/>
    <n v="305.5"/>
    <n v="291.14"/>
    <n v="295.14"/>
    <n v="164747685"/>
    <x v="2423"/>
    <x v="10"/>
    <n v="-1.2348157815480366E-2"/>
  </r>
  <r>
    <d v="2025-06-09T00:00:00"/>
    <n v="285.95999999999998"/>
    <n v="309.83"/>
    <n v="281.85000000000002"/>
    <n v="308.58"/>
    <n v="140908876"/>
    <x v="2424"/>
    <x v="10"/>
    <n v="7.9101972303818741E-2"/>
  </r>
  <r>
    <d v="2025-06-10T00:00:00"/>
    <n v="314.94"/>
    <n v="327.83"/>
    <n v="310.67"/>
    <n v="326.08999999999997"/>
    <n v="151256520"/>
    <x v="2425"/>
    <x v="10"/>
    <n v="3.5403568933765089E-2"/>
  </r>
  <r>
    <d v="2025-06-11T00:00:00"/>
    <n v="334.4"/>
    <n v="335.5"/>
    <n v="322.5"/>
    <n v="326.43"/>
    <n v="122611360"/>
    <x v="2426"/>
    <x v="10"/>
    <n v="-2.3833732057416183E-2"/>
  </r>
  <r>
    <d v="2025-06-12T00:00:00"/>
    <n v="323.08"/>
    <n v="332.56"/>
    <n v="316.86"/>
    <n v="319.11"/>
    <n v="105127536"/>
    <x v="2427"/>
    <x v="10"/>
    <n v="-1.2287978209731244E-2"/>
  </r>
  <r>
    <d v="2025-06-13T00:00:00"/>
    <n v="313.97000000000003"/>
    <n v="332.99"/>
    <n v="313.3"/>
    <n v="325.31"/>
    <n v="128964279"/>
    <x v="2428"/>
    <x v="10"/>
    <n v="3.6118100455457443E-2"/>
  </r>
  <r>
    <d v="2025-06-16T00:00:00"/>
    <n v="331.29"/>
    <n v="332.05"/>
    <n v="326.41000000000003"/>
    <n v="329.13"/>
    <n v="83925858"/>
    <x v="2429"/>
    <x v="10"/>
    <n v="-6.5199674001630743E-3"/>
  </r>
  <r>
    <d v="2025-06-17T00:00:00"/>
    <n v="326.08999999999997"/>
    <n v="327.26"/>
    <n v="314.74"/>
    <n v="316.35000000000002"/>
    <n v="88282669"/>
    <x v="2430"/>
    <x v="10"/>
    <n v="-2.986905455549067E-2"/>
  </r>
  <r>
    <d v="2025-06-18T00:00:00"/>
    <n v="317.31"/>
    <n v="329.32"/>
    <n v="315.45"/>
    <n v="322.05"/>
    <n v="95137686"/>
    <x v="2431"/>
    <x v="10"/>
    <n v="1.4938073177649646E-2"/>
  </r>
  <r>
    <d v="2025-06-20T00:00:00"/>
    <n v="327.95"/>
    <n v="332.36"/>
    <n v="317.77999999999997"/>
    <n v="322.16000000000003"/>
    <n v="108688008"/>
    <x v="2432"/>
    <x v="10"/>
    <n v="-1.765513035523697E-2"/>
  </r>
  <r>
    <d v="2025-06-23T00:00:00"/>
    <n v="327.54000000000002"/>
    <n v="357.54"/>
    <n v="327.48"/>
    <n v="348.68"/>
    <n v="190716815"/>
    <x v="2433"/>
    <x v="10"/>
    <n v="6.4541735360566607E-2"/>
  </r>
  <r>
    <d v="2025-06-24T00:00:00"/>
    <n v="356.17"/>
    <n v="356.26"/>
    <n v="340.44"/>
    <n v="340.47"/>
    <n v="114736245"/>
    <x v="2434"/>
    <x v="10"/>
    <n v="-4.4080074121908043E-2"/>
  </r>
  <r>
    <d v="2025-06-25T00:00:00"/>
    <n v="342.7"/>
    <n v="343"/>
    <n v="320.39999999999998"/>
    <n v="327.55"/>
    <n v="119845050"/>
    <x v="2435"/>
    <x v="10"/>
    <n v="-4.420776189086658E-2"/>
  </r>
  <r>
    <d v="2025-06-26T00:00:00"/>
    <n v="324.61"/>
    <n v="331.05"/>
    <n v="323.61"/>
    <n v="325.77999999999997"/>
    <n v="80440907"/>
    <x v="2436"/>
    <x v="10"/>
    <n v="3.6043251902281477E-3"/>
  </r>
  <r>
    <d v="2025-06-27T00:00:00"/>
    <n v="324.51"/>
    <n v="329.34"/>
    <n v="317.5"/>
    <n v="323.63"/>
    <n v="89067049"/>
    <x v="2437"/>
    <x v="10"/>
    <n v="-2.7117808388031047E-3"/>
  </r>
  <r>
    <d v="2025-06-30T00:00:00"/>
    <n v="319.89999999999998"/>
    <n v="325.58"/>
    <n v="316.60000000000002"/>
    <n v="317.66000000000003"/>
    <n v="76695081"/>
    <x v="2438"/>
    <x v="10"/>
    <n v="-7.0021881838072909E-3"/>
  </r>
  <r>
    <d v="2025-07-01T00:00:00"/>
    <n v="298.45999999999998"/>
    <n v="305.89"/>
    <n v="293.20999999999998"/>
    <n v="300.70999999999998"/>
    <n v="145085665"/>
    <x v="2439"/>
    <x v="10"/>
    <n v="7.5386986530858414E-3"/>
  </r>
  <r>
    <d v="2025-07-02T00:00:00"/>
    <n v="312.63"/>
    <n v="316.83"/>
    <n v="303.82"/>
    <n v="315.64999999999998"/>
    <n v="119483730"/>
    <x v="2440"/>
    <x v="10"/>
    <n v="9.6599814477176908E-3"/>
  </r>
  <r>
    <d v="2025-07-03T00:00:00"/>
    <n v="317.99"/>
    <n v="318.45"/>
    <n v="312.76"/>
    <n v="315.35000000000002"/>
    <n v="58042302"/>
    <x v="2441"/>
    <x v="10"/>
    <n v="-8.3021478662850604E-3"/>
  </r>
  <r>
    <d v="2025-07-07T00:00:00"/>
    <n v="291.37"/>
    <n v="296.14999999999998"/>
    <n v="288.77"/>
    <n v="293.94"/>
    <n v="131177949"/>
    <x v="2442"/>
    <x v="10"/>
    <n v="8.8204001784672175E-3"/>
  </r>
  <r>
    <d v="2025-07-08T00:00:00"/>
    <n v="297"/>
    <n v="304.05"/>
    <n v="294.35000000000002"/>
    <n v="297.81"/>
    <n v="103246742"/>
    <x v="2443"/>
    <x v="10"/>
    <n v="2.7272727272727349E-3"/>
  </r>
  <r>
    <d v="2025-07-09T00:00:00"/>
    <n v="297.55"/>
    <n v="300.14999999999998"/>
    <n v="293.55"/>
    <n v="295.88"/>
    <n v="75586771"/>
    <x v="2444"/>
    <x v="10"/>
    <n v="-5.6125021004873659E-3"/>
  </r>
  <r>
    <d v="2025-07-10T00:00:00"/>
    <n v="300.05"/>
    <n v="310.48"/>
    <n v="300"/>
    <n v="309.87"/>
    <n v="104365271"/>
    <x v="2445"/>
    <x v="10"/>
    <n v="3.2727878686885495E-2"/>
  </r>
  <r>
    <d v="2025-07-11T00:00:00"/>
    <n v="307.89"/>
    <n v="314.08999999999997"/>
    <n v="305.64999999999998"/>
    <n v="313.51"/>
    <n v="79236442"/>
    <x v="2446"/>
    <x v="10"/>
    <n v="1.8253272272564892E-2"/>
  </r>
  <r>
    <d v="2025-07-14T00:00:00"/>
    <n v="317.73"/>
    <n v="322.60000000000002"/>
    <n v="312.67"/>
    <n v="316.89999999999998"/>
    <n v="78043430"/>
    <x v="2447"/>
    <x v="10"/>
    <n v="-2.6122808674032697E-3"/>
  </r>
  <r>
    <d v="2025-07-15T00:00:00"/>
    <n v="319.68"/>
    <n v="321.2"/>
    <n v="310.5"/>
    <n v="310.77999999999997"/>
    <n v="77556346"/>
    <x v="2448"/>
    <x v="10"/>
    <n v="-2.7840340340340445E-2"/>
  </r>
  <r>
    <d v="2025-07-16T00:00:00"/>
    <n v="312.8"/>
    <n v="323.5"/>
    <n v="312.62"/>
    <n v="321.67"/>
    <n v="97284786"/>
    <x v="2449"/>
    <x v="10"/>
    <n v="2.8356777493606152E-2"/>
  </r>
  <r>
    <d v="2025-07-17T00:00:00"/>
    <n v="323.14999999999998"/>
    <n v="324.33999999999997"/>
    <n v="317.06"/>
    <n v="319.41000000000003"/>
    <n v="73922870"/>
    <x v="2450"/>
    <x v="10"/>
    <n v="-1.1573572644282694E-2"/>
  </r>
  <r>
    <d v="2025-07-18T00:00:00"/>
    <n v="321.66000000000003"/>
    <n v="330.9"/>
    <n v="321.42"/>
    <n v="329.65"/>
    <n v="94254993"/>
    <x v="2451"/>
    <x v="10"/>
    <n v="2.4839893054778187E-2"/>
  </r>
  <r>
    <d v="2025-07-21T00:00:00"/>
    <n v="334.4"/>
    <n v="338"/>
    <n v="326.88"/>
    <n v="328.49"/>
    <n v="75768797"/>
    <x v="2452"/>
    <x v="10"/>
    <n v="-1.7673444976076463E-2"/>
  </r>
  <r>
    <d v="2025-07-22T00:00:00"/>
    <n v="329.74"/>
    <n v="335.41"/>
    <n v="321.55"/>
    <n v="332.11"/>
    <n v="77370371"/>
    <x v="2453"/>
    <x v="10"/>
    <n v="7.1874810456723616E-3"/>
  </r>
  <r>
    <d v="2025-07-23T00:00:00"/>
    <n v="330.9"/>
    <n v="336.2"/>
    <n v="328.67"/>
    <n v="332.56"/>
    <n v="92553756"/>
    <x v="2454"/>
    <x v="10"/>
    <n v="5.0166213357510578E-3"/>
  </r>
  <r>
    <d v="2025-07-24T00:00:00"/>
    <n v="310"/>
    <n v="310.14999999999998"/>
    <n v="300.41000000000003"/>
    <n v="305.3"/>
    <n v="156966023"/>
    <x v="2455"/>
    <x v="10"/>
    <n v="-1.5161290322580609E-2"/>
  </r>
  <r>
    <d v="2025-07-25T00:00:00"/>
    <n v="308.74"/>
    <n v="323.63"/>
    <n v="308.01"/>
    <n v="316.06"/>
    <n v="148227027"/>
    <x v="2456"/>
    <x v="10"/>
    <n v="2.3709269935868346E-2"/>
  </r>
  <r>
    <d v="2025-07-28T00:00:00"/>
    <n v="318.45"/>
    <n v="330.49"/>
    <n v="315.69"/>
    <n v="325.58999999999997"/>
    <n v="112673755"/>
    <x v="2457"/>
    <x v="10"/>
    <n v="2.2421102213848285E-2"/>
  </r>
  <r>
    <d v="2025-07-29T00:00:00"/>
    <n v="325.55"/>
    <n v="326.25"/>
    <n v="318.25"/>
    <n v="321.2"/>
    <n v="87358861"/>
    <x v="2458"/>
    <x v="10"/>
    <n v="-1.3362002764552365E-2"/>
  </r>
  <r>
    <d v="2025-07-30T00:00:00"/>
    <n v="322.18"/>
    <n v="324.45"/>
    <n v="311.62"/>
    <n v="319.04000000000002"/>
    <n v="83931942"/>
    <x v="2459"/>
    <x v="10"/>
    <n v="-9.7461046619901487E-3"/>
  </r>
  <r>
    <d v="2025-07-31T00:00:00"/>
    <n v="319.61"/>
    <n v="321.37"/>
    <n v="306.10000000000002"/>
    <n v="308.27"/>
    <n v="85270919"/>
    <x v="2460"/>
    <x v="10"/>
    <n v="-3.5480742154500894E-2"/>
  </r>
  <r>
    <d v="2025-08-01T00:00:00"/>
    <n v="306.20999999999998"/>
    <n v="309.31"/>
    <n v="297.82"/>
    <n v="302.63"/>
    <n v="89121446"/>
    <x v="2461"/>
    <x v="10"/>
    <n v="-1.16913229483034E-2"/>
  </r>
  <r>
    <d v="2025-08-04T00:00:00"/>
    <n v="309.08"/>
    <n v="312.12"/>
    <n v="303"/>
    <n v="309.26"/>
    <n v="78683905"/>
    <x v="2462"/>
    <x v="10"/>
    <n v="5.8237349553515866E-4"/>
  </r>
  <r>
    <d v="2025-08-05T00:00:00"/>
    <n v="308.95"/>
    <n v="312.45"/>
    <n v="305.5"/>
    <n v="308.72000000000003"/>
    <n v="57961278"/>
    <x v="2463"/>
    <x v="10"/>
    <n v="-7.4445703188205647E-4"/>
  </r>
  <r>
    <d v="2025-08-06T00:00:00"/>
    <n v="307.89"/>
    <n v="320.47000000000003"/>
    <n v="306.93"/>
    <n v="319.91000000000003"/>
    <n v="78523579"/>
    <x v="2464"/>
    <x v="10"/>
    <n v="3.9039916853421806E-2"/>
  </r>
  <r>
    <d v="2025-08-07T00:00:00"/>
    <n v="319.79000000000002"/>
    <n v="322.39999999999998"/>
    <n v="316.16000000000003"/>
    <n v="322.27"/>
    <n v="66658672"/>
    <x v="2465"/>
    <x v="10"/>
    <n v="7.7550892773381322E-3"/>
  </r>
  <r>
    <d v="2025-08-08T00:00:00"/>
    <n v="321.43"/>
    <n v="335.15"/>
    <n v="320.98"/>
    <n v="329.65"/>
    <n v="91200319"/>
    <x v="2466"/>
    <x v="10"/>
    <n v="2.557321967457913E-2"/>
  </r>
  <r>
    <d v="2025-08-11T00:00:00"/>
    <n v="335"/>
    <n v="346.64"/>
    <n v="334.15"/>
    <n v="339.03"/>
    <n v="105320174"/>
    <x v="2467"/>
    <x v="10"/>
    <n v="1.2029850746268575E-2"/>
  </r>
  <r>
    <d v="2025-08-12T00:00:00"/>
    <n v="345"/>
    <n v="345.26"/>
    <n v="332.94"/>
    <n v="340.84"/>
    <n v="80690111"/>
    <x v="2468"/>
    <x v="10"/>
    <n v="-1.2057971014492826E-2"/>
  </r>
  <r>
    <d v="2025-08-13T00:00:00"/>
    <n v="341.5"/>
    <n v="348.98"/>
    <n v="338.2"/>
    <n v="339.38"/>
    <n v="67838892"/>
    <x v="2469"/>
    <x v="10"/>
    <n v="-6.2079062957540393E-3"/>
  </r>
  <r>
    <d v="2025-08-14T00:00:00"/>
    <n v="335.76"/>
    <n v="340.47"/>
    <n v="330.4"/>
    <n v="335.58"/>
    <n v="75000662"/>
    <x v="2470"/>
    <x v="10"/>
    <n v="-5.3609721229451641E-4"/>
  </r>
  <r>
    <d v="2025-08-15T00:00:00"/>
    <n v="337.66"/>
    <n v="339.3"/>
    <n v="327.02"/>
    <n v="330.56"/>
    <n v="74319792"/>
    <x v="2471"/>
    <x v="10"/>
    <n v="-2.1027068648936866E-2"/>
  </r>
  <r>
    <d v="2025-08-18T00:00:00"/>
    <n v="329.62"/>
    <n v="336.27"/>
    <n v="329.59"/>
    <n v="335.16"/>
    <n v="56956552"/>
    <x v="2472"/>
    <x v="10"/>
    <n v="1.6807232570839211E-2"/>
  </r>
  <r>
    <d v="2025-08-19T00:00:00"/>
    <n v="335.79"/>
    <n v="340.55"/>
    <n v="327.85"/>
    <n v="329.31"/>
    <n v="75956002"/>
    <x v="2473"/>
    <x v="10"/>
    <n v="-1.9297775395336423E-2"/>
  </r>
  <r>
    <d v="2025-08-20T00:00:00"/>
    <n v="329.22"/>
    <n v="331.37"/>
    <n v="314.60000000000002"/>
    <n v="323.89999999999998"/>
    <n v="77481768"/>
    <x v="2474"/>
    <x v="10"/>
    <n v="-1.6159407083409422E-2"/>
  </r>
  <r>
    <d v="2025-08-21T00:00:00"/>
    <n v="322.08"/>
    <n v="324.89999999999998"/>
    <n v="318.68"/>
    <n v="320.11"/>
    <n v="55744445"/>
    <x v="2475"/>
    <x v="10"/>
    <n v="-6.1164927968205742E-3"/>
  </r>
  <r>
    <d v="2025-08-22T00:00:00"/>
    <n v="321.66000000000003"/>
    <n v="340.25"/>
    <n v="319.69"/>
    <n v="340.01"/>
    <n v="94016347"/>
    <x v="2476"/>
    <x v="10"/>
    <n v="5.7047814462475796E-2"/>
  </r>
  <r>
    <d v="2025-08-25T00:00:00"/>
    <n v="338.9"/>
    <n v="349.53"/>
    <n v="335.03"/>
    <n v="346.6"/>
    <n v="86670037"/>
    <x v="2477"/>
    <x v="10"/>
    <n v="2.2720566538802143E-2"/>
  </r>
  <r>
    <d v="2025-08-26T00:00:00"/>
    <n v="344.93"/>
    <n v="351.9"/>
    <n v="343.72"/>
    <n v="351.67"/>
    <n v="76651550"/>
    <x v="2478"/>
    <x v="10"/>
    <n v="1.9540196561621224E-2"/>
  </r>
  <r>
    <d v="2025-08-27T00:00:00"/>
    <n v="351.94"/>
    <n v="355.39"/>
    <n v="349.16"/>
    <n v="349.6"/>
    <n v="65519012"/>
    <x v="2479"/>
    <x v="10"/>
    <n v="-6.6488606012387761E-3"/>
  </r>
  <r>
    <d v="2025-08-28T00:00:00"/>
    <n v="350.91"/>
    <n v="353.55"/>
    <n v="340.26"/>
    <n v="345.98"/>
    <n v="67903224"/>
    <x v="2480"/>
    <x v="10"/>
    <n v="-1.4049186401071518E-2"/>
  </r>
  <r>
    <d v="2025-08-29T00:00:00"/>
    <n v="347.23"/>
    <n v="348.75"/>
    <n v="331.7"/>
    <n v="333.87"/>
    <n v="81145660"/>
    <x v="2481"/>
    <x v="10"/>
    <n v="-3.8475938138985727E-2"/>
  </r>
  <r>
    <d v="2025-09-02T00:00:00"/>
    <n v="328.23"/>
    <n v="333.33"/>
    <n v="325.60000000000002"/>
    <n v="329.36"/>
    <n v="58391952"/>
    <x v="2482"/>
    <x v="10"/>
    <n v="3.4427078572951751E-3"/>
  </r>
  <r>
    <d v="2025-09-03T00:00:00"/>
    <n v="335.2"/>
    <n v="343.33"/>
    <n v="328.51"/>
    <n v="334.09"/>
    <n v="88733288"/>
    <x v="2483"/>
    <x v="10"/>
    <n v="-3.3114558472554108E-3"/>
  </r>
  <r>
    <d v="2025-09-04T00:00:00"/>
    <n v="336.15"/>
    <n v="338.89"/>
    <n v="331.48"/>
    <n v="338.53"/>
    <n v="60711033"/>
    <x v="2484"/>
    <x v="10"/>
    <n v="7.0801725420199186E-3"/>
  </r>
  <r>
    <d v="2025-09-05T00:00:00"/>
    <n v="348"/>
    <n v="355.87"/>
    <n v="344.68"/>
    <n v="350.84"/>
    <n v="108989785"/>
    <x v="2485"/>
    <x v="10"/>
    <n v="8.1609195402298131E-3"/>
  </r>
  <r>
    <d v="2025-09-08T00:00:00"/>
    <n v="354.64"/>
    <n v="358.44"/>
    <n v="344.84"/>
    <n v="346.4"/>
    <n v="75208290"/>
    <x v="2486"/>
    <x v="10"/>
    <n v="-2.3234829686442617E-2"/>
  </r>
  <r>
    <d v="2025-09-09T00:00:00"/>
    <n v="348.44"/>
    <n v="350.77"/>
    <n v="343.82"/>
    <n v="346.97"/>
    <n v="53815991"/>
    <x v="2487"/>
    <x v="10"/>
    <n v="-4.2188038112730185E-3"/>
  </r>
  <r>
    <d v="2025-09-10T00:00:00"/>
    <n v="350.55"/>
    <n v="356.33"/>
    <n v="346.07"/>
    <n v="347.79"/>
    <n v="72121679"/>
    <x v="2488"/>
    <x v="10"/>
    <n v="-7.8733418913136243E-3"/>
  </r>
  <r>
    <d v="2025-09-11T00:00:00"/>
    <n v="350.17"/>
    <n v="368.99"/>
    <n v="347.6"/>
    <n v="368.81"/>
    <n v="103756010"/>
    <x v="2489"/>
    <x v="10"/>
    <n v="5.323128766027925E-2"/>
  </r>
  <r>
    <d v="2025-09-12T00:00:00"/>
    <n v="370.94"/>
    <n v="396.69"/>
    <n v="370.24"/>
    <n v="395.94"/>
    <n v="168156391"/>
    <x v="2490"/>
    <x v="10"/>
    <n v="6.7396344422278542E-2"/>
  </r>
  <r>
    <d v="2025-09-15T00:00:00"/>
    <n v="423.13"/>
    <n v="425.7"/>
    <n v="402.43"/>
    <n v="410.04"/>
    <n v="163823667"/>
    <x v="2491"/>
    <x v="10"/>
    <n v="-3.0936118923262295E-2"/>
  </r>
  <r>
    <d v="2025-09-16T00:00:00"/>
    <n v="414.5"/>
    <n v="423.25"/>
    <n v="411.43"/>
    <n v="421.62"/>
    <n v="104285721"/>
    <x v="2492"/>
    <x v="10"/>
    <n v="1.7177322074788913E-2"/>
  </r>
  <r>
    <d v="2025-09-17T00:00:00"/>
    <n v="415.75"/>
    <n v="428.31"/>
    <n v="409.67"/>
    <n v="425.86"/>
    <n v="106133532"/>
    <x v="2493"/>
    <x v="10"/>
    <n v="2.4317498496692756E-2"/>
  </r>
  <r>
    <d v="2025-09-18T00:00:00"/>
    <n v="428.87"/>
    <n v="432.22"/>
    <n v="416.56"/>
    <n v="416.85"/>
    <n v="90454509"/>
    <x v="2494"/>
    <x v="10"/>
    <n v="-2.8027141091706068E-2"/>
  </r>
  <r>
    <d v="2025-09-19T00:00:00"/>
    <n v="421.82"/>
    <n v="429.47"/>
    <n v="421.72"/>
    <n v="426.07"/>
    <n v="93131034"/>
    <x v="2495"/>
    <x v="10"/>
    <n v="1.0075387606087905E-2"/>
  </r>
  <r>
    <d v="2025-09-22T00:00:00"/>
    <n v="431.11"/>
    <n v="444.98"/>
    <n v="429.13"/>
    <n v="434.21"/>
    <n v="97108777"/>
    <x v="2496"/>
    <x v="10"/>
    <n v="7.1907401823199778E-3"/>
  </r>
  <r>
    <d v="2025-09-23T00:00:00"/>
    <n v="439.88"/>
    <n v="440.97"/>
    <n v="423.72"/>
    <n v="425.85"/>
    <n v="83422691"/>
    <x v="168"/>
    <x v="10"/>
    <n v="-3.1895062289715316E-2"/>
  </r>
  <r>
    <d v="2025-09-24T00:00:00"/>
    <n v="439.88"/>
    <n v="440.97"/>
    <n v="423.72"/>
    <n v="425.85"/>
    <n v="1669878"/>
    <x v="2497"/>
    <x v="10"/>
    <n v="-3.1895062289715316E-2"/>
  </r>
  <r>
    <d v="2025-09-26T00:00:00"/>
    <n v="428.3"/>
    <n v="440.47"/>
    <n v="421.02"/>
    <n v="440.4"/>
    <n v="101628160"/>
    <x v="2498"/>
    <x v="10"/>
    <n v="2.8251225776324926E-2"/>
  </r>
  <r>
    <d v="2025-09-29T00:00:00"/>
    <n v="444.35"/>
    <n v="450.98"/>
    <n v="439.5"/>
    <n v="443.21"/>
    <n v="79491510"/>
    <x v="2499"/>
    <x v="10"/>
    <n v="-2.5655451783504965E-3"/>
  </r>
  <r>
    <d v="2025-09-30T00:00:00"/>
    <n v="441.52"/>
    <n v="445"/>
    <n v="433.12"/>
    <n v="444.72"/>
    <n v="74357960"/>
    <x v="2500"/>
    <x v="10"/>
    <n v="7.2476897988767112E-3"/>
  </r>
</pivotCacheRecords>
</file>

<file path=xl/pivotCache/pivotCacheRecords3.xml><?xml version="1.0" encoding="utf-8"?>
<pivotCacheRecords xmlns="http://schemas.openxmlformats.org/spreadsheetml/2006/main" xmlns:r="http://schemas.openxmlformats.org/officeDocument/2006/relationships" count="11">
  <r>
    <x v="0"/>
    <n v="16.5"/>
  </r>
  <r>
    <x v="1"/>
    <n v="15.38"/>
  </r>
  <r>
    <x v="2"/>
    <n v="14.32"/>
  </r>
  <r>
    <x v="3"/>
    <n v="20.8"/>
  </r>
  <r>
    <x v="4"/>
    <n v="20.41"/>
  </r>
  <r>
    <x v="5"/>
    <n v="28.3"/>
  </r>
  <r>
    <x v="6"/>
    <n v="239.82"/>
  </r>
  <r>
    <x v="7"/>
    <n v="382.58"/>
  </r>
  <r>
    <x v="8"/>
    <n v="118.47"/>
  </r>
  <r>
    <x v="9"/>
    <n v="250.08"/>
  </r>
  <r>
    <x v="10"/>
    <n v="39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B37" firstHeaderRow="1" firstDataRow="1" firstDataCol="1"/>
  <pivotFields count="4">
    <pivotField axis="axisRow" numFmtId="166" showAll="0">
      <items count="15">
        <item x="0"/>
        <item x="1"/>
        <item x="2"/>
        <item x="3"/>
        <item x="4"/>
        <item x="5"/>
        <item x="6"/>
        <item x="7"/>
        <item x="8"/>
        <item x="9"/>
        <item x="10"/>
        <item x="11"/>
        <item x="12"/>
        <item x="13"/>
        <item t="default"/>
      </items>
    </pivotField>
    <pivotField dataField="1" showAll="0"/>
    <pivotField axis="axisRow"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3"/>
    <field x="2"/>
    <field x="0"/>
  </rowFields>
  <rowItems count="12">
    <i>
      <x v="1"/>
    </i>
    <i>
      <x v="2"/>
    </i>
    <i>
      <x v="3"/>
    </i>
    <i>
      <x v="4"/>
    </i>
    <i>
      <x v="5"/>
    </i>
    <i>
      <x v="6"/>
    </i>
    <i>
      <x v="7"/>
    </i>
    <i>
      <x v="8"/>
    </i>
    <i>
      <x v="9"/>
    </i>
    <i>
      <x v="10"/>
    </i>
    <i>
      <x v="11"/>
    </i>
    <i t="grand">
      <x/>
    </i>
  </rowItems>
  <colItems count="1">
    <i/>
  </colItems>
  <dataFields count="1">
    <dataField name="Sum of Open Price " fld="1"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74:B86" firstHeaderRow="1" firstDataRow="1" firstDataCol="1"/>
  <pivotFields count="9">
    <pivotField numFmtId="165" showAll="0"/>
    <pivotField showAll="0"/>
    <pivotField showAll="0"/>
    <pivotField showAll="0"/>
    <pivotField showAll="0"/>
    <pivotField dataField="1" showAll="0"/>
    <pivotField numFmtId="2" showAll="0"/>
    <pivotField axis="axisRow" numFmtId="1" showAll="0">
      <items count="12">
        <item x="0"/>
        <item x="1"/>
        <item x="2"/>
        <item x="3"/>
        <item x="4"/>
        <item x="5"/>
        <item x="6"/>
        <item x="7"/>
        <item x="8"/>
        <item x="9"/>
        <item x="10"/>
        <item t="default"/>
      </items>
    </pivotField>
    <pivotField numFmtId="2" showAll="0"/>
  </pivotFields>
  <rowFields count="1">
    <field x="7"/>
  </rowFields>
  <rowItems count="12">
    <i>
      <x/>
    </i>
    <i>
      <x v="1"/>
    </i>
    <i>
      <x v="2"/>
    </i>
    <i>
      <x v="3"/>
    </i>
    <i>
      <x v="4"/>
    </i>
    <i>
      <x v="5"/>
    </i>
    <i>
      <x v="6"/>
    </i>
    <i>
      <x v="7"/>
    </i>
    <i>
      <x v="8"/>
    </i>
    <i>
      <x v="9"/>
    </i>
    <i>
      <x v="10"/>
    </i>
    <i t="grand">
      <x/>
    </i>
  </rowItems>
  <colItems count="1">
    <i/>
  </colItems>
  <dataFields count="1">
    <dataField name="Average of Volume" fld="5" subtotal="average" baseField="0" baseItem="0"/>
  </dataFields>
  <formats count="5">
    <format dxfId="4">
      <pivotArea collapsedLevelsAreSubtotals="1" fieldPosition="0">
        <references count="1">
          <reference field="7" count="0"/>
        </references>
      </pivotArea>
    </format>
    <format dxfId="3">
      <pivotArea collapsedLevelsAreSubtotals="1" fieldPosition="0">
        <references count="1">
          <reference field="7" count="0"/>
        </references>
      </pivotArea>
    </format>
    <format dxfId="2">
      <pivotArea collapsedLevelsAreSubtotals="1" fieldPosition="0">
        <references count="1">
          <reference field="7" count="0"/>
        </references>
      </pivotArea>
    </format>
    <format dxfId="1">
      <pivotArea collapsedLevelsAreSubtotals="1" fieldPosition="0">
        <references count="1">
          <reference field="7" count="0"/>
        </references>
      </pivotArea>
    </format>
    <format dxfId="0">
      <pivotArea collapsedLevelsAreSubtotals="1" fieldPosition="0">
        <references count="1">
          <reference field="7" count="0"/>
        </references>
      </pivotArea>
    </format>
  </format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2:C54" firstHeaderRow="0" firstDataRow="1" firstDataCol="1"/>
  <pivotFields count="9">
    <pivotField numFmtId="165" showAll="0"/>
    <pivotField showAll="0"/>
    <pivotField showAll="0"/>
    <pivotField showAll="0"/>
    <pivotField showAll="0"/>
    <pivotField showAll="0"/>
    <pivotField dataField="1" numFmtId="2" showAll="0">
      <items count="2502">
        <item x="2500"/>
        <item x="1232"/>
        <item x="1110"/>
        <item x="1083"/>
        <item x="1112"/>
        <item x="2361"/>
        <item x="2421"/>
        <item x="745"/>
        <item x="949"/>
        <item x="1105"/>
        <item x="821"/>
        <item x="1098"/>
        <item x="2205"/>
        <item x="1815"/>
        <item x="1643"/>
        <item x="2081"/>
        <item x="1528"/>
        <item x="1108"/>
        <item x="1582"/>
        <item x="1811"/>
        <item x="181"/>
        <item x="2380"/>
        <item x="1243"/>
        <item x="1143"/>
        <item x="1889"/>
        <item x="1951"/>
        <item x="2015"/>
        <item x="1670"/>
        <item x="1652"/>
        <item x="1230"/>
        <item x="87"/>
        <item x="716"/>
        <item x="1809"/>
        <item x="2261"/>
        <item x="1753"/>
        <item x="587"/>
        <item x="1346"/>
        <item x="1679"/>
        <item x="2236"/>
        <item x="2196"/>
        <item x="2352"/>
        <item x="1650"/>
        <item x="2308"/>
        <item x="1654"/>
        <item x="619"/>
        <item x="872"/>
        <item x="2454"/>
        <item x="1122"/>
        <item x="1349"/>
        <item x="1807"/>
        <item x="1135"/>
        <item x="848"/>
        <item x="1318"/>
        <item x="804"/>
        <item x="620"/>
        <item x="902"/>
        <item x="1762"/>
        <item x="991"/>
        <item x="1095"/>
        <item x="1250"/>
        <item x="2384"/>
        <item x="86"/>
        <item x="684"/>
        <item x="437"/>
        <item x="1780"/>
        <item x="83"/>
        <item x="2107"/>
        <item x="1676"/>
        <item x="750"/>
        <item x="1600"/>
        <item x="1297"/>
        <item x="63"/>
        <item x="1364"/>
        <item x="1663"/>
        <item x="809"/>
        <item x="1788"/>
        <item x="522"/>
        <item x="1751"/>
        <item x="1659"/>
        <item x="2441"/>
        <item x="1573"/>
        <item x="1766"/>
        <item x="12"/>
        <item x="1713"/>
        <item x="963"/>
        <item x="2211"/>
        <item x="1694"/>
        <item x="1305"/>
        <item x="1400"/>
        <item x="1545"/>
        <item x="1661"/>
        <item x="1796"/>
        <item x="347"/>
        <item x="1201"/>
        <item x="2343"/>
        <item x="1757"/>
        <item x="1833"/>
        <item x="730"/>
        <item x="1801"/>
        <item x="1034"/>
        <item x="2283"/>
        <item x="1877"/>
        <item x="1549"/>
        <item x="2317"/>
        <item x="1934"/>
        <item x="905"/>
        <item x="1657"/>
        <item x="1855"/>
        <item x="1356"/>
        <item x="1229"/>
        <item x="2285"/>
        <item x="2390"/>
        <item x="1846"/>
        <item x="2226"/>
        <item x="1775"/>
        <item x="1123"/>
        <item x="2359"/>
        <item x="1242"/>
        <item x="2136"/>
        <item x="438"/>
        <item x="2373"/>
        <item x="645"/>
        <item x="2147"/>
        <item x="1270"/>
        <item x="776"/>
        <item x="2379"/>
        <item x="1931"/>
        <item x="2030"/>
        <item x="1567"/>
        <item x="2367"/>
        <item x="2438"/>
        <item x="1417"/>
        <item x="230"/>
        <item x="802"/>
        <item x="898"/>
        <item x="1578"/>
        <item x="1339"/>
        <item x="1848"/>
        <item x="2337"/>
        <item x="622"/>
        <item x="1612"/>
        <item x="1597"/>
        <item x="1171"/>
        <item x="84"/>
        <item x="1982"/>
        <item x="1842"/>
        <item x="1554"/>
        <item x="887"/>
        <item x="858"/>
        <item x="1331"/>
        <item x="1778"/>
        <item x="1686"/>
        <item x="118"/>
        <item x="1860"/>
        <item x="148"/>
        <item x="1200"/>
        <item x="1551"/>
        <item x="395"/>
        <item x="1639"/>
        <item x="2314"/>
        <item x="2388"/>
        <item x="675"/>
        <item x="1593"/>
        <item x="2127"/>
        <item x="2382"/>
        <item x="970"/>
        <item x="1354"/>
        <item x="1353"/>
        <item x="1527"/>
        <item x="1633"/>
        <item x="710"/>
        <item x="1368"/>
        <item x="2022"/>
        <item x="2366"/>
        <item x="2014"/>
        <item x="1629"/>
        <item x="1805"/>
        <item x="799"/>
        <item x="2350"/>
        <item x="1228"/>
        <item x="70"/>
        <item x="1606"/>
        <item x="1747"/>
        <item x="173"/>
        <item x="2114"/>
        <item x="1198"/>
        <item x="1391"/>
        <item x="1352"/>
        <item x="610"/>
        <item x="2357"/>
        <item x="2215"/>
        <item x="49"/>
        <item x="1402"/>
        <item x="1268"/>
        <item x="1362"/>
        <item x="749"/>
        <item x="751"/>
        <item x="1543"/>
        <item x="1468"/>
        <item x="1893"/>
        <item x="364"/>
        <item x="2212"/>
        <item x="886"/>
        <item x="2213"/>
        <item x="1996"/>
        <item x="727"/>
        <item x="147"/>
        <item x="1566"/>
        <item x="493"/>
        <item x="1630"/>
        <item x="1239"/>
        <item x="349"/>
        <item x="1599"/>
        <item x="1538"/>
        <item x="998"/>
        <item x="2115"/>
        <item x="1203"/>
        <item x="1802"/>
        <item x="1180"/>
        <item x="2209"/>
        <item x="1096"/>
        <item x="2320"/>
        <item x="1746"/>
        <item x="677"/>
        <item x="1739"/>
        <item x="2202"/>
        <item x="1608"/>
        <item x="678"/>
        <item x="2066"/>
        <item x="432"/>
        <item x="3"/>
        <item x="2353"/>
        <item x="2292"/>
        <item x="293"/>
        <item x="1382"/>
        <item x="2108"/>
        <item x="27"/>
        <item x="2058"/>
        <item x="504"/>
        <item x="146"/>
        <item x="2429"/>
        <item x="1172"/>
        <item x="343"/>
        <item x="1492"/>
        <item x="1785"/>
        <item x="883"/>
        <item x="380"/>
        <item x="1206"/>
        <item x="823"/>
        <item x="2035"/>
        <item x="2434"/>
        <item x="1355"/>
        <item x="2152"/>
        <item x="281"/>
        <item x="842"/>
        <item x="1140"/>
        <item x="817"/>
        <item x="2257"/>
        <item x="2016"/>
        <item x="784"/>
        <item x="2073"/>
        <item x="1879"/>
        <item x="1636"/>
        <item x="2088"/>
        <item x="1613"/>
        <item x="1777"/>
        <item x="2130"/>
        <item x="1137"/>
        <item x="1058"/>
        <item x="1069"/>
        <item x="254"/>
        <item x="919"/>
        <item x="2339"/>
        <item x="1705"/>
        <item x="2139"/>
        <item x="2420"/>
        <item x="1569"/>
        <item x="601"/>
        <item x="2164"/>
        <item x="1016"/>
        <item x="2375"/>
        <item x="2480"/>
        <item x="1556"/>
        <item x="455"/>
        <item x="272"/>
        <item x="2254"/>
        <item x="2163"/>
        <item x="2310"/>
        <item x="1755"/>
        <item x="1395"/>
        <item x="863"/>
        <item x="420"/>
        <item x="516"/>
        <item x="201"/>
        <item x="404"/>
        <item x="2141"/>
        <item x="1385"/>
        <item x="2341"/>
        <item x="1576"/>
        <item x="1370"/>
        <item x="2397"/>
        <item x="2459"/>
        <item x="656"/>
        <item x="2326"/>
        <item x="2255"/>
        <item x="737"/>
        <item x="697"/>
        <item x="1883"/>
        <item x="1103"/>
        <item x="2417"/>
        <item x="1111"/>
        <item x="912"/>
        <item x="1330"/>
        <item x="1992"/>
        <item x="2315"/>
        <item x="636"/>
        <item x="291"/>
        <item x="1388"/>
        <item x="800"/>
        <item x="1956"/>
        <item x="1869"/>
        <item x="2316"/>
        <item x="894"/>
        <item x="954"/>
        <item x="2228"/>
        <item x="1798"/>
        <item x="627"/>
        <item x="849"/>
        <item x="539"/>
        <item x="2063"/>
        <item x="1970"/>
        <item x="1858"/>
        <item x="810"/>
        <item x="2200"/>
        <item x="2020"/>
        <item x="521"/>
        <item x="1675"/>
        <item x="1213"/>
        <item x="2220"/>
        <item x="1290"/>
        <item x="584"/>
        <item x="2098"/>
        <item x="747"/>
        <item x="1192"/>
        <item x="1403"/>
        <item x="701"/>
        <item x="833"/>
        <item x="1540"/>
        <item x="128"/>
        <item x="850"/>
        <item x="632"/>
        <item x="925"/>
        <item x="2354"/>
        <item x="1859"/>
        <item x="652"/>
        <item x="77"/>
        <item x="89"/>
        <item x="806"/>
        <item x="26"/>
        <item x="1933"/>
        <item x="1523"/>
        <item x="468"/>
        <item x="2342"/>
        <item x="1416"/>
        <item x="1965"/>
        <item x="1632"/>
        <item x="2011"/>
        <item x="2275"/>
        <item x="2364"/>
        <item x="1377"/>
        <item x="1469"/>
        <item x="102"/>
        <item x="1425"/>
        <item x="798"/>
        <item x="1592"/>
        <item x="1195"/>
        <item x="1779"/>
        <item x="74"/>
        <item x="759"/>
        <item x="1817"/>
        <item x="1104"/>
        <item x="2039"/>
        <item x="1759"/>
        <item x="2133"/>
        <item x="1976"/>
        <item x="2072"/>
        <item x="375"/>
        <item x="1439"/>
        <item x="2356"/>
        <item x="1969"/>
        <item x="1531"/>
        <item x="434"/>
        <item x="1971"/>
        <item x="2093"/>
        <item x="29"/>
        <item x="728"/>
        <item x="129"/>
        <item x="150"/>
        <item x="79"/>
        <item x="144"/>
        <item x="692"/>
        <item x="877"/>
        <item x="470"/>
        <item x="2101"/>
        <item x="1252"/>
        <item x="1586"/>
        <item x="30"/>
        <item x="402"/>
        <item x="1292"/>
        <item x="1299"/>
        <item x="2137"/>
        <item x="453"/>
        <item x="903"/>
        <item x="1728"/>
        <item x="1259"/>
        <item x="249"/>
        <item x="783"/>
        <item x="2412"/>
        <item x="1960"/>
        <item x="1182"/>
        <item x="5"/>
        <item x="1097"/>
        <item x="1717"/>
        <item x="1995"/>
        <item x="653"/>
        <item x="1119"/>
        <item x="172"/>
        <item x="136"/>
        <item x="714"/>
        <item x="1277"/>
        <item x="855"/>
        <item x="1803"/>
        <item x="490"/>
        <item x="1745"/>
        <item x="1851"/>
        <item x="2381"/>
        <item x="1783"/>
        <item x="956"/>
        <item x="961"/>
        <item x="278"/>
        <item x="22"/>
        <item x="445"/>
        <item x="1733"/>
        <item x="1393"/>
        <item x="1444"/>
        <item x="1730"/>
        <item x="394"/>
        <item x="1407"/>
        <item x="1109"/>
        <item x="436"/>
        <item x="2272"/>
        <item x="1211"/>
        <item x="617"/>
        <item x="2277"/>
        <item x="1486"/>
        <item x="907"/>
        <item x="279"/>
        <item x="557"/>
        <item x="2179"/>
        <item x="1715"/>
        <item x="713"/>
        <item x="1342"/>
        <item x="989"/>
        <item x="613"/>
        <item x="2400"/>
        <item x="662"/>
        <item x="709"/>
        <item x="1611"/>
        <item x="577"/>
        <item x="1905"/>
        <item x="1959"/>
        <item x="637"/>
        <item x="702"/>
        <item x="1120"/>
        <item x="1668"/>
        <item x="2433"/>
        <item x="1212"/>
        <item x="514"/>
        <item x="2246"/>
        <item x="2109"/>
        <item x="1142"/>
        <item x="616"/>
        <item x="312"/>
        <item x="2332"/>
        <item x="6"/>
        <item x="723"/>
        <item x="553"/>
        <item x="17"/>
        <item x="2070"/>
        <item x="1151"/>
        <item x="1724"/>
        <item x="683"/>
        <item x="1445"/>
        <item x="463"/>
        <item x="1440"/>
        <item x="600"/>
        <item x="4"/>
        <item x="2334"/>
        <item x="968"/>
        <item x="2410"/>
        <item x="1471"/>
        <item x="2125"/>
        <item x="2085"/>
        <item x="630"/>
        <item x="2426"/>
        <item x="1988"/>
        <item x="1322"/>
        <item x="753"/>
        <item x="724"/>
        <item x="1598"/>
        <item x="264"/>
        <item x="512"/>
        <item x="20"/>
        <item x="1065"/>
        <item x="1347"/>
        <item x="1405"/>
        <item x="1036"/>
        <item x="2094"/>
        <item x="227"/>
        <item x="1462"/>
        <item x="1866"/>
        <item x="255"/>
        <item x="234"/>
        <item x="67"/>
        <item x="1568"/>
        <item x="2351"/>
        <item x="42"/>
        <item x="1329"/>
        <item x="529"/>
        <item x="859"/>
        <item x="2493"/>
        <item x="2329"/>
        <item x="626"/>
        <item x="1962"/>
        <item x="1941"/>
        <item x="732"/>
        <item x="748"/>
        <item x="1166"/>
        <item x="2175"/>
        <item x="408"/>
        <item x="1334"/>
        <item x="1262"/>
        <item x="1825"/>
        <item x="696"/>
        <item x="1118"/>
        <item x="483"/>
        <item x="1260"/>
        <item x="1723"/>
        <item x="208"/>
        <item x="1032"/>
        <item x="2204"/>
        <item x="2155"/>
        <item x="2135"/>
        <item x="1276"/>
        <item x="1888"/>
        <item x="2003"/>
        <item x="682"/>
        <item x="65"/>
        <item x="1261"/>
        <item x="1857"/>
        <item x="1786"/>
        <item x="492"/>
        <item x="2158"/>
        <item x="533"/>
        <item x="885"/>
        <item x="285"/>
        <item x="270"/>
        <item x="2075"/>
        <item x="2269"/>
        <item x="1093"/>
        <item x="576"/>
        <item x="1454"/>
        <item x="890"/>
        <item x="46"/>
        <item x="556"/>
        <item x="788"/>
        <item x="763"/>
        <item x="1532"/>
        <item x="1285"/>
        <item x="977"/>
        <item x="2447"/>
        <item x="2496"/>
        <item x="2140"/>
        <item x="160"/>
        <item x="2019"/>
        <item x="1009"/>
        <item x="2"/>
        <item x="1401"/>
        <item x="698"/>
        <item x="513"/>
        <item x="2229"/>
        <item x="260"/>
        <item x="665"/>
        <item x="443"/>
        <item x="2064"/>
        <item x="1275"/>
        <item x="2111"/>
        <item x="2437"/>
        <item x="1164"/>
        <item x="2460"/>
        <item x="1575"/>
        <item x="228"/>
        <item x="754"/>
        <item x="599"/>
        <item x="2176"/>
        <item x="156"/>
        <item x="2148"/>
        <item x="1687"/>
        <item x="1984"/>
        <item x="1238"/>
        <item x="2182"/>
        <item x="964"/>
        <item x="707"/>
        <item x="2313"/>
        <item x="1688"/>
        <item x="1943"/>
        <item x="1161"/>
        <item x="1810"/>
        <item x="2401"/>
        <item x="494"/>
        <item x="558"/>
        <item x="1222"/>
        <item x="2472"/>
        <item x="1498"/>
        <item x="928"/>
        <item x="2153"/>
        <item x="758"/>
        <item x="1589"/>
        <item x="1189"/>
        <item x="2324"/>
        <item x="1107"/>
        <item x="2349"/>
        <item x="2076"/>
        <item x="1972"/>
        <item x="117"/>
        <item x="213"/>
        <item x="2051"/>
        <item x="911"/>
        <item x="2376"/>
        <item x="2044"/>
        <item x="782"/>
        <item x="2230"/>
        <item x="109"/>
        <item x="1302"/>
        <item x="535"/>
        <item x="1396"/>
        <item x="2415"/>
        <item x="2473"/>
        <item x="1912"/>
        <item x="2233"/>
        <item x="1099"/>
        <item x="1787"/>
        <item x="1338"/>
        <item x="2120"/>
        <item x="166"/>
        <item x="518"/>
        <item x="183"/>
        <item x="480"/>
        <item x="1587"/>
        <item x="2078"/>
        <item x="2297"/>
        <item x="864"/>
        <item x="2294"/>
        <item x="2154"/>
        <item x="2304"/>
        <item x="588"/>
        <item x="2010"/>
        <item x="901"/>
        <item x="583"/>
        <item x="1913"/>
        <item x="1902"/>
        <item x="1864"/>
        <item x="1891"/>
        <item x="604"/>
        <item x="431"/>
        <item x="2242"/>
        <item x="235"/>
        <item x="1896"/>
        <item x="247"/>
        <item x="66"/>
        <item x="215"/>
        <item x="1626"/>
        <item x="2470"/>
        <item x="273"/>
        <item x="68"/>
        <item x="143"/>
        <item x="1768"/>
        <item x="1999"/>
        <item x="767"/>
        <item x="760"/>
        <item x="1579"/>
        <item x="1994"/>
        <item x="1392"/>
        <item x="1306"/>
        <item x="1887"/>
        <item x="481"/>
        <item x="1563"/>
        <item x="78"/>
        <item x="1797"/>
        <item x="582"/>
        <item x="1854"/>
        <item x="771"/>
        <item x="2118"/>
        <item x="231"/>
        <item x="424"/>
        <item x="2161"/>
        <item x="1476"/>
        <item x="838"/>
        <item x="2259"/>
        <item x="2331"/>
        <item x="346"/>
        <item x="793"/>
        <item x="1954"/>
        <item x="474"/>
        <item x="1704"/>
        <item x="2408"/>
        <item x="509"/>
        <item x="2166"/>
        <item x="960"/>
        <item x="2253"/>
        <item x="2181"/>
        <item x="122"/>
        <item x="1873"/>
        <item x="2046"/>
        <item x="552"/>
        <item x="2481"/>
        <item x="1344"/>
        <item x="253"/>
        <item x="2457"/>
        <item x="1010"/>
        <item x="13"/>
        <item x="612"/>
        <item x="107"/>
        <item x="1075"/>
        <item x="175"/>
        <item x="261"/>
        <item x="1279"/>
        <item x="1158"/>
        <item x="54"/>
        <item x="651"/>
        <item x="469"/>
        <item x="1564"/>
        <item x="2485"/>
        <item x="832"/>
        <item x="496"/>
        <item x="2218"/>
        <item x="1826"/>
        <item x="1580"/>
        <item x="560"/>
        <item x="629"/>
        <item x="1265"/>
        <item x="393"/>
        <item x="456"/>
        <item x="15"/>
        <item x="837"/>
        <item x="1371"/>
        <item x="801"/>
        <item x="379"/>
        <item x="1076"/>
        <item x="1968"/>
        <item x="1986"/>
        <item x="633"/>
        <item x="889"/>
        <item x="209"/>
        <item x="2474"/>
        <item x="178"/>
        <item x="1433"/>
        <item x="1367"/>
        <item x="896"/>
        <item x="1998"/>
        <item x="936"/>
        <item x="1892"/>
        <item x="94"/>
        <item x="1435"/>
        <item x="2121"/>
        <item x="2289"/>
        <item x="389"/>
        <item x="1843"/>
        <item x="1793"/>
        <item x="870"/>
        <item x="2273"/>
        <item x="2052"/>
        <item x="1729"/>
        <item x="237"/>
        <item x="1226"/>
        <item x="271"/>
        <item x="1878"/>
        <item x="933"/>
        <item x="252"/>
        <item x="2469"/>
        <item x="689"/>
        <item x="722"/>
        <item x="1027"/>
        <item x="1756"/>
        <item x="695"/>
        <item x="2145"/>
        <item x="189"/>
        <item x="1398"/>
        <item x="1752"/>
        <item x="1321"/>
        <item x="56"/>
        <item x="1967"/>
        <item x="1952"/>
        <item x="8"/>
        <item x="822"/>
        <item x="2250"/>
        <item x="2418"/>
        <item x="667"/>
        <item x="524"/>
        <item x="354"/>
        <item x="580"/>
        <item x="333"/>
        <item x="133"/>
        <item x="2138"/>
        <item x="2043"/>
        <item x="609"/>
        <item x="425"/>
        <item x="2479"/>
        <item x="1301"/>
        <item x="841"/>
        <item x="562"/>
        <item x="1506"/>
        <item x="908"/>
        <item x="36"/>
        <item x="2340"/>
        <item x="639"/>
        <item x="2170"/>
        <item x="1409"/>
        <item x="224"/>
        <item x="1134"/>
        <item x="897"/>
        <item x="1379"/>
        <item x="1149"/>
        <item x="1350"/>
        <item x="1070"/>
        <item x="1447"/>
        <item x="385"/>
        <item x="979"/>
        <item x="1169"/>
        <item x="985"/>
        <item x="715"/>
        <item x="1906"/>
        <item x="44"/>
        <item x="614"/>
        <item x="1544"/>
        <item x="1963"/>
        <item x="606"/>
        <item x="2260"/>
        <item x="142"/>
        <item x="1871"/>
        <item x="1897"/>
        <item x="1823"/>
        <item x="1041"/>
        <item x="195"/>
        <item x="222"/>
        <item x="164"/>
        <item x="1088"/>
        <item x="946"/>
        <item x="47"/>
        <item x="1374"/>
        <item x="1853"/>
        <item x="1451"/>
        <item x="447"/>
        <item x="895"/>
        <item x="1452"/>
        <item x="2309"/>
        <item x="1674"/>
        <item x="1720"/>
        <item x="331"/>
        <item x="1414"/>
        <item x="322"/>
        <item x="1174"/>
        <item x="1651"/>
        <item x="242"/>
        <item x="360"/>
        <item x="910"/>
        <item x="218"/>
        <item x="2171"/>
        <item x="563"/>
        <item x="1360"/>
        <item x="131"/>
        <item x="382"/>
        <item x="2267"/>
        <item x="1721"/>
        <item x="451"/>
        <item x="1552"/>
        <item x="1358"/>
        <item x="1655"/>
        <item x="35"/>
        <item x="1042"/>
        <item x="566"/>
        <item x="1421"/>
        <item x="1450"/>
        <item x="356"/>
        <item x="153"/>
        <item x="1280"/>
        <item x="860"/>
        <item x="1345"/>
        <item x="1205"/>
        <item x="2060"/>
        <item x="1646"/>
        <item x="881"/>
        <item x="140"/>
        <item x="1820"/>
        <item x="329"/>
        <item x="935"/>
        <item x="1942"/>
        <item x="2274"/>
        <item x="1731"/>
        <item x="1500"/>
        <item x="1927"/>
        <item x="225"/>
        <item x="572"/>
        <item x="840"/>
        <item x="541"/>
        <item x="916"/>
        <item x="2224"/>
        <item x="406"/>
        <item x="59"/>
        <item x="1950"/>
        <item x="999"/>
        <item x="690"/>
        <item x="2449"/>
        <item x="1467"/>
        <item x="1642"/>
        <item x="2290"/>
        <item x="1604"/>
        <item x="1964"/>
        <item x="475"/>
        <item x="1273"/>
        <item x="1155"/>
        <item x="655"/>
        <item x="700"/>
        <item x="744"/>
        <item x="2458"/>
        <item x="1513"/>
        <item x="355"/>
        <item x="138"/>
        <item x="210"/>
        <item x="2436"/>
        <item x="1178"/>
        <item x="2330"/>
        <item x="874"/>
        <item x="1066"/>
        <item x="319"/>
        <item x="2443"/>
        <item x="400"/>
        <item x="1325"/>
        <item x="1030"/>
        <item x="1526"/>
        <item x="650"/>
        <item x="554"/>
        <item x="19"/>
        <item x="1050"/>
        <item x="1518"/>
        <item x="2080"/>
        <item x="545"/>
        <item x="549"/>
        <item x="997"/>
        <item x="786"/>
        <item x="303"/>
        <item x="1991"/>
        <item x="259"/>
        <item x="607"/>
        <item x="725"/>
        <item x="2478"/>
        <item x="1546"/>
        <item x="1071"/>
        <item x="40"/>
        <item x="1585"/>
        <item x="72"/>
        <item x="2398"/>
        <item x="1691"/>
        <item x="2328"/>
        <item x="2056"/>
        <item x="987"/>
        <item x="1335"/>
        <item x="1"/>
        <item x="1695"/>
        <item x="197"/>
        <item x="2435"/>
        <item x="526"/>
        <item x="603"/>
        <item x="834"/>
        <item x="828"/>
        <item x="569"/>
        <item x="685"/>
        <item x="944"/>
        <item x="1464"/>
        <item x="1153"/>
        <item x="2045"/>
        <item x="233"/>
        <item x="1625"/>
        <item x="1247"/>
        <item x="879"/>
        <item x="2087"/>
        <item x="307"/>
        <item x="1561"/>
        <item x="995"/>
        <item x="726"/>
        <item x="543"/>
        <item x="357"/>
        <item x="2347"/>
        <item x="983"/>
        <item x="1090"/>
        <item x="1885"/>
        <item x="390"/>
        <item x="296"/>
        <item x="174"/>
        <item x="1019"/>
        <item x="196"/>
        <item x="720"/>
        <item x="298"/>
        <item x="460"/>
        <item x="205"/>
        <item x="1645"/>
        <item x="449"/>
        <item x="1219"/>
        <item x="462"/>
        <item x="595"/>
        <item x="53"/>
        <item x="257"/>
        <item x="426"/>
        <item x="527"/>
        <item x="542"/>
        <item x="2071"/>
        <item x="1683"/>
        <item x="658"/>
        <item x="1773"/>
        <item x="2468"/>
        <item x="342"/>
        <item x="2005"/>
        <item x="1446"/>
        <item x="313"/>
        <item x="972"/>
        <item x="591"/>
        <item x="1530"/>
        <item x="942"/>
        <item x="1038"/>
        <item x="226"/>
        <item x="2268"/>
        <item x="1682"/>
        <item x="1429"/>
        <item x="383"/>
        <item x="199"/>
        <item x="2169"/>
        <item x="967"/>
        <item x="497"/>
        <item x="1397"/>
        <item x="397"/>
        <item x="706"/>
        <item x="1017"/>
        <item x="1048"/>
        <item x="1722"/>
        <item x="466"/>
        <item x="1641"/>
        <item x="734"/>
        <item x="1903"/>
        <item x="1012"/>
        <item x="2451"/>
        <item x="1955"/>
        <item x="2276"/>
        <item x="1727"/>
        <item x="1928"/>
        <item x="1799"/>
        <item x="97"/>
        <item x="836"/>
        <item x="216"/>
        <item x="2007"/>
        <item x="875"/>
        <item x="950"/>
        <item x="1147"/>
        <item x="2126"/>
        <item x="1622"/>
        <item x="1685"/>
        <item x="611"/>
        <item x="491"/>
        <item x="274"/>
        <item x="2167"/>
        <item x="808"/>
        <item x="2027"/>
        <item x="550"/>
        <item x="290"/>
        <item x="1465"/>
        <item x="845"/>
        <item x="1177"/>
        <item x="1881"/>
        <item x="2360"/>
        <item x="506"/>
        <item x="2244"/>
        <item x="1411"/>
        <item x="485"/>
        <item x="167"/>
        <item x="976"/>
        <item x="1437"/>
        <item x="2174"/>
        <item x="775"/>
        <item x="781"/>
        <item x="1420"/>
        <item x="2097"/>
        <item x="1880"/>
        <item x="648"/>
        <item x="953"/>
        <item x="294"/>
        <item x="984"/>
        <item x="286"/>
        <item x="1150"/>
        <item x="1806"/>
        <item x="2009"/>
        <item x="135"/>
        <item x="2184"/>
        <item x="519"/>
        <item x="1481"/>
        <item x="362"/>
        <item x="878"/>
        <item x="594"/>
        <item x="267"/>
        <item x="1480"/>
        <item x="2067"/>
        <item x="1415"/>
        <item x="1562"/>
        <item x="929"/>
        <item x="2207"/>
        <item x="826"/>
        <item x="219"/>
        <item x="739"/>
        <item x="2265"/>
        <item x="204"/>
        <item x="212"/>
        <item x="900"/>
        <item x="1791"/>
        <item x="994"/>
        <item x="2068"/>
        <item x="1667"/>
        <item x="679"/>
        <item x="414"/>
        <item x="2462"/>
        <item x="1985"/>
        <item x="479"/>
        <item x="1808"/>
        <item x="1436"/>
        <item x="182"/>
        <item x="73"/>
        <item x="904"/>
        <item x="407"/>
        <item x="151"/>
        <item x="32"/>
        <item x="1057"/>
        <item x="1015"/>
        <item x="923"/>
        <item x="415"/>
        <item x="1742"/>
        <item x="1209"/>
        <item x="57"/>
        <item x="937"/>
        <item x="2113"/>
        <item x="939"/>
        <item x="1085"/>
        <item x="353"/>
        <item x="1503"/>
        <item x="1607"/>
        <item x="1744"/>
        <item x="1980"/>
        <item x="851"/>
        <item x="2293"/>
        <item x="1281"/>
        <item x="642"/>
        <item x="736"/>
        <item x="686"/>
        <item x="2440"/>
        <item x="719"/>
        <item x="95"/>
        <item x="772"/>
        <item x="2266"/>
        <item x="1266"/>
        <item x="2105"/>
        <item x="292"/>
        <item x="299"/>
        <item x="2389"/>
        <item x="268"/>
        <item x="180"/>
        <item x="194"/>
        <item x="316"/>
        <item x="320"/>
        <item x="121"/>
        <item x="130"/>
        <item x="335"/>
        <item x="328"/>
        <item x="366"/>
        <item x="337"/>
        <item x="1660"/>
        <item x="370"/>
        <item x="2322"/>
        <item x="1758"/>
        <item x="1018"/>
        <item x="1021"/>
        <item x="508"/>
        <item x="796"/>
        <item x="2385"/>
        <item x="1114"/>
        <item x="1423"/>
        <item x="2029"/>
        <item x="1501"/>
        <item x="2346"/>
        <item x="2065"/>
        <item x="168"/>
        <item x="1459"/>
        <item x="2149"/>
        <item x="2386"/>
        <item x="1196"/>
        <item x="1792"/>
        <item x="2431"/>
        <item x="2017"/>
        <item x="473"/>
        <item x="1709"/>
        <item x="638"/>
        <item x="729"/>
        <item x="1577"/>
        <item x="24"/>
        <item x="1944"/>
        <item x="64"/>
        <item x="165"/>
        <item x="311"/>
        <item x="283"/>
        <item x="1795"/>
        <item x="1376"/>
        <item x="502"/>
        <item x="495"/>
        <item x="515"/>
        <item x="517"/>
        <item x="1978"/>
        <item x="1829"/>
        <item x="88"/>
        <item x="1907"/>
        <item x="1596"/>
        <item x="2425"/>
        <item x="341"/>
        <item x="372"/>
        <item x="852"/>
        <item x="893"/>
        <item x="1003"/>
        <item x="1774"/>
        <item x="467"/>
        <item x="673"/>
        <item x="1384"/>
        <item x="1484"/>
        <item x="1208"/>
        <item x="1485"/>
        <item x="2172"/>
        <item x="499"/>
        <item x="813"/>
        <item x="220"/>
        <item x="2453"/>
        <item x="177"/>
        <item x="1254"/>
        <item x="152"/>
        <item x="154"/>
        <item x="1438"/>
        <item x="2077"/>
        <item x="2301"/>
        <item x="2321"/>
        <item x="305"/>
        <item x="2319"/>
        <item x="238"/>
        <item x="1165"/>
        <item x="1776"/>
        <item x="1490"/>
        <item x="300"/>
        <item x="1482"/>
        <item x="2079"/>
        <item x="1263"/>
        <item x="862"/>
        <item x="2486"/>
        <item x="1460"/>
        <item x="1160"/>
        <item x="2103"/>
        <item x="2369"/>
        <item x="363"/>
        <item x="1406"/>
        <item x="1514"/>
        <item x="330"/>
        <item x="454"/>
        <item x="351"/>
        <item x="1094"/>
        <item x="2006"/>
        <item x="2263"/>
        <item x="1898"/>
        <item x="955"/>
        <item x="1703"/>
        <item x="1326"/>
        <item x="430"/>
        <item x="1488"/>
        <item x="1699"/>
        <item x="1771"/>
        <item x="741"/>
        <item x="37"/>
        <item x="2241"/>
        <item x="190"/>
        <item x="371"/>
        <item x="248"/>
        <item x="1726"/>
        <item x="1495"/>
        <item x="585"/>
        <item x="2188"/>
        <item x="2487"/>
        <item x="2333"/>
        <item x="538"/>
        <item x="1159"/>
        <item x="830"/>
        <item x="1343"/>
        <item x="1748"/>
        <item x="990"/>
        <item x="435"/>
        <item x="740"/>
        <item x="712"/>
        <item x="1672"/>
        <item x="2231"/>
        <item x="43"/>
        <item x="1328"/>
        <item x="25"/>
        <item x="1365"/>
        <item x="1101"/>
        <item x="1336"/>
        <item x="2041"/>
        <item x="931"/>
        <item x="2048"/>
        <item x="1822"/>
        <item x="1504"/>
        <item x="229"/>
        <item x="1309"/>
        <item x="243"/>
        <item x="2201"/>
        <item x="507"/>
        <item x="1861"/>
        <item x="302"/>
        <item x="2036"/>
        <item x="1474"/>
        <item x="1448"/>
        <item x="1210"/>
        <item x="567"/>
        <item x="2402"/>
        <item x="45"/>
        <item x="2395"/>
        <item x="1491"/>
        <item x="403"/>
        <item x="217"/>
        <item x="791"/>
        <item x="34"/>
        <item x="2082"/>
        <item x="1455"/>
        <item x="2499"/>
        <item x="575"/>
        <item x="1760"/>
        <item x="2084"/>
        <item x="820"/>
        <item x="192"/>
        <item x="756"/>
        <item x="1310"/>
        <item x="1006"/>
        <item x="348"/>
        <item x="827"/>
        <item x="2195"/>
        <item x="308"/>
        <item x="155"/>
        <item x="857"/>
        <item x="2013"/>
        <item x="1899"/>
        <item x="1053"/>
        <item x="1958"/>
        <item x="1235"/>
        <item x="694"/>
        <item x="1830"/>
        <item x="2106"/>
        <item x="1741"/>
        <item x="659"/>
        <item x="61"/>
        <item x="537"/>
        <item x="1764"/>
        <item x="1475"/>
        <item x="531"/>
        <item x="58"/>
        <item x="2374"/>
        <item x="91"/>
        <item x="884"/>
        <item x="1712"/>
        <item x="1040"/>
        <item x="761"/>
        <item x="1087"/>
        <item x="352"/>
        <item x="503"/>
        <item x="2416"/>
        <item x="325"/>
        <item x="145"/>
        <item x="540"/>
        <item x="498"/>
        <item x="593"/>
        <item x="2252"/>
        <item x="644"/>
        <item x="742"/>
        <item x="795"/>
        <item x="1223"/>
        <item x="1981"/>
        <item x="1993"/>
        <item x="2419"/>
        <item x="421"/>
        <item x="1430"/>
        <item x="2074"/>
        <item x="574"/>
        <item x="1074"/>
        <item x="819"/>
        <item x="2243"/>
        <item x="1499"/>
        <item x="868"/>
        <item x="2159"/>
        <item x="921"/>
        <item x="1937"/>
        <item x="1024"/>
        <item x="2050"/>
        <item x="2411"/>
        <item x="245"/>
        <item x="401"/>
        <item x="241"/>
        <item x="1620"/>
        <item x="476"/>
        <item x="2099"/>
        <item x="668"/>
        <item x="1461"/>
        <item x="265"/>
        <item x="11"/>
        <item x="2040"/>
        <item x="2284"/>
        <item x="2467"/>
        <item x="2187"/>
        <item x="1697"/>
        <item x="332"/>
        <item x="1102"/>
        <item x="1341"/>
        <item x="2002"/>
        <item x="2037"/>
        <item x="1804"/>
        <item x="488"/>
        <item x="1870"/>
        <item x="1732"/>
        <item x="2193"/>
        <item x="1644"/>
        <item x="1320"/>
        <item x="2217"/>
        <item x="244"/>
        <item x="1571"/>
        <item x="1862"/>
        <item x="1850"/>
        <item x="75"/>
        <item x="1386"/>
        <item x="770"/>
        <item x="969"/>
        <item x="1555"/>
        <item x="671"/>
        <item x="2262"/>
        <item x="1539"/>
        <item x="1127"/>
        <item x="1442"/>
        <item x="909"/>
        <item x="2498"/>
        <item x="1627"/>
        <item x="816"/>
        <item x="2150"/>
        <item x="1479"/>
        <item x="2116"/>
        <item x="2026"/>
        <item x="1509"/>
        <item x="564"/>
        <item x="221"/>
        <item x="258"/>
        <item x="1535"/>
        <item x="1542"/>
        <item x="427"/>
        <item x="50"/>
        <item x="1324"/>
        <item x="2387"/>
        <item x="1648"/>
        <item x="191"/>
        <item x="973"/>
        <item x="1624"/>
        <item x="691"/>
        <item x="14"/>
        <item x="464"/>
        <item x="1875"/>
        <item x="246"/>
        <item x="1037"/>
        <item x="1314"/>
        <item x="442"/>
        <item x="1872"/>
        <item x="2240"/>
        <item x="2464"/>
        <item x="1698"/>
        <item x="1264"/>
        <item x="681"/>
        <item x="2021"/>
        <item x="169"/>
        <item x="1179"/>
        <item x="1007"/>
        <item x="162"/>
        <item x="478"/>
        <item x="1033"/>
        <item x="141"/>
        <item x="882"/>
        <item x="1714"/>
        <item x="81"/>
        <item x="654"/>
        <item x="2183"/>
        <item x="924"/>
        <item x="2264"/>
        <item x="1701"/>
        <item x="986"/>
        <item x="1008"/>
        <item x="927"/>
        <item x="1502"/>
        <item x="1945"/>
        <item x="1029"/>
        <item x="532"/>
        <item x="202"/>
        <item x="62"/>
        <item x="555"/>
        <item x="1507"/>
        <item x="1974"/>
        <item x="530"/>
        <item x="1011"/>
        <item x="161"/>
        <item x="387"/>
        <item x="2086"/>
        <item x="1765"/>
        <item x="721"/>
        <item x="39"/>
        <item x="1340"/>
        <item x="711"/>
        <item x="1914"/>
        <item x="1997"/>
        <item x="2239"/>
        <item x="101"/>
        <item x="1059"/>
        <item x="223"/>
        <item x="80"/>
        <item x="1307"/>
        <item x="2214"/>
        <item x="269"/>
        <item x="1510"/>
        <item x="618"/>
        <item x="1383"/>
        <item x="334"/>
        <item x="704"/>
        <item x="1145"/>
        <item x="1837"/>
        <item x="440"/>
        <item x="55"/>
        <item x="1426"/>
        <item x="1487"/>
        <item x="792"/>
        <item x="206"/>
        <item x="2222"/>
        <item x="1156"/>
        <item x="277"/>
        <item x="717"/>
        <item x="814"/>
        <item x="568"/>
        <item x="1001"/>
        <item x="774"/>
        <item x="1940"/>
        <item x="943"/>
        <item x="1028"/>
        <item x="1294"/>
        <item x="536"/>
        <item x="2053"/>
        <item x="2055"/>
        <item x="1175"/>
        <item x="2225"/>
        <item x="318"/>
        <item x="1257"/>
        <item x="358"/>
        <item x="1035"/>
        <item x="386"/>
        <item x="317"/>
        <item x="486"/>
        <item x="1770"/>
        <item x="187"/>
        <item x="2492"/>
        <item x="1472"/>
        <item x="69"/>
        <item x="98"/>
        <item x="1419"/>
        <item x="1901"/>
        <item x="1949"/>
        <item x="926"/>
        <item x="137"/>
        <item x="85"/>
        <item x="525"/>
        <item x="1267"/>
        <item x="2128"/>
        <item x="957"/>
        <item x="1839"/>
        <item x="2122"/>
        <item x="2091"/>
        <item x="471"/>
        <item x="134"/>
        <item x="1046"/>
        <item x="2336"/>
        <item x="2446"/>
        <item x="2249"/>
        <item x="1591"/>
        <item x="428"/>
        <item x="1428"/>
        <item x="511"/>
        <item x="110"/>
        <item x="1631"/>
        <item x="288"/>
        <item x="2452"/>
        <item x="1886"/>
        <item x="1710"/>
        <item x="2012"/>
        <item x="1814"/>
        <item x="1044"/>
        <item x="120"/>
        <item x="103"/>
        <item x="1634"/>
        <item x="787"/>
        <item x="48"/>
        <item x="1602"/>
        <item x="323"/>
        <item x="559"/>
        <item x="2104"/>
        <item x="570"/>
        <item x="51"/>
        <item x="1133"/>
        <item x="958"/>
        <item x="2428"/>
        <item x="2445"/>
        <item x="766"/>
        <item x="1269"/>
        <item x="843"/>
        <item x="2110"/>
        <item x="1390"/>
        <item x="399"/>
        <item x="1789"/>
        <item x="2124"/>
        <item x="376"/>
        <item x="1176"/>
        <item x="344"/>
        <item x="605"/>
        <item x="1882"/>
        <item x="452"/>
        <item x="282"/>
        <item x="1689"/>
        <item x="2069"/>
        <item x="28"/>
        <item x="1673"/>
        <item x="1947"/>
        <item x="546"/>
        <item x="123"/>
        <item x="176"/>
        <item x="214"/>
        <item x="1493"/>
        <item x="1441"/>
        <item x="1296"/>
        <item x="602"/>
        <item x="688"/>
        <item x="76"/>
        <item x="423"/>
        <item x="1424"/>
        <item x="1890"/>
        <item x="18"/>
        <item x="1004"/>
        <item x="1020"/>
        <item x="988"/>
        <item x="1966"/>
        <item x="377"/>
        <item x="779"/>
        <item x="1337"/>
        <item x="2442"/>
        <item x="1550"/>
        <item x="1525"/>
        <item x="1193"/>
        <item x="2028"/>
        <item x="2483"/>
        <item x="1399"/>
        <item x="200"/>
        <item x="2047"/>
        <item x="1188"/>
        <item x="2090"/>
        <item x="1056"/>
        <item x="444"/>
        <item x="1389"/>
        <item x="266"/>
        <item x="2100"/>
        <item x="171"/>
        <item x="824"/>
        <item x="867"/>
        <item x="2049"/>
        <item x="844"/>
        <item x="1917"/>
        <item x="876"/>
        <item x="803"/>
        <item x="489"/>
        <item x="839"/>
        <item x="1234"/>
        <item x="2112"/>
        <item x="1505"/>
        <item x="1026"/>
        <item x="2471"/>
        <item x="906"/>
        <item x="439"/>
        <item x="2413"/>
        <item x="276"/>
        <item x="1989"/>
        <item x="448"/>
        <item x="1055"/>
        <item x="2482"/>
        <item x="1039"/>
        <item x="1457"/>
        <item x="2477"/>
        <item x="1157"/>
        <item x="657"/>
        <item x="1922"/>
        <item x="2168"/>
        <item x="1621"/>
        <item x="510"/>
        <item x="2160"/>
        <item x="100"/>
        <item x="2008"/>
        <item x="1080"/>
        <item x="350"/>
        <item x="1489"/>
        <item x="1772"/>
        <item x="2258"/>
        <item x="1199"/>
        <item x="598"/>
        <item x="1204"/>
        <item x="112"/>
        <item x="1477"/>
        <item x="314"/>
        <item x="914"/>
        <item x="778"/>
        <item x="2199"/>
        <item x="578"/>
        <item x="996"/>
        <item x="1734"/>
        <item x="2001"/>
        <item x="573"/>
        <item x="1312"/>
        <item x="1975"/>
        <item x="1152"/>
        <item x="1115"/>
        <item x="1738"/>
        <item x="1077"/>
        <item x="185"/>
        <item x="417"/>
        <item x="1671"/>
        <item x="1369"/>
        <item x="932"/>
        <item x="2061"/>
        <item x="1590"/>
        <item x="981"/>
        <item x="2129"/>
        <item x="149"/>
        <item x="465"/>
        <item x="1548"/>
        <item x="649"/>
        <item x="930"/>
        <item x="1241"/>
        <item x="551"/>
        <item x="1653"/>
        <item x="250"/>
        <item x="1278"/>
        <item x="113"/>
        <item x="2134"/>
        <item x="326"/>
        <item x="1938"/>
        <item x="1662"/>
        <item x="829"/>
        <item x="847"/>
        <item x="429"/>
        <item x="780"/>
        <item x="2173"/>
        <item x="1043"/>
        <item x="275"/>
        <item x="477"/>
        <item x="597"/>
        <item x="664"/>
        <item x="280"/>
        <item x="1494"/>
        <item x="1921"/>
        <item x="947"/>
        <item x="1920"/>
        <item x="971"/>
        <item x="1696"/>
        <item x="2248"/>
        <item x="640"/>
        <item x="1680"/>
        <item x="1750"/>
        <item x="1867"/>
        <item x="365"/>
        <item x="1508"/>
        <item x="1618"/>
        <item x="7"/>
        <item x="589"/>
        <item x="1537"/>
        <item x="482"/>
        <item x="1909"/>
        <item x="413"/>
        <item x="1990"/>
        <item x="338"/>
        <item x="384"/>
        <item x="391"/>
        <item x="1574"/>
        <item x="1516"/>
        <item x="374"/>
        <item x="975"/>
        <item x="1918"/>
        <item x="2023"/>
        <item x="1849"/>
        <item x="660"/>
        <item x="2198"/>
        <item x="289"/>
        <item x="1605"/>
        <item x="2430"/>
        <item x="1154"/>
        <item x="1929"/>
        <item x="1784"/>
        <item x="2348"/>
        <item x="207"/>
        <item x="1553"/>
        <item x="1594"/>
        <item x="1216"/>
        <item x="945"/>
        <item x="1910"/>
        <item x="948"/>
        <item x="388"/>
        <item x="2142"/>
        <item x="2298"/>
        <item x="345"/>
        <item x="1146"/>
        <item x="1002"/>
        <item x="2062"/>
        <item x="1743"/>
        <item x="1413"/>
        <item x="1422"/>
        <item x="1255"/>
        <item x="825"/>
        <item x="815"/>
        <item x="1519"/>
        <item x="1256"/>
        <item x="1378"/>
        <item x="2495"/>
        <item x="980"/>
        <item x="158"/>
        <item x="579"/>
        <item x="1194"/>
        <item x="1062"/>
        <item x="500"/>
        <item x="615"/>
        <item x="2476"/>
        <item x="1427"/>
        <item x="1084"/>
        <item x="2427"/>
        <item x="965"/>
        <item x="1244"/>
        <item x="418"/>
        <item x="1637"/>
        <item x="856"/>
        <item x="114"/>
        <item x="1736"/>
        <item x="735"/>
        <item x="2151"/>
        <item x="2206"/>
        <item x="918"/>
        <item x="188"/>
        <item x="634"/>
        <item x="501"/>
        <item x="1932"/>
        <item x="1047"/>
        <item x="9"/>
        <item x="236"/>
        <item x="794"/>
        <item x="457"/>
        <item x="179"/>
        <item x="2156"/>
        <item x="1466"/>
        <item x="2057"/>
        <item x="1865"/>
        <item x="643"/>
        <item x="769"/>
        <item x="871"/>
        <item x="1289"/>
        <item x="1361"/>
        <item x="1961"/>
        <item x="1761"/>
        <item x="239"/>
        <item x="773"/>
        <item x="1700"/>
        <item x="1581"/>
        <item x="409"/>
        <item x="571"/>
        <item x="1190"/>
        <item x="1583"/>
        <item x="2192"/>
        <item x="2409"/>
        <item x="631"/>
        <item x="2018"/>
        <item x="1132"/>
        <item x="1463"/>
        <item x="1904"/>
        <item x="2092"/>
        <item x="959"/>
        <item x="211"/>
        <item x="410"/>
        <item x="2288"/>
        <item x="2396"/>
        <item x="416"/>
        <item x="106"/>
        <item x="2323"/>
        <item x="1946"/>
        <item x="2461"/>
        <item x="1497"/>
        <item x="1449"/>
        <item x="2494"/>
        <item x="256"/>
        <item x="1707"/>
        <item x="1453"/>
        <item x="777"/>
        <item x="1925"/>
        <item x="920"/>
        <item x="2338"/>
        <item x="2031"/>
        <item x="1323"/>
        <item x="2089"/>
        <item x="139"/>
        <item x="405"/>
        <item x="2132"/>
        <item x="1725"/>
        <item x="263"/>
        <item x="1711"/>
        <item x="324"/>
        <item x="2311"/>
        <item x="790"/>
        <item x="768"/>
        <item x="1840"/>
        <item x="2034"/>
        <item x="2465"/>
        <item x="327"/>
        <item x="119"/>
        <item x="861"/>
        <item x="635"/>
        <item x="309"/>
        <item x="835"/>
        <item x="523"/>
        <item x="1366"/>
        <item x="1025"/>
        <item x="159"/>
        <item x="1248"/>
        <item x="854"/>
        <item x="2038"/>
        <item x="1638"/>
        <item x="899"/>
        <item x="116"/>
        <item x="1845"/>
        <item x="2399"/>
        <item x="1677"/>
        <item x="1412"/>
        <item x="2024"/>
        <item x="1221"/>
        <item x="1936"/>
        <item x="381"/>
        <item x="2344"/>
        <item x="433"/>
        <item x="1308"/>
        <item x="2000"/>
        <item x="1167"/>
        <item x="2251"/>
        <item x="361"/>
        <item x="1609"/>
        <item x="1818"/>
        <item x="240"/>
        <item x="581"/>
        <item x="663"/>
        <item x="1874"/>
        <item x="1068"/>
        <item x="992"/>
        <item x="1078"/>
        <item x="232"/>
        <item x="1434"/>
        <item x="304"/>
        <item x="336"/>
        <item x="1749"/>
        <item x="1838"/>
        <item x="590"/>
        <item x="1560"/>
        <item x="163"/>
        <item x="2119"/>
        <item x="1693"/>
        <item x="2095"/>
        <item x="1251"/>
        <item x="755"/>
        <item x="1690"/>
        <item x="1895"/>
        <item x="10"/>
        <item x="880"/>
        <item x="2358"/>
        <item x="1284"/>
        <item x="1181"/>
        <item x="284"/>
        <item x="2185"/>
        <item x="962"/>
        <item x="2237"/>
        <item x="262"/>
        <item x="866"/>
        <item x="1483"/>
        <item x="411"/>
        <item x="198"/>
        <item x="1478"/>
        <item x="888"/>
        <item x="368"/>
        <item x="92"/>
        <item x="105"/>
        <item x="831"/>
        <item x="873"/>
        <item x="940"/>
        <item x="680"/>
        <item x="853"/>
        <item x="369"/>
        <item x="1000"/>
        <item x="446"/>
        <item x="132"/>
        <item x="952"/>
        <item x="1045"/>
        <item x="1253"/>
        <item x="1031"/>
        <item x="339"/>
        <item x="1782"/>
        <item x="1496"/>
        <item x="1023"/>
        <item x="1138"/>
        <item x="676"/>
        <item x="392"/>
        <item x="789"/>
        <item x="1231"/>
        <item x="797"/>
        <item x="1052"/>
        <item x="703"/>
        <item x="184"/>
        <item x="661"/>
        <item x="1218"/>
        <item x="459"/>
        <item x="1131"/>
        <item x="865"/>
        <item x="2491"/>
        <item x="461"/>
        <item x="1060"/>
        <item x="1315"/>
        <item x="743"/>
        <item x="2466"/>
        <item x="115"/>
        <item x="974"/>
        <item x="2335"/>
        <item x="2302"/>
        <item x="419"/>
        <item x="295"/>
        <item x="1754"/>
        <item x="2280"/>
        <item x="647"/>
        <item x="2123"/>
        <item x="2178"/>
        <item x="1022"/>
        <item x="561"/>
        <item x="16"/>
        <item x="310"/>
        <item x="306"/>
        <item x="108"/>
        <item x="301"/>
        <item x="1061"/>
        <item x="534"/>
        <item x="1884"/>
        <item x="2059"/>
        <item x="82"/>
        <item x="2197"/>
        <item x="1841"/>
        <item x="71"/>
        <item x="41"/>
        <item x="818"/>
        <item x="2456"/>
        <item x="1511"/>
        <item x="1291"/>
        <item x="1570"/>
        <item x="412"/>
        <item x="641"/>
        <item x="2223"/>
        <item x="2327"/>
        <item x="2286"/>
        <item x="1719"/>
        <item x="1847"/>
        <item x="1086"/>
        <item x="1919"/>
        <item x="687"/>
        <item x="544"/>
        <item x="487"/>
        <item x="2403"/>
        <item x="966"/>
        <item x="1404"/>
        <item x="2165"/>
        <item x="0"/>
        <item x="1948"/>
        <item x="621"/>
        <item x="2450"/>
        <item x="670"/>
        <item x="1271"/>
        <item x="1512"/>
        <item x="157"/>
        <item x="2299"/>
        <item x="1640"/>
        <item x="1800"/>
        <item x="367"/>
        <item x="1534"/>
        <item x="1515"/>
        <item x="21"/>
        <item x="1458"/>
        <item x="378"/>
        <item x="1258"/>
        <item x="2157"/>
        <item x="33"/>
        <item x="1812"/>
        <item x="869"/>
        <item x="586"/>
        <item x="472"/>
        <item x="2271"/>
        <item x="1288"/>
        <item x="1054"/>
        <item x="1735"/>
        <item x="124"/>
        <item x="126"/>
        <item x="1246"/>
        <item x="2497"/>
        <item x="1313"/>
        <item x="951"/>
        <item x="941"/>
        <item x="646"/>
        <item x="1521"/>
        <item x="203"/>
        <item x="1767"/>
        <item x="2296"/>
        <item x="31"/>
        <item x="1953"/>
        <item x="1387"/>
        <item x="1470"/>
        <item x="2393"/>
        <item x="2372"/>
        <item x="2448"/>
        <item x="441"/>
        <item x="674"/>
        <item x="2455"/>
        <item x="321"/>
        <item x="1432"/>
        <item x="2278"/>
        <item x="1926"/>
        <item x="2490"/>
        <item x="520"/>
        <item x="1524"/>
        <item x="287"/>
        <item x="1740"/>
        <item x="2377"/>
        <item x="1635"/>
        <item x="1737"/>
        <item x="60"/>
        <item x="1588"/>
        <item x="1856"/>
        <item x="2463"/>
        <item x="592"/>
        <item x="1005"/>
        <item x="1162"/>
        <item x="2484"/>
        <item x="2307"/>
        <item x="2422"/>
        <item x="1821"/>
        <item x="1185"/>
        <item x="1363"/>
        <item x="2295"/>
        <item x="1380"/>
        <item x="111"/>
        <item x="2216"/>
        <item x="548"/>
        <item x="1647"/>
        <item x="1536"/>
        <item x="2194"/>
        <item x="1977"/>
        <item x="505"/>
        <item x="1051"/>
        <item x="1616"/>
        <item x="193"/>
        <item x="1298"/>
        <item x="672"/>
        <item x="1520"/>
        <item x="1836"/>
        <item x="699"/>
        <item x="2362"/>
        <item x="1207"/>
        <item x="2232"/>
        <item x="1935"/>
        <item x="2291"/>
        <item x="1473"/>
        <item x="938"/>
        <item x="2365"/>
        <item x="596"/>
        <item x="2102"/>
        <item x="127"/>
        <item x="1617"/>
        <item x="2177"/>
        <item x="1063"/>
        <item x="1716"/>
        <item x="104"/>
        <item x="2355"/>
        <item x="2256"/>
        <item x="1333"/>
        <item x="1572"/>
        <item x="1834"/>
        <item x="297"/>
        <item x="733"/>
        <item x="125"/>
        <item x="1225"/>
        <item x="1372"/>
        <item x="1327"/>
        <item x="1274"/>
        <item x="1924"/>
        <item x="693"/>
        <item x="2407"/>
        <item x="978"/>
        <item x="1533"/>
        <item x="1073"/>
        <item x="1141"/>
        <item x="917"/>
        <item x="528"/>
        <item x="1916"/>
        <item x="1408"/>
        <item x="186"/>
        <item x="2234"/>
        <item x="1894"/>
        <item x="2083"/>
        <item x="1610"/>
        <item x="1957"/>
        <item x="2032"/>
        <item x="1547"/>
        <item x="340"/>
        <item x="2210"/>
        <item x="1215"/>
        <item x="1557"/>
        <item x="450"/>
        <item x="891"/>
        <item x="1293"/>
        <item x="1311"/>
        <item x="1121"/>
        <item x="2305"/>
        <item x="1529"/>
        <item x="396"/>
        <item x="718"/>
        <item x="547"/>
        <item x="1443"/>
        <item x="1128"/>
        <item x="1410"/>
        <item x="1908"/>
        <item x="1240"/>
        <item x="1375"/>
        <item x="1249"/>
        <item x="892"/>
        <item x="2042"/>
        <item x="1684"/>
        <item x="669"/>
        <item x="2423"/>
        <item x="315"/>
        <item x="1418"/>
        <item x="2238"/>
        <item x="1923"/>
        <item x="2227"/>
        <item x="398"/>
        <item x="2391"/>
        <item x="934"/>
        <item x="1614"/>
        <item x="1718"/>
        <item x="922"/>
        <item x="1669"/>
        <item x="2368"/>
        <item x="1983"/>
        <item x="1456"/>
        <item x="90"/>
        <item x="1319"/>
        <item x="1915"/>
        <item x="2404"/>
        <item x="1359"/>
        <item x="422"/>
        <item x="1835"/>
        <item x="2444"/>
        <item x="915"/>
        <item x="1649"/>
        <item x="99"/>
        <item x="251"/>
        <item x="1615"/>
        <item x="1089"/>
        <item x="1394"/>
        <item x="1601"/>
        <item x="359"/>
        <item x="2186"/>
        <item x="1911"/>
        <item x="1664"/>
        <item x="1300"/>
        <item x="738"/>
        <item x="2131"/>
        <item x="2235"/>
        <item x="982"/>
        <item x="752"/>
        <item x="2054"/>
        <item x="1827"/>
        <item x="1064"/>
        <item x="2406"/>
        <item x="2247"/>
        <item x="2144"/>
        <item x="2439"/>
        <item x="1863"/>
        <item x="1245"/>
        <item x="1148"/>
        <item x="1373"/>
        <item x="1541"/>
        <item x="765"/>
        <item x="1816"/>
        <item x="1658"/>
        <item x="2203"/>
        <item x="1183"/>
        <item x="628"/>
        <item x="38"/>
        <item x="2219"/>
        <item x="2370"/>
        <item x="1431"/>
        <item x="1769"/>
        <item x="2180"/>
        <item x="170"/>
        <item x="1303"/>
        <item x="2378"/>
        <item x="1595"/>
        <item x="1930"/>
        <item x="2300"/>
        <item x="2392"/>
        <item x="812"/>
        <item x="1852"/>
        <item x="1678"/>
        <item x="1900"/>
        <item x="1692"/>
        <item x="608"/>
        <item x="2208"/>
        <item x="807"/>
        <item x="1124"/>
        <item x="1628"/>
        <item x="2287"/>
        <item x="1126"/>
        <item x="846"/>
        <item x="2424"/>
        <item x="1656"/>
        <item x="1559"/>
        <item x="2345"/>
        <item x="1708"/>
        <item x="811"/>
        <item x="1332"/>
        <item x="1272"/>
        <item x="2303"/>
        <item x="2004"/>
        <item x="1819"/>
        <item x="484"/>
        <item x="1173"/>
        <item x="1304"/>
        <item x="623"/>
        <item x="993"/>
        <item x="52"/>
        <item x="2488"/>
        <item x="2189"/>
        <item x="2033"/>
        <item x="2306"/>
        <item x="1106"/>
        <item x="1706"/>
        <item x="1348"/>
        <item x="785"/>
        <item x="2475"/>
        <item x="2096"/>
        <item x="1876"/>
        <item x="2025"/>
        <item x="565"/>
        <item x="2117"/>
        <item x="2221"/>
        <item x="1351"/>
        <item x="1224"/>
        <item x="1287"/>
        <item x="1049"/>
        <item x="458"/>
        <item x="757"/>
        <item x="625"/>
        <item x="2191"/>
        <item x="1220"/>
        <item x="1286"/>
        <item x="1136"/>
        <item x="2162"/>
        <item x="96"/>
        <item x="2405"/>
        <item x="1117"/>
        <item x="1092"/>
        <item x="1939"/>
        <item x="2414"/>
        <item x="1184"/>
        <item x="1763"/>
        <item x="1295"/>
        <item x="1237"/>
        <item x="1072"/>
        <item x="624"/>
        <item x="1168"/>
        <item x="373"/>
        <item x="1091"/>
        <item x="1973"/>
        <item x="1666"/>
        <item x="2489"/>
        <item x="2312"/>
        <item x="2245"/>
        <item x="1781"/>
        <item x="1824"/>
        <item x="1665"/>
        <item x="1603"/>
        <item x="1558"/>
        <item x="1844"/>
        <item x="1163"/>
        <item x="1125"/>
        <item x="2363"/>
        <item x="1794"/>
        <item x="1979"/>
        <item x="1828"/>
        <item x="1868"/>
        <item x="1790"/>
        <item x="1317"/>
        <item x="1619"/>
        <item x="1316"/>
        <item x="1186"/>
        <item x="1623"/>
        <item x="2325"/>
        <item x="1813"/>
        <item x="2281"/>
        <item x="1282"/>
        <item x="913"/>
        <item x="2318"/>
        <item x="2432"/>
        <item x="731"/>
        <item x="1522"/>
        <item x="1144"/>
        <item x="1381"/>
        <item x="1202"/>
        <item x="93"/>
        <item x="2282"/>
        <item x="1170"/>
        <item x="1130"/>
        <item x="764"/>
        <item x="1681"/>
        <item x="1197"/>
        <item x="1014"/>
        <item x="666"/>
        <item x="1067"/>
        <item x="1702"/>
        <item x="2394"/>
        <item x="1987"/>
        <item x="1139"/>
        <item x="1283"/>
        <item x="2190"/>
        <item x="1079"/>
        <item x="805"/>
        <item x="1584"/>
        <item x="1191"/>
        <item x="1233"/>
        <item x="708"/>
        <item x="1831"/>
        <item x="1832"/>
        <item x="23"/>
        <item x="1217"/>
        <item x="1100"/>
        <item x="2371"/>
        <item x="2143"/>
        <item x="1227"/>
        <item x="1236"/>
        <item x="1517"/>
        <item x="762"/>
        <item x="1214"/>
        <item x="1187"/>
        <item x="1565"/>
        <item x="1129"/>
        <item x="1082"/>
        <item x="2279"/>
        <item x="2146"/>
        <item x="705"/>
        <item x="1116"/>
        <item x="746"/>
        <item x="1013"/>
        <item x="1113"/>
        <item x="1357"/>
        <item x="1081"/>
        <item x="2270"/>
        <item x="2383"/>
        <item t="default"/>
      </items>
    </pivotField>
    <pivotField axis="axisRow" numFmtId="1" showAll="0">
      <items count="12">
        <item x="0"/>
        <item x="1"/>
        <item x="2"/>
        <item x="3"/>
        <item x="4"/>
        <item x="5"/>
        <item x="6"/>
        <item x="7"/>
        <item x="8"/>
        <item x="9"/>
        <item x="10"/>
        <item t="default"/>
      </items>
    </pivotField>
    <pivotField numFmtId="2" showAll="0"/>
  </pivotFields>
  <rowFields count="1">
    <field x="7"/>
  </rowFields>
  <rowItems count="12">
    <i>
      <x/>
    </i>
    <i>
      <x v="1"/>
    </i>
    <i>
      <x v="2"/>
    </i>
    <i>
      <x v="3"/>
    </i>
    <i>
      <x v="4"/>
    </i>
    <i>
      <x v="5"/>
    </i>
    <i>
      <x v="6"/>
    </i>
    <i>
      <x v="7"/>
    </i>
    <i>
      <x v="8"/>
    </i>
    <i>
      <x v="9"/>
    </i>
    <i>
      <x v="10"/>
    </i>
    <i t="grand">
      <x/>
    </i>
  </rowItems>
  <colFields count="1">
    <field x="-2"/>
  </colFields>
  <colItems count="2">
    <i>
      <x/>
    </i>
    <i i="1">
      <x v="1"/>
    </i>
  </colItems>
  <dataFields count="2">
    <dataField name="Average of Daily Returns " fld="6" subtotal="average" baseField="0" baseItem="0"/>
    <dataField name="StdDev of Daily Returns " fld="6" subtotal="stdDev" baseField="7" baseItem="0"/>
  </dataFields>
  <formats count="6">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13" firstHeaderRow="0" firstDataRow="1" firstDataCol="1"/>
  <pivotFields count="8">
    <pivotField numFmtId="165" showAll="0">
      <items count="2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t="default"/>
      </items>
    </pivotField>
    <pivotField showAll="0"/>
    <pivotField showAll="0">
      <items count="2094">
        <item x="82"/>
        <item x="84"/>
        <item x="80"/>
        <item x="81"/>
        <item x="85"/>
        <item x="83"/>
        <item x="87"/>
        <item x="86"/>
        <item x="79"/>
        <item x="78"/>
        <item x="88"/>
        <item x="90"/>
        <item x="89"/>
        <item x="77"/>
        <item x="207"/>
        <item x="214"/>
        <item x="206"/>
        <item x="215"/>
        <item x="643"/>
        <item x="205"/>
        <item x="91"/>
        <item x="204"/>
        <item x="208"/>
        <item x="642"/>
        <item x="73"/>
        <item x="200"/>
        <item x="203"/>
        <item x="213"/>
        <item x="92"/>
        <item x="641"/>
        <item x="217"/>
        <item x="199"/>
        <item x="76"/>
        <item x="72"/>
        <item x="216"/>
        <item x="201"/>
        <item x="74"/>
        <item x="644"/>
        <item x="202"/>
        <item x="218"/>
        <item x="640"/>
        <item x="153"/>
        <item x="209"/>
        <item x="94"/>
        <item x="93"/>
        <item x="212"/>
        <item x="210"/>
        <item x="95"/>
        <item x="152"/>
        <item x="71"/>
        <item x="181"/>
        <item x="154"/>
        <item x="211"/>
        <item x="75"/>
        <item x="180"/>
        <item x="219"/>
        <item x="192"/>
        <item x="67"/>
        <item x="193"/>
        <item x="196"/>
        <item x="190"/>
        <item x="182"/>
        <item x="220"/>
        <item x="195"/>
        <item x="68"/>
        <item x="70"/>
        <item x="191"/>
        <item x="96"/>
        <item x="189"/>
        <item x="221"/>
        <item x="197"/>
        <item x="65"/>
        <item x="198"/>
        <item x="69"/>
        <item x="183"/>
        <item x="151"/>
        <item x="179"/>
        <item x="194"/>
        <item x="185"/>
        <item x="186"/>
        <item x="98"/>
        <item x="184"/>
        <item x="188"/>
        <item x="222"/>
        <item x="99"/>
        <item x="97"/>
        <item x="137"/>
        <item x="64"/>
        <item x="187"/>
        <item x="66"/>
        <item x="645"/>
        <item x="178"/>
        <item x="135"/>
        <item x="21"/>
        <item x="155"/>
        <item x="223"/>
        <item x="177"/>
        <item x="63"/>
        <item x="30"/>
        <item x="136"/>
        <item x="100"/>
        <item x="19"/>
        <item x="20"/>
        <item x="22"/>
        <item x="14"/>
        <item x="31"/>
        <item x="138"/>
        <item x="16"/>
        <item x="134"/>
        <item x="15"/>
        <item x="17"/>
        <item x="32"/>
        <item x="133"/>
        <item x="132"/>
        <item x="648"/>
        <item x="101"/>
        <item x="646"/>
        <item x="18"/>
        <item x="666"/>
        <item x="225"/>
        <item x="149"/>
        <item x="156"/>
        <item x="61"/>
        <item x="139"/>
        <item x="665"/>
        <item x="29"/>
        <item x="36"/>
        <item x="28"/>
        <item x="157"/>
        <item x="143"/>
        <item x="60"/>
        <item x="176"/>
        <item x="62"/>
        <item x="9"/>
        <item x="664"/>
        <item x="33"/>
        <item x="661"/>
        <item x="10"/>
        <item x="148"/>
        <item x="144"/>
        <item x="49"/>
        <item x="224"/>
        <item x="8"/>
        <item x="102"/>
        <item x="160"/>
        <item x="175"/>
        <item x="7"/>
        <item x="662"/>
        <item x="647"/>
        <item x="27"/>
        <item x="150"/>
        <item x="6"/>
        <item x="165"/>
        <item x="142"/>
        <item x="173"/>
        <item x="35"/>
        <item x="174"/>
        <item x="140"/>
        <item x="663"/>
        <item x="159"/>
        <item x="48"/>
        <item x="141"/>
        <item x="34"/>
        <item x="170"/>
        <item x="158"/>
        <item x="59"/>
        <item x="161"/>
        <item x="172"/>
        <item x="46"/>
        <item x="649"/>
        <item x="164"/>
        <item x="147"/>
        <item x="47"/>
        <item x="13"/>
        <item x="45"/>
        <item x="107"/>
        <item x="162"/>
        <item x="651"/>
        <item x="171"/>
        <item x="168"/>
        <item x="163"/>
        <item x="166"/>
        <item x="226"/>
        <item x="11"/>
        <item x="5"/>
        <item x="37"/>
        <item x="639"/>
        <item x="12"/>
        <item x="659"/>
        <item x="58"/>
        <item x="169"/>
        <item x="54"/>
        <item x="55"/>
        <item x="38"/>
        <item x="108"/>
        <item x="638"/>
        <item x="23"/>
        <item x="26"/>
        <item x="650"/>
        <item x="43"/>
        <item x="25"/>
        <item x="660"/>
        <item x="667"/>
        <item x="39"/>
        <item x="103"/>
        <item x="24"/>
        <item x="106"/>
        <item x="50"/>
        <item x="146"/>
        <item x="109"/>
        <item x="44"/>
        <item x="52"/>
        <item x="51"/>
        <item x="658"/>
        <item x="53"/>
        <item x="167"/>
        <item x="42"/>
        <item x="4"/>
        <item x="227"/>
        <item x="40"/>
        <item x="673"/>
        <item x="41"/>
        <item x="105"/>
        <item x="229"/>
        <item x="104"/>
        <item x="228"/>
        <item x="145"/>
        <item x="652"/>
        <item x="637"/>
        <item x="3"/>
        <item x="131"/>
        <item x="656"/>
        <item x="57"/>
        <item x="56"/>
        <item x="636"/>
        <item x="674"/>
        <item x="630"/>
        <item x="631"/>
        <item x="657"/>
        <item x="672"/>
        <item x="671"/>
        <item x="653"/>
        <item x="670"/>
        <item x="231"/>
        <item x="255"/>
        <item x="629"/>
        <item x="256"/>
        <item x="632"/>
        <item x="675"/>
        <item x="669"/>
        <item x="1"/>
        <item x="110"/>
        <item x="668"/>
        <item x="130"/>
        <item x="0"/>
        <item x="230"/>
        <item x="676"/>
        <item x="2"/>
        <item x="254"/>
        <item x="635"/>
        <item x="124"/>
        <item x="677"/>
        <item x="253"/>
        <item x="117"/>
        <item x="111"/>
        <item x="238"/>
        <item x="234"/>
        <item x="237"/>
        <item x="252"/>
        <item x="129"/>
        <item x="123"/>
        <item x="125"/>
        <item x="122"/>
        <item x="120"/>
        <item x="232"/>
        <item x="128"/>
        <item x="235"/>
        <item x="118"/>
        <item x="127"/>
        <item x="236"/>
        <item x="681"/>
        <item x="112"/>
        <item x="633"/>
        <item x="119"/>
        <item x="634"/>
        <item x="126"/>
        <item x="262"/>
        <item x="239"/>
        <item x="257"/>
        <item x="121"/>
        <item x="233"/>
        <item x="678"/>
        <item x="116"/>
        <item x="680"/>
        <item x="240"/>
        <item x="474"/>
        <item x="654"/>
        <item x="115"/>
        <item x="258"/>
        <item x="570"/>
        <item x="564"/>
        <item x="563"/>
        <item x="679"/>
        <item x="565"/>
        <item x="241"/>
        <item x="263"/>
        <item x="251"/>
        <item x="261"/>
        <item x="260"/>
        <item x="562"/>
        <item x="628"/>
        <item x="259"/>
        <item x="655"/>
        <item x="561"/>
        <item x="113"/>
        <item x="551"/>
        <item x="473"/>
        <item x="626"/>
        <item x="114"/>
        <item x="569"/>
        <item x="617"/>
        <item x="624"/>
        <item x="264"/>
        <item x="243"/>
        <item x="568"/>
        <item x="242"/>
        <item x="625"/>
        <item x="248"/>
        <item x="475"/>
        <item x="627"/>
        <item x="560"/>
        <item x="618"/>
        <item x="622"/>
        <item x="616"/>
        <item x="566"/>
        <item x="557"/>
        <item x="615"/>
        <item x="623"/>
        <item x="266"/>
        <item x="268"/>
        <item x="502"/>
        <item x="247"/>
        <item x="620"/>
        <item x="619"/>
        <item x="265"/>
        <item x="244"/>
        <item x="503"/>
        <item x="249"/>
        <item x="608"/>
        <item x="267"/>
        <item x="246"/>
        <item x="567"/>
        <item x="250"/>
        <item x="614"/>
        <item x="607"/>
        <item x="609"/>
        <item x="489"/>
        <item x="610"/>
        <item x="490"/>
        <item x="552"/>
        <item x="504"/>
        <item x="549"/>
        <item x="498"/>
        <item x="488"/>
        <item x="245"/>
        <item x="494"/>
        <item x="476"/>
        <item x="499"/>
        <item x="500"/>
        <item x="621"/>
        <item x="506"/>
        <item x="550"/>
        <item x="611"/>
        <item x="501"/>
        <item x="487"/>
        <item x="507"/>
        <item x="612"/>
        <item x="483"/>
        <item x="553"/>
        <item x="595"/>
        <item x="559"/>
        <item x="491"/>
        <item x="505"/>
        <item x="613"/>
        <item x="535"/>
        <item x="604"/>
        <item x="495"/>
        <item x="554"/>
        <item x="597"/>
        <item x="508"/>
        <item x="571"/>
        <item x="548"/>
        <item x="536"/>
        <item x="596"/>
        <item x="492"/>
        <item x="269"/>
        <item x="482"/>
        <item x="486"/>
        <item x="484"/>
        <item x="555"/>
        <item x="493"/>
        <item x="279"/>
        <item x="485"/>
        <item x="272"/>
        <item x="273"/>
        <item x="605"/>
        <item x="537"/>
        <item x="603"/>
        <item x="481"/>
        <item x="278"/>
        <item x="472"/>
        <item x="404"/>
        <item x="546"/>
        <item x="270"/>
        <item x="271"/>
        <item x="547"/>
        <item x="533"/>
        <item x="496"/>
        <item x="401"/>
        <item x="282"/>
        <item x="280"/>
        <item x="602"/>
        <item x="403"/>
        <item x="479"/>
        <item x="606"/>
        <item x="277"/>
        <item x="402"/>
        <item x="471"/>
        <item x="291"/>
        <item x="417"/>
        <item x="416"/>
        <item x="276"/>
        <item x="292"/>
        <item x="400"/>
        <item x="497"/>
        <item x="480"/>
        <item x="281"/>
        <item x="477"/>
        <item x="478"/>
        <item x="534"/>
        <item x="415"/>
        <item x="283"/>
        <item x="414"/>
        <item x="302"/>
        <item x="303"/>
        <item x="558"/>
        <item x="470"/>
        <item x="545"/>
        <item x="524"/>
        <item x="407"/>
        <item x="601"/>
        <item x="286"/>
        <item x="418"/>
        <item x="275"/>
        <item x="274"/>
        <item x="284"/>
        <item x="301"/>
        <item x="285"/>
        <item x="299"/>
        <item x="287"/>
        <item x="556"/>
        <item x="530"/>
        <item x="599"/>
        <item x="410"/>
        <item x="429"/>
        <item x="598"/>
        <item x="467"/>
        <item x="406"/>
        <item x="300"/>
        <item x="405"/>
        <item x="304"/>
        <item x="431"/>
        <item x="412"/>
        <item x="428"/>
        <item x="330"/>
        <item x="408"/>
        <item x="411"/>
        <item x="525"/>
        <item x="419"/>
        <item x="469"/>
        <item x="544"/>
        <item x="682"/>
        <item x="529"/>
        <item x="413"/>
        <item x="298"/>
        <item x="297"/>
        <item x="466"/>
        <item x="329"/>
        <item x="448"/>
        <item x="290"/>
        <item x="527"/>
        <item x="293"/>
        <item x="509"/>
        <item x="468"/>
        <item x="528"/>
        <item x="590"/>
        <item x="532"/>
        <item x="397"/>
        <item x="427"/>
        <item x="449"/>
        <item x="600"/>
        <item x="344"/>
        <item x="396"/>
        <item x="531"/>
        <item x="430"/>
        <item x="294"/>
        <item x="295"/>
        <item x="450"/>
        <item x="409"/>
        <item x="296"/>
        <item x="334"/>
        <item x="288"/>
        <item x="465"/>
        <item x="289"/>
        <item x="526"/>
        <item x="333"/>
        <item x="462"/>
        <item x="420"/>
        <item x="335"/>
        <item x="510"/>
        <item x="336"/>
        <item x="395"/>
        <item x="426"/>
        <item x="337"/>
        <item x="332"/>
        <item x="398"/>
        <item x="399"/>
        <item x="464"/>
        <item x="331"/>
        <item x="461"/>
        <item x="425"/>
        <item x="689"/>
        <item x="451"/>
        <item x="691"/>
        <item x="511"/>
        <item x="459"/>
        <item x="688"/>
        <item x="446"/>
        <item x="305"/>
        <item x="690"/>
        <item x="592"/>
        <item x="432"/>
        <item x="394"/>
        <item x="460"/>
        <item x="574"/>
        <item x="519"/>
        <item x="433"/>
        <item x="591"/>
        <item x="342"/>
        <item x="454"/>
        <item x="572"/>
        <item x="434"/>
        <item x="453"/>
        <item x="687"/>
        <item x="421"/>
        <item x="343"/>
        <item x="575"/>
        <item x="357"/>
        <item x="593"/>
        <item x="381"/>
        <item x="306"/>
        <item x="452"/>
        <item x="338"/>
        <item x="520"/>
        <item x="383"/>
        <item x="423"/>
        <item x="422"/>
        <item x="445"/>
        <item x="543"/>
        <item x="382"/>
        <item x="307"/>
        <item x="435"/>
        <item x="463"/>
        <item x="340"/>
        <item x="339"/>
        <item x="356"/>
        <item x="447"/>
        <item x="580"/>
        <item x="424"/>
        <item x="581"/>
        <item x="573"/>
        <item x="328"/>
        <item x="361"/>
        <item x="341"/>
        <item x="576"/>
        <item x="442"/>
        <item x="308"/>
        <item x="384"/>
        <item x="577"/>
        <item x="362"/>
        <item x="440"/>
        <item x="369"/>
        <item x="345"/>
        <item x="683"/>
        <item x="437"/>
        <item x="692"/>
        <item x="441"/>
        <item x="367"/>
        <item x="578"/>
        <item x="379"/>
        <item x="380"/>
        <item x="582"/>
        <item x="387"/>
        <item x="444"/>
        <item x="594"/>
        <item x="518"/>
        <item x="436"/>
        <item x="368"/>
        <item x="685"/>
        <item x="579"/>
        <item x="363"/>
        <item x="358"/>
        <item x="522"/>
        <item x="355"/>
        <item x="389"/>
        <item x="393"/>
        <item x="439"/>
        <item x="512"/>
        <item x="455"/>
        <item x="458"/>
        <item x="366"/>
        <item x="360"/>
        <item x="390"/>
        <item x="684"/>
        <item x="359"/>
        <item x="521"/>
        <item x="392"/>
        <item x="346"/>
        <item x="378"/>
        <item x="365"/>
        <item x="438"/>
        <item x="364"/>
        <item x="385"/>
        <item x="513"/>
        <item x="456"/>
        <item x="542"/>
        <item x="309"/>
        <item x="443"/>
        <item x="388"/>
        <item x="457"/>
        <item x="386"/>
        <item x="310"/>
        <item x="686"/>
        <item x="350"/>
        <item x="693"/>
        <item x="391"/>
        <item x="541"/>
        <item x="354"/>
        <item x="370"/>
        <item x="516"/>
        <item x="313"/>
        <item x="514"/>
        <item x="523"/>
        <item x="694"/>
        <item x="352"/>
        <item x="589"/>
        <item x="583"/>
        <item x="517"/>
        <item x="353"/>
        <item x="349"/>
        <item x="326"/>
        <item x="540"/>
        <item x="584"/>
        <item x="351"/>
        <item x="372"/>
        <item x="347"/>
        <item x="371"/>
        <item x="377"/>
        <item x="348"/>
        <item x="325"/>
        <item x="327"/>
        <item x="324"/>
        <item x="311"/>
        <item x="586"/>
        <item x="515"/>
        <item x="316"/>
        <item x="314"/>
        <item x="323"/>
        <item x="318"/>
        <item x="312"/>
        <item x="320"/>
        <item x="587"/>
        <item x="588"/>
        <item x="317"/>
        <item x="376"/>
        <item x="319"/>
        <item x="585"/>
        <item x="373"/>
        <item x="375"/>
        <item x="539"/>
        <item x="695"/>
        <item x="315"/>
        <item x="321"/>
        <item x="696"/>
        <item x="322"/>
        <item x="538"/>
        <item x="374"/>
        <item x="697"/>
        <item x="757"/>
        <item x="698"/>
        <item x="699"/>
        <item x="705"/>
        <item x="700"/>
        <item x="701"/>
        <item x="704"/>
        <item x="706"/>
        <item x="702"/>
        <item x="703"/>
        <item x="760"/>
        <item x="708"/>
        <item x="758"/>
        <item x="707"/>
        <item x="709"/>
        <item x="756"/>
        <item x="759"/>
        <item x="712"/>
        <item x="768"/>
        <item x="755"/>
        <item x="710"/>
        <item x="711"/>
        <item x="761"/>
        <item x="767"/>
        <item x="716"/>
        <item x="769"/>
        <item x="717"/>
        <item x="765"/>
        <item x="770"/>
        <item x="713"/>
        <item x="764"/>
        <item x="715"/>
        <item x="766"/>
        <item x="714"/>
        <item x="718"/>
        <item x="762"/>
        <item x="772"/>
        <item x="763"/>
        <item x="722"/>
        <item x="771"/>
        <item x="721"/>
        <item x="773"/>
        <item x="723"/>
        <item x="720"/>
        <item x="724"/>
        <item x="719"/>
        <item x="754"/>
        <item x="725"/>
        <item x="774"/>
        <item x="726"/>
        <item x="753"/>
        <item x="751"/>
        <item x="752"/>
        <item x="745"/>
        <item x="750"/>
        <item x="782"/>
        <item x="781"/>
        <item x="744"/>
        <item x="775"/>
        <item x="746"/>
        <item x="749"/>
        <item x="776"/>
        <item x="780"/>
        <item x="777"/>
        <item x="788"/>
        <item x="779"/>
        <item x="748"/>
        <item x="731"/>
        <item x="787"/>
        <item x="778"/>
        <item x="733"/>
        <item x="727"/>
        <item x="734"/>
        <item x="730"/>
        <item x="790"/>
        <item x="789"/>
        <item x="783"/>
        <item x="785"/>
        <item x="794"/>
        <item x="784"/>
        <item x="747"/>
        <item x="736"/>
        <item x="743"/>
        <item x="735"/>
        <item x="732"/>
        <item x="796"/>
        <item x="791"/>
        <item x="801"/>
        <item x="793"/>
        <item x="800"/>
        <item x="798"/>
        <item x="797"/>
        <item x="799"/>
        <item x="795"/>
        <item x="802"/>
        <item x="792"/>
        <item x="729"/>
        <item x="742"/>
        <item x="737"/>
        <item x="741"/>
        <item x="786"/>
        <item x="807"/>
        <item x="806"/>
        <item x="805"/>
        <item x="803"/>
        <item x="804"/>
        <item x="739"/>
        <item x="740"/>
        <item x="738"/>
        <item x="808"/>
        <item x="809"/>
        <item x="728"/>
        <item x="821"/>
        <item x="812"/>
        <item x="822"/>
        <item x="813"/>
        <item x="820"/>
        <item x="815"/>
        <item x="818"/>
        <item x="823"/>
        <item x="819"/>
        <item x="814"/>
        <item x="817"/>
        <item x="811"/>
        <item x="816"/>
        <item x="810"/>
        <item x="824"/>
        <item x="825"/>
        <item x="826"/>
        <item x="827"/>
        <item x="830"/>
        <item x="829"/>
        <item x="853"/>
        <item x="828"/>
        <item x="852"/>
        <item x="841"/>
        <item x="851"/>
        <item x="849"/>
        <item x="847"/>
        <item x="845"/>
        <item x="846"/>
        <item x="850"/>
        <item x="848"/>
        <item x="835"/>
        <item x="844"/>
        <item x="836"/>
        <item x="842"/>
        <item x="831"/>
        <item x="834"/>
        <item x="843"/>
        <item x="854"/>
        <item x="833"/>
        <item x="839"/>
        <item x="837"/>
        <item x="855"/>
        <item x="856"/>
        <item x="838"/>
        <item x="1444"/>
        <item x="840"/>
        <item x="1445"/>
        <item x="1443"/>
        <item x="1439"/>
        <item x="1442"/>
        <item x="832"/>
        <item x="1450"/>
        <item x="1447"/>
        <item x="872"/>
        <item x="873"/>
        <item x="857"/>
        <item x="1446"/>
        <item x="1440"/>
        <item x="1449"/>
        <item x="1441"/>
        <item x="1448"/>
        <item x="859"/>
        <item x="875"/>
        <item x="858"/>
        <item x="1438"/>
        <item x="1453"/>
        <item x="1451"/>
        <item x="874"/>
        <item x="884"/>
        <item x="1454"/>
        <item x="860"/>
        <item x="863"/>
        <item x="910"/>
        <item x="909"/>
        <item x="885"/>
        <item x="1437"/>
        <item x="1452"/>
        <item x="883"/>
        <item x="920"/>
        <item x="919"/>
        <item x="908"/>
        <item x="907"/>
        <item x="917"/>
        <item x="861"/>
        <item x="876"/>
        <item x="916"/>
        <item x="904"/>
        <item x="918"/>
        <item x="1436"/>
        <item x="905"/>
        <item x="862"/>
        <item x="911"/>
        <item x="871"/>
        <item x="886"/>
        <item x="887"/>
        <item x="892"/>
        <item x="893"/>
        <item x="906"/>
        <item x="901"/>
        <item x="870"/>
        <item x="902"/>
        <item x="864"/>
        <item x="1749"/>
        <item x="891"/>
        <item x="888"/>
        <item x="895"/>
        <item x="912"/>
        <item x="1455"/>
        <item x="914"/>
        <item x="882"/>
        <item x="879"/>
        <item x="894"/>
        <item x="890"/>
        <item x="1457"/>
        <item x="1456"/>
        <item x="913"/>
        <item x="1750"/>
        <item x="903"/>
        <item x="1435"/>
        <item x="900"/>
        <item x="896"/>
        <item x="889"/>
        <item x="880"/>
        <item x="915"/>
        <item x="1748"/>
        <item x="881"/>
        <item x="899"/>
        <item x="898"/>
        <item x="1747"/>
        <item x="878"/>
        <item x="865"/>
        <item x="877"/>
        <item x="921"/>
        <item x="866"/>
        <item x="1434"/>
        <item x="897"/>
        <item x="1745"/>
        <item x="1746"/>
        <item x="869"/>
        <item x="1518"/>
        <item x="1517"/>
        <item x="1432"/>
        <item x="1433"/>
        <item x="1458"/>
        <item x="1431"/>
        <item x="1522"/>
        <item x="1520"/>
        <item x="1516"/>
        <item x="1519"/>
        <item x="1725"/>
        <item x="922"/>
        <item x="1521"/>
        <item x="1515"/>
        <item x="1514"/>
        <item x="867"/>
        <item x="868"/>
        <item x="1736"/>
        <item x="1751"/>
        <item x="1737"/>
        <item x="1530"/>
        <item x="923"/>
        <item x="1513"/>
        <item x="1529"/>
        <item x="1525"/>
        <item x="1744"/>
        <item x="1523"/>
        <item x="1739"/>
        <item x="1752"/>
        <item x="1416"/>
        <item x="1724"/>
        <item x="1730"/>
        <item x="1753"/>
        <item x="1727"/>
        <item x="1763"/>
        <item x="1527"/>
        <item x="1524"/>
        <item x="1743"/>
        <item x="1461"/>
        <item x="1526"/>
        <item x="1531"/>
        <item x="1726"/>
        <item x="1783"/>
        <item x="1741"/>
        <item x="1430"/>
        <item x="1427"/>
        <item x="1731"/>
        <item x="924"/>
        <item x="1764"/>
        <item x="1762"/>
        <item x="1767"/>
        <item x="1742"/>
        <item x="1723"/>
        <item x="1761"/>
        <item x="1779"/>
        <item x="1728"/>
        <item x="1735"/>
        <item x="1415"/>
        <item x="1532"/>
        <item x="1738"/>
        <item x="1488"/>
        <item x="1429"/>
        <item x="1528"/>
        <item x="1769"/>
        <item x="1778"/>
        <item x="1774"/>
        <item x="1729"/>
        <item x="1773"/>
        <item x="1487"/>
        <item x="1782"/>
        <item x="1740"/>
        <item x="1781"/>
        <item x="1426"/>
        <item x="1722"/>
        <item x="1765"/>
        <item x="1734"/>
        <item x="1768"/>
        <item x="1780"/>
        <item x="1460"/>
        <item x="1766"/>
        <item x="1719"/>
        <item x="1772"/>
        <item x="1776"/>
        <item x="1784"/>
        <item x="1459"/>
        <item x="1718"/>
        <item x="1771"/>
        <item x="1733"/>
        <item x="1533"/>
        <item x="1490"/>
        <item x="1428"/>
        <item x="1777"/>
        <item x="1775"/>
        <item x="1720"/>
        <item x="1721"/>
        <item x="1760"/>
        <item x="1512"/>
        <item x="1417"/>
        <item x="1425"/>
        <item x="1489"/>
        <item x="1462"/>
        <item x="1790"/>
        <item x="1536"/>
        <item x="1732"/>
        <item x="1717"/>
        <item x="1757"/>
        <item x="1699"/>
        <item x="1758"/>
        <item x="1506"/>
        <item x="1486"/>
        <item x="1414"/>
        <item x="1418"/>
        <item x="1789"/>
        <item x="1491"/>
        <item x="1756"/>
        <item x="1786"/>
        <item x="1413"/>
        <item x="1492"/>
        <item x="1509"/>
        <item x="1420"/>
        <item x="1505"/>
        <item x="1493"/>
        <item x="1700"/>
        <item x="1485"/>
        <item x="925"/>
        <item x="1537"/>
        <item x="1770"/>
        <item x="1788"/>
        <item x="1705"/>
        <item x="1759"/>
        <item x="1511"/>
        <item x="1792"/>
        <item x="1419"/>
        <item x="1698"/>
        <item x="1044"/>
        <item x="1791"/>
        <item x="1787"/>
        <item x="1706"/>
        <item x="1507"/>
        <item x="1534"/>
        <item x="1510"/>
        <item x="1701"/>
        <item x="1697"/>
        <item x="930"/>
        <item x="1504"/>
        <item x="1755"/>
        <item x="1408"/>
        <item x="1785"/>
        <item x="1424"/>
        <item x="926"/>
        <item x="1694"/>
        <item x="1508"/>
        <item x="1702"/>
        <item x="1499"/>
        <item x="1497"/>
        <item x="1412"/>
        <item x="1535"/>
        <item x="1693"/>
        <item x="1481"/>
        <item x="1696"/>
        <item x="1703"/>
        <item x="1484"/>
        <item x="1704"/>
        <item x="1421"/>
        <item x="1406"/>
        <item x="1500"/>
        <item x="1410"/>
        <item x="1407"/>
        <item x="1423"/>
        <item x="1045"/>
        <item x="1470"/>
        <item x="1695"/>
        <item x="1409"/>
        <item x="1042"/>
        <item x="1463"/>
        <item x="1501"/>
        <item x="1498"/>
        <item x="1466"/>
        <item x="1711"/>
        <item x="1041"/>
        <item x="1477"/>
        <item x="1793"/>
        <item x="1494"/>
        <item x="1465"/>
        <item x="1710"/>
        <item x="1483"/>
        <item x="1794"/>
        <item x="1503"/>
        <item x="1043"/>
        <item x="1754"/>
        <item x="1046"/>
        <item x="1422"/>
        <item x="1464"/>
        <item x="1823"/>
        <item x="929"/>
        <item x="1496"/>
        <item x="1709"/>
        <item x="927"/>
        <item x="931"/>
        <item x="932"/>
        <item x="1716"/>
        <item x="1055"/>
        <item x="1482"/>
        <item x="1495"/>
        <item x="1822"/>
        <item x="1411"/>
        <item x="1707"/>
        <item x="1054"/>
        <item x="1712"/>
        <item x="1475"/>
        <item x="1040"/>
        <item x="928"/>
        <item x="1502"/>
        <item x="1640"/>
        <item x="1063"/>
        <item x="1820"/>
        <item x="1467"/>
        <item x="1708"/>
        <item x="1795"/>
        <item x="1056"/>
        <item x="1821"/>
        <item x="1819"/>
        <item x="1058"/>
        <item x="1539"/>
        <item x="1060"/>
        <item x="1538"/>
        <item x="1715"/>
        <item x="1048"/>
        <item x="1047"/>
        <item x="1476"/>
        <item x="1714"/>
        <item x="1713"/>
        <item x="1008"/>
        <item x="1059"/>
        <item x="1062"/>
        <item x="1641"/>
        <item x="1469"/>
        <item x="993"/>
        <item x="1039"/>
        <item x="1064"/>
        <item x="1480"/>
        <item x="1057"/>
        <item x="1053"/>
        <item x="937"/>
        <item x="1473"/>
        <item x="1824"/>
        <item x="1061"/>
        <item x="1049"/>
        <item x="1405"/>
        <item x="1038"/>
        <item x="936"/>
        <item x="992"/>
        <item x="1478"/>
        <item x="1065"/>
        <item x="1067"/>
        <item x="1474"/>
        <item x="1540"/>
        <item x="1471"/>
        <item x="1050"/>
        <item x="1066"/>
        <item x="940"/>
        <item x="1639"/>
        <item x="1479"/>
        <item x="1052"/>
        <item x="1834"/>
        <item x="1051"/>
        <item x="1638"/>
        <item x="1009"/>
        <item x="1692"/>
        <item x="1689"/>
        <item x="1796"/>
        <item x="1396"/>
        <item x="1468"/>
        <item x="938"/>
        <item x="1836"/>
        <item x="1007"/>
        <item x="1395"/>
        <item x="1637"/>
        <item x="1835"/>
        <item x="1006"/>
        <item x="1647"/>
        <item x="1394"/>
        <item x="939"/>
        <item x="1691"/>
        <item x="1833"/>
        <item x="1687"/>
        <item x="1085"/>
        <item x="1825"/>
        <item x="1818"/>
        <item x="933"/>
        <item x="1089"/>
        <item x="944"/>
        <item x="1635"/>
        <item x="934"/>
        <item x="945"/>
        <item x="1541"/>
        <item x="1688"/>
        <item x="1593"/>
        <item x="1472"/>
        <item x="1690"/>
        <item x="1294"/>
        <item x="935"/>
        <item x="1078"/>
        <item x="1869"/>
        <item x="1092"/>
        <item x="1870"/>
        <item x="1634"/>
        <item x="1084"/>
        <item x="1068"/>
        <item x="1002"/>
        <item x="1832"/>
        <item x="1642"/>
        <item x="1388"/>
        <item x="941"/>
        <item x="1079"/>
        <item x="1826"/>
        <item x="1841"/>
        <item x="1837"/>
        <item x="1636"/>
        <item x="1868"/>
        <item x="1088"/>
        <item x="1086"/>
        <item x="1311"/>
        <item x="1403"/>
        <item x="1542"/>
        <item x="1831"/>
        <item x="1087"/>
        <item x="1037"/>
        <item x="1391"/>
        <item x="1077"/>
        <item x="1543"/>
        <item x="946"/>
        <item x="1083"/>
        <item x="1867"/>
        <item x="1091"/>
        <item x="1838"/>
        <item x="1813"/>
        <item x="1005"/>
        <item x="1090"/>
        <item x="1866"/>
        <item x="943"/>
        <item x="1393"/>
        <item x="1827"/>
        <item x="1389"/>
        <item x="1295"/>
        <item x="1645"/>
        <item x="948"/>
        <item x="1864"/>
        <item x="1686"/>
        <item x="1404"/>
        <item x="1010"/>
        <item x="1646"/>
        <item x="1865"/>
        <item x="1397"/>
        <item x="1829"/>
        <item x="1830"/>
        <item x="1106"/>
        <item x="1310"/>
        <item x="1685"/>
        <item x="1648"/>
        <item x="1387"/>
        <item x="1004"/>
        <item x="1811"/>
        <item x="1812"/>
        <item x="994"/>
        <item x="1082"/>
        <item x="1390"/>
        <item x="1644"/>
        <item x="1308"/>
        <item x="1643"/>
        <item x="1842"/>
        <item x="1307"/>
        <item x="1293"/>
        <item x="1592"/>
        <item x="1016"/>
        <item x="1035"/>
        <item x="947"/>
        <item x="1033"/>
        <item x="1402"/>
        <item x="1093"/>
        <item x="1076"/>
        <item x="1828"/>
        <item x="1034"/>
        <item x="1843"/>
        <item x="1108"/>
        <item x="1400"/>
        <item x="1080"/>
        <item x="1072"/>
        <item x="1074"/>
        <item x="1319"/>
        <item x="1001"/>
        <item x="1392"/>
        <item x="1015"/>
        <item x="1846"/>
        <item x="1036"/>
        <item x="1967"/>
        <item x="1320"/>
        <item x="1014"/>
        <item x="1398"/>
        <item x="1633"/>
        <item x="1109"/>
        <item x="1011"/>
        <item x="1544"/>
        <item x="1684"/>
        <item x="1073"/>
        <item x="1081"/>
        <item x="1318"/>
        <item x="1070"/>
        <item x="1797"/>
        <item x="1844"/>
        <item x="1071"/>
        <item x="997"/>
        <item x="942"/>
        <item x="1817"/>
        <item x="1107"/>
        <item x="1594"/>
        <item x="1013"/>
        <item x="949"/>
        <item x="1990"/>
        <item x="1815"/>
        <item x="1094"/>
        <item x="1069"/>
        <item x="1845"/>
        <item x="1321"/>
        <item x="1003"/>
        <item x="1075"/>
        <item x="990"/>
        <item x="1840"/>
        <item x="1399"/>
        <item x="1591"/>
        <item x="1030"/>
        <item x="996"/>
        <item x="1814"/>
        <item x="1322"/>
        <item x="1386"/>
        <item x="1000"/>
        <item x="1816"/>
        <item x="1017"/>
        <item x="1839"/>
        <item x="1545"/>
        <item x="1032"/>
        <item x="1683"/>
        <item x="987"/>
        <item x="1309"/>
        <item x="1847"/>
        <item x="999"/>
        <item x="1012"/>
        <item x="1029"/>
        <item x="1105"/>
        <item x="1963"/>
        <item x="1652"/>
        <item x="1110"/>
        <item x="1651"/>
        <item x="1401"/>
        <item x="998"/>
        <item x="984"/>
        <item x="1969"/>
        <item x="1649"/>
        <item x="1114"/>
        <item x="1102"/>
        <item x="1111"/>
        <item x="1113"/>
        <item x="1031"/>
        <item x="1328"/>
        <item x="1654"/>
        <item x="1099"/>
        <item x="1101"/>
        <item x="1597"/>
        <item x="1682"/>
        <item x="1596"/>
        <item x="1112"/>
        <item x="1598"/>
        <item x="995"/>
        <item x="1314"/>
        <item x="1659"/>
        <item x="1306"/>
        <item x="1296"/>
        <item x="950"/>
        <item x="1100"/>
        <item x="1326"/>
        <item x="1303"/>
        <item x="1680"/>
        <item x="1658"/>
        <item x="1665"/>
        <item x="1098"/>
        <item x="989"/>
        <item x="1590"/>
        <item x="1292"/>
        <item x="1589"/>
        <item x="1595"/>
        <item x="1096"/>
        <item x="1103"/>
        <item x="1681"/>
        <item x="1028"/>
        <item x="1968"/>
        <item x="1097"/>
        <item x="1022"/>
        <item x="1327"/>
        <item x="1095"/>
        <item x="1679"/>
        <item x="1863"/>
        <item x="1104"/>
        <item x="1664"/>
        <item x="1312"/>
        <item x="1329"/>
        <item x="1115"/>
        <item x="1588"/>
        <item x="1849"/>
        <item x="1653"/>
        <item x="1662"/>
        <item x="1848"/>
        <item x="1989"/>
        <item x="1599"/>
        <item x="1385"/>
        <item x="1119"/>
        <item x="1302"/>
        <item x="1657"/>
        <item x="1663"/>
        <item x="1619"/>
        <item x="1323"/>
        <item x="1966"/>
        <item x="1678"/>
        <item x="986"/>
        <item x="1023"/>
        <item x="1026"/>
        <item x="1315"/>
        <item x="1861"/>
        <item x="1661"/>
        <item x="1660"/>
        <item x="1384"/>
        <item x="1650"/>
        <item x="1116"/>
        <item x="1313"/>
        <item x="952"/>
        <item x="1118"/>
        <item x="1655"/>
        <item x="1617"/>
        <item x="1331"/>
        <item x="1117"/>
        <item x="1862"/>
        <item x="1620"/>
        <item x="1301"/>
        <item x="1020"/>
        <item x="951"/>
        <item x="1129"/>
        <item x="1124"/>
        <item x="1024"/>
        <item x="1964"/>
        <item x="985"/>
        <item x="1798"/>
        <item x="1878"/>
        <item x="1808"/>
        <item x="1970"/>
        <item x="1618"/>
        <item x="1027"/>
        <item x="1858"/>
        <item x="1021"/>
        <item x="1860"/>
        <item x="1304"/>
        <item x="1317"/>
        <item x="1850"/>
        <item x="1623"/>
        <item x="1556"/>
        <item x="1982"/>
        <item x="1330"/>
        <item x="1332"/>
        <item x="1585"/>
        <item x="1859"/>
        <item x="1547"/>
        <item x="1586"/>
        <item x="1857"/>
        <item x="1130"/>
        <item x="1677"/>
        <item x="1025"/>
        <item x="1125"/>
        <item x="1965"/>
        <item x="1587"/>
        <item x="1804"/>
        <item x="1988"/>
        <item x="1981"/>
        <item x="1316"/>
        <item x="1126"/>
        <item x="1799"/>
        <item x="1546"/>
        <item x="1131"/>
        <item x="1656"/>
        <item x="1605"/>
        <item x="1127"/>
        <item x="1325"/>
        <item x="1809"/>
        <item x="1287"/>
        <item x="1297"/>
        <item x="1962"/>
        <item x="1120"/>
        <item x="1291"/>
        <item x="1584"/>
        <item x="1128"/>
        <item x="1666"/>
        <item x="1877"/>
        <item x="1122"/>
        <item x="1667"/>
        <item x="1123"/>
        <item x="1622"/>
        <item x="1018"/>
        <item x="1632"/>
        <item x="1621"/>
        <item x="1671"/>
        <item x="1121"/>
        <item x="1290"/>
        <item x="1324"/>
        <item x="1382"/>
        <item x="1676"/>
        <item x="1879"/>
        <item x="1604"/>
        <item x="1630"/>
        <item x="1305"/>
        <item x="1810"/>
        <item x="983"/>
        <item x="1606"/>
        <item x="1289"/>
        <item x="1852"/>
        <item x="1807"/>
        <item x="1631"/>
        <item x="1851"/>
        <item x="1299"/>
        <item x="1600"/>
        <item x="1383"/>
        <item x="1985"/>
        <item x="1616"/>
        <item x="1673"/>
        <item x="953"/>
        <item x="1672"/>
        <item x="1132"/>
        <item x="1669"/>
        <item x="1555"/>
        <item x="1806"/>
        <item x="1805"/>
        <item x="1668"/>
        <item x="1987"/>
        <item x="1550"/>
        <item x="1603"/>
        <item x="1800"/>
        <item x="1991"/>
        <item x="1581"/>
        <item x="1992"/>
        <item x="1298"/>
        <item x="1548"/>
        <item x="1876"/>
        <item x="1670"/>
        <item x="1557"/>
        <item x="1019"/>
        <item x="1582"/>
        <item x="1601"/>
        <item x="1976"/>
        <item x="1854"/>
        <item x="1558"/>
        <item x="1615"/>
        <item x="1980"/>
        <item x="1602"/>
        <item x="1626"/>
        <item x="1549"/>
        <item x="1625"/>
        <item x="1853"/>
        <item x="1986"/>
        <item x="1624"/>
        <item x="1871"/>
        <item x="1139"/>
        <item x="1288"/>
        <item x="1984"/>
        <item x="1136"/>
        <item x="1674"/>
        <item x="1875"/>
        <item x="1551"/>
        <item x="1856"/>
        <item x="1300"/>
        <item x="1559"/>
        <item x="1135"/>
        <item x="1583"/>
        <item x="1855"/>
        <item x="981"/>
        <item x="1874"/>
        <item x="1554"/>
        <item x="1675"/>
        <item x="1134"/>
        <item x="1629"/>
        <item x="1141"/>
        <item x="982"/>
        <item x="1801"/>
        <item x="1138"/>
        <item x="1961"/>
        <item x="1133"/>
        <item x="1580"/>
        <item x="980"/>
        <item x="1247"/>
        <item x="1142"/>
        <item x="1578"/>
        <item x="1336"/>
        <item x="1236"/>
        <item x="1802"/>
        <item x="1613"/>
        <item x="1573"/>
        <item x="1576"/>
        <item x="1140"/>
        <item x="1248"/>
        <item x="1628"/>
        <item x="1627"/>
        <item x="1137"/>
        <item x="1579"/>
        <item x="1577"/>
        <item x="1872"/>
        <item x="1574"/>
        <item x="1286"/>
        <item x="1143"/>
        <item x="1565"/>
        <item x="1803"/>
        <item x="1612"/>
        <item x="1144"/>
        <item x="954"/>
        <item x="978"/>
        <item x="1960"/>
        <item x="1575"/>
        <item x="1237"/>
        <item x="1333"/>
        <item x="1145"/>
        <item x="1873"/>
        <item x="979"/>
        <item x="1614"/>
        <item x="1335"/>
        <item x="1983"/>
        <item x="1552"/>
        <item x="1607"/>
        <item x="1609"/>
        <item x="1285"/>
        <item x="1381"/>
        <item x="1337"/>
        <item x="1364"/>
        <item x="1975"/>
        <item x="1979"/>
        <item x="1566"/>
        <item x="977"/>
        <item x="1610"/>
        <item x="1553"/>
        <item x="1977"/>
        <item x="1564"/>
        <item x="1362"/>
        <item x="1999"/>
        <item x="2000"/>
        <item x="1608"/>
        <item x="1235"/>
        <item x="1971"/>
        <item x="1611"/>
        <item x="1567"/>
        <item x="1959"/>
        <item x="1562"/>
        <item x="969"/>
        <item x="1563"/>
        <item x="1334"/>
        <item x="968"/>
        <item x="1572"/>
        <item x="1146"/>
        <item x="1361"/>
        <item x="1246"/>
        <item x="976"/>
        <item x="1284"/>
        <item x="1363"/>
        <item x="964"/>
        <item x="1338"/>
        <item x="961"/>
        <item x="1380"/>
        <item x="1365"/>
        <item x="1561"/>
        <item x="1377"/>
        <item x="1560"/>
        <item x="1958"/>
        <item x="1995"/>
        <item x="1376"/>
        <item x="956"/>
        <item x="1245"/>
        <item x="1998"/>
        <item x="1973"/>
        <item x="1978"/>
        <item x="1242"/>
        <item x="963"/>
        <item x="1568"/>
        <item x="972"/>
        <item x="1234"/>
        <item x="1218"/>
        <item x="962"/>
        <item x="975"/>
        <item x="960"/>
        <item x="958"/>
        <item x="1244"/>
        <item x="959"/>
        <item x="1359"/>
        <item x="1972"/>
        <item x="973"/>
        <item x="1360"/>
        <item x="1378"/>
        <item x="1243"/>
        <item x="1379"/>
        <item x="957"/>
        <item x="1366"/>
        <item x="1880"/>
        <item x="2001"/>
        <item x="1149"/>
        <item x="988"/>
        <item x="1996"/>
        <item x="991"/>
        <item x="1249"/>
        <item x="1147"/>
        <item x="1974"/>
        <item x="1569"/>
        <item x="1238"/>
        <item x="1346"/>
        <item x="974"/>
        <item x="1148"/>
        <item x="971"/>
        <item x="1994"/>
        <item x="970"/>
        <item x="1956"/>
        <item x="1997"/>
        <item x="955"/>
        <item x="1993"/>
        <item x="1570"/>
        <item x="1241"/>
        <item x="1240"/>
        <item x="1233"/>
        <item x="1283"/>
        <item x="2037"/>
        <item x="1239"/>
        <item x="967"/>
        <item x="1955"/>
        <item x="1369"/>
        <item x="1347"/>
        <item x="1348"/>
        <item x="1339"/>
        <item x="966"/>
        <item x="1355"/>
        <item x="1571"/>
        <item x="1229"/>
        <item x="1881"/>
        <item x="1367"/>
        <item x="1150"/>
        <item x="965"/>
        <item x="2039"/>
        <item x="1349"/>
        <item x="1354"/>
        <item x="1375"/>
        <item x="1358"/>
        <item x="1279"/>
        <item x="1250"/>
        <item x="1357"/>
        <item x="1151"/>
        <item x="1356"/>
        <item x="1371"/>
        <item x="1957"/>
        <item x="2038"/>
        <item x="1344"/>
        <item x="1345"/>
        <item x="1228"/>
        <item x="1368"/>
        <item x="2019"/>
        <item x="2034"/>
        <item x="1277"/>
        <item x="1232"/>
        <item x="1353"/>
        <item x="2002"/>
        <item x="1191"/>
        <item x="1230"/>
        <item x="1341"/>
        <item x="1280"/>
        <item x="1225"/>
        <item x="1231"/>
        <item x="1954"/>
        <item x="1370"/>
        <item x="2055"/>
        <item x="1342"/>
        <item x="1352"/>
        <item x="2020"/>
        <item x="1372"/>
        <item x="2050"/>
        <item x="2040"/>
        <item x="1221"/>
        <item x="1214"/>
        <item x="1278"/>
        <item x="1217"/>
        <item x="1340"/>
        <item x="2056"/>
        <item x="1223"/>
        <item x="1222"/>
        <item x="2057"/>
        <item x="1219"/>
        <item x="1350"/>
        <item x="1192"/>
        <item x="1373"/>
        <item x="1343"/>
        <item x="1374"/>
        <item x="2041"/>
        <item x="1251"/>
        <item x="1220"/>
        <item x="1227"/>
        <item x="1351"/>
        <item x="1282"/>
        <item x="1226"/>
        <item x="1224"/>
        <item x="2035"/>
        <item x="1215"/>
        <item x="2036"/>
        <item x="1281"/>
        <item x="1190"/>
        <item x="2058"/>
        <item x="2043"/>
        <item x="2054"/>
        <item x="1187"/>
        <item x="2003"/>
        <item x="2059"/>
        <item x="2042"/>
        <item x="2044"/>
        <item x="2051"/>
        <item x="2045"/>
        <item x="2053"/>
        <item x="2018"/>
        <item x="1887"/>
        <item x="2068"/>
        <item x="2033"/>
        <item x="1188"/>
        <item x="2026"/>
        <item x="2021"/>
        <item x="1882"/>
        <item x="1953"/>
        <item x="1216"/>
        <item x="2027"/>
        <item x="2032"/>
        <item x="1886"/>
        <item x="2052"/>
        <item x="2046"/>
        <item x="2031"/>
        <item x="2067"/>
        <item x="1189"/>
        <item x="2025"/>
        <item x="2028"/>
        <item x="2023"/>
        <item x="1252"/>
        <item x="2024"/>
        <item x="1276"/>
        <item x="1213"/>
        <item x="1186"/>
        <item x="2060"/>
        <item x="2048"/>
        <item x="2022"/>
        <item x="1266"/>
        <item x="2049"/>
        <item x="1275"/>
        <item x="2066"/>
        <item x="1269"/>
        <item x="2004"/>
        <item x="2047"/>
        <item x="1270"/>
        <item x="1193"/>
        <item x="2076"/>
        <item x="2065"/>
        <item x="2069"/>
        <item x="1185"/>
        <item x="1267"/>
        <item x="2064"/>
        <item x="1181"/>
        <item x="1255"/>
        <item x="1254"/>
        <item x="1268"/>
        <item x="1952"/>
        <item x="1895"/>
        <item x="2008"/>
        <item x="2011"/>
        <item x="2075"/>
        <item x="1167"/>
        <item x="1885"/>
        <item x="1272"/>
        <item x="1274"/>
        <item x="1271"/>
        <item x="2062"/>
        <item x="1896"/>
        <item x="2017"/>
        <item x="1884"/>
        <item x="2006"/>
        <item x="1945"/>
        <item x="1890"/>
        <item x="2061"/>
        <item x="1253"/>
        <item x="1894"/>
        <item x="1212"/>
        <item x="2010"/>
        <item x="1889"/>
        <item x="1891"/>
        <item x="2015"/>
        <item x="1152"/>
        <item x="1888"/>
        <item x="2074"/>
        <item x="2063"/>
        <item x="1944"/>
        <item x="1265"/>
        <item x="2070"/>
        <item x="2005"/>
        <item x="1209"/>
        <item x="2079"/>
        <item x="1166"/>
        <item x="1211"/>
        <item x="2007"/>
        <item x="2071"/>
        <item x="1168"/>
        <item x="1182"/>
        <item x="1205"/>
        <item x="2073"/>
        <item x="1184"/>
        <item x="1951"/>
        <item x="2009"/>
        <item x="2072"/>
        <item x="2016"/>
        <item x="1898"/>
        <item x="2077"/>
        <item x="2030"/>
        <item x="2080"/>
        <item x="1210"/>
        <item x="1154"/>
        <item x="1183"/>
        <item x="2029"/>
        <item x="1194"/>
        <item x="1899"/>
        <item x="2078"/>
        <item x="1206"/>
        <item x="1883"/>
        <item x="1946"/>
        <item x="1264"/>
        <item x="1948"/>
        <item x="1164"/>
        <item x="1263"/>
        <item x="1897"/>
        <item x="1204"/>
        <item x="1155"/>
        <item x="1199"/>
        <item x="1892"/>
        <item x="1893"/>
        <item x="1947"/>
        <item x="1950"/>
        <item x="1203"/>
        <item x="1943"/>
        <item x="1180"/>
        <item x="2014"/>
        <item x="2012"/>
        <item x="1273"/>
        <item x="1260"/>
        <item x="1153"/>
        <item x="2013"/>
        <item x="1198"/>
        <item x="1256"/>
        <item x="1949"/>
        <item x="1259"/>
        <item x="1197"/>
        <item x="1165"/>
        <item x="2081"/>
        <item x="1175"/>
        <item x="1170"/>
        <item x="1179"/>
        <item x="1258"/>
        <item x="1257"/>
        <item x="1207"/>
        <item x="1156"/>
        <item x="1208"/>
        <item x="1195"/>
        <item x="1196"/>
        <item x="1169"/>
        <item x="1941"/>
        <item x="1900"/>
        <item x="1174"/>
        <item x="1171"/>
        <item x="1942"/>
        <item x="1176"/>
        <item x="1261"/>
        <item x="1262"/>
        <item x="1940"/>
        <item x="1938"/>
        <item x="1177"/>
        <item x="1901"/>
        <item x="1202"/>
        <item x="1178"/>
        <item x="1163"/>
        <item x="1918"/>
        <item x="1173"/>
        <item x="1939"/>
        <item x="2082"/>
        <item x="1935"/>
        <item x="1162"/>
        <item x="1923"/>
        <item x="1200"/>
        <item x="1934"/>
        <item x="1172"/>
        <item x="1922"/>
        <item x="1201"/>
        <item x="1158"/>
        <item x="1157"/>
        <item x="1924"/>
        <item x="1902"/>
        <item x="1159"/>
        <item x="1933"/>
        <item x="1903"/>
        <item x="1919"/>
        <item x="1936"/>
        <item x="1161"/>
        <item x="1921"/>
        <item x="1160"/>
        <item x="1932"/>
        <item x="1937"/>
        <item x="1931"/>
        <item x="1925"/>
        <item x="2084"/>
        <item x="1927"/>
        <item x="1904"/>
        <item x="2083"/>
        <item x="1920"/>
        <item x="1916"/>
        <item x="1917"/>
        <item x="1930"/>
        <item x="2085"/>
        <item x="1905"/>
        <item x="2087"/>
        <item x="1926"/>
        <item x="2086"/>
        <item x="1929"/>
        <item x="1912"/>
        <item x="1906"/>
        <item x="1928"/>
        <item x="2090"/>
        <item x="2089"/>
        <item x="2088"/>
        <item x="2092"/>
        <item x="1911"/>
        <item x="1915"/>
        <item x="2091"/>
        <item x="1910"/>
        <item x="1913"/>
        <item x="1907"/>
        <item x="1914"/>
        <item x="1908"/>
        <item x="1909"/>
        <item t="default"/>
      </items>
    </pivotField>
    <pivotField showAll="0">
      <items count="2118">
        <item x="81"/>
        <item x="82"/>
        <item x="84"/>
        <item x="80"/>
        <item x="83"/>
        <item x="85"/>
        <item x="86"/>
        <item x="79"/>
        <item x="88"/>
        <item x="87"/>
        <item x="78"/>
        <item x="91"/>
        <item x="89"/>
        <item x="77"/>
        <item x="90"/>
        <item x="92"/>
        <item x="650"/>
        <item x="213"/>
        <item x="651"/>
        <item x="222"/>
        <item x="76"/>
        <item x="211"/>
        <item x="221"/>
        <item x="215"/>
        <item x="95"/>
        <item x="214"/>
        <item x="73"/>
        <item x="223"/>
        <item x="75"/>
        <item x="212"/>
        <item x="217"/>
        <item x="210"/>
        <item x="649"/>
        <item x="96"/>
        <item x="216"/>
        <item x="93"/>
        <item x="648"/>
        <item x="72"/>
        <item x="208"/>
        <item x="646"/>
        <item x="207"/>
        <item x="206"/>
        <item x="157"/>
        <item x="74"/>
        <item x="647"/>
        <item x="71"/>
        <item x="218"/>
        <item x="94"/>
        <item x="220"/>
        <item x="224"/>
        <item x="156"/>
        <item x="209"/>
        <item x="225"/>
        <item x="226"/>
        <item x="67"/>
        <item x="645"/>
        <item x="200"/>
        <item x="155"/>
        <item x="227"/>
        <item x="201"/>
        <item x="64"/>
        <item x="187"/>
        <item x="185"/>
        <item x="186"/>
        <item x="219"/>
        <item x="188"/>
        <item x="68"/>
        <item x="643"/>
        <item x="154"/>
        <item x="70"/>
        <item x="644"/>
        <item x="183"/>
        <item x="184"/>
        <item x="228"/>
        <item x="199"/>
        <item x="65"/>
        <item x="98"/>
        <item x="97"/>
        <item x="202"/>
        <item x="197"/>
        <item x="69"/>
        <item x="158"/>
        <item x="193"/>
        <item x="196"/>
        <item x="205"/>
        <item x="63"/>
        <item x="204"/>
        <item x="195"/>
        <item x="198"/>
        <item x="182"/>
        <item x="101"/>
        <item x="66"/>
        <item x="203"/>
        <item x="189"/>
        <item x="652"/>
        <item x="13"/>
        <item x="99"/>
        <item x="229"/>
        <item x="100"/>
        <item x="61"/>
        <item x="653"/>
        <item x="136"/>
        <item x="21"/>
        <item x="139"/>
        <item x="191"/>
        <item x="134"/>
        <item x="192"/>
        <item x="62"/>
        <item x="190"/>
        <item x="31"/>
        <item x="160"/>
        <item x="135"/>
        <item x="30"/>
        <item x="137"/>
        <item x="133"/>
        <item x="22"/>
        <item x="140"/>
        <item x="18"/>
        <item x="16"/>
        <item x="138"/>
        <item x="132"/>
        <item x="194"/>
        <item x="19"/>
        <item x="181"/>
        <item x="14"/>
        <item x="159"/>
        <item x="15"/>
        <item x="131"/>
        <item x="17"/>
        <item x="180"/>
        <item x="20"/>
        <item x="60"/>
        <item x="234"/>
        <item x="677"/>
        <item x="8"/>
        <item x="32"/>
        <item x="102"/>
        <item x="233"/>
        <item x="678"/>
        <item x="679"/>
        <item x="33"/>
        <item x="29"/>
        <item x="161"/>
        <item x="150"/>
        <item x="28"/>
        <item x="10"/>
        <item x="232"/>
        <item x="654"/>
        <item x="230"/>
        <item x="151"/>
        <item x="35"/>
        <item x="46"/>
        <item x="36"/>
        <item x="149"/>
        <item x="7"/>
        <item x="9"/>
        <item x="655"/>
        <item x="142"/>
        <item x="59"/>
        <item x="27"/>
        <item x="141"/>
        <item x="143"/>
        <item x="45"/>
        <item x="675"/>
        <item x="145"/>
        <item x="103"/>
        <item x="231"/>
        <item x="658"/>
        <item x="148"/>
        <item x="47"/>
        <item x="657"/>
        <item x="152"/>
        <item x="6"/>
        <item x="153"/>
        <item x="57"/>
        <item x="167"/>
        <item x="162"/>
        <item x="165"/>
        <item x="58"/>
        <item x="34"/>
        <item x="43"/>
        <item x="48"/>
        <item x="656"/>
        <item x="164"/>
        <item x="5"/>
        <item x="168"/>
        <item x="144"/>
        <item x="676"/>
        <item x="107"/>
        <item x="179"/>
        <item x="177"/>
        <item x="178"/>
        <item x="176"/>
        <item x="11"/>
        <item x="163"/>
        <item x="174"/>
        <item x="44"/>
        <item x="175"/>
        <item x="26"/>
        <item x="173"/>
        <item x="166"/>
        <item x="12"/>
        <item x="23"/>
        <item x="108"/>
        <item x="235"/>
        <item x="55"/>
        <item x="671"/>
        <item x="172"/>
        <item x="42"/>
        <item x="659"/>
        <item x="109"/>
        <item x="169"/>
        <item x="37"/>
        <item x="147"/>
        <item x="663"/>
        <item x="171"/>
        <item x="674"/>
        <item x="41"/>
        <item x="104"/>
        <item x="53"/>
        <item x="54"/>
        <item x="662"/>
        <item x="673"/>
        <item x="680"/>
        <item x="4"/>
        <item x="24"/>
        <item x="50"/>
        <item x="25"/>
        <item x="52"/>
        <item x="49"/>
        <item x="40"/>
        <item x="170"/>
        <item x="661"/>
        <item x="38"/>
        <item x="51"/>
        <item x="39"/>
        <item x="639"/>
        <item x="130"/>
        <item x="670"/>
        <item x="637"/>
        <item x="106"/>
        <item x="146"/>
        <item x="664"/>
        <item x="110"/>
        <item x="672"/>
        <item x="236"/>
        <item x="660"/>
        <item x="129"/>
        <item x="1"/>
        <item x="105"/>
        <item x="3"/>
        <item x="665"/>
        <item x="642"/>
        <item x="687"/>
        <item x="669"/>
        <item x="638"/>
        <item x="0"/>
        <item x="128"/>
        <item x="684"/>
        <item x="56"/>
        <item x="686"/>
        <item x="688"/>
        <item x="685"/>
        <item x="689"/>
        <item x="666"/>
        <item x="112"/>
        <item x="682"/>
        <item x="690"/>
        <item x="237"/>
        <item x="121"/>
        <item x="122"/>
        <item x="691"/>
        <item x="260"/>
        <item x="683"/>
        <item x="263"/>
        <item x="238"/>
        <item x="640"/>
        <item x="111"/>
        <item x="261"/>
        <item x="2"/>
        <item x="681"/>
        <item x="477"/>
        <item x="667"/>
        <item x="641"/>
        <item x="116"/>
        <item x="239"/>
        <item x="124"/>
        <item x="264"/>
        <item x="692"/>
        <item x="123"/>
        <item x="243"/>
        <item x="693"/>
        <item x="117"/>
        <item x="127"/>
        <item x="244"/>
        <item x="559"/>
        <item x="115"/>
        <item x="262"/>
        <item x="242"/>
        <item x="245"/>
        <item x="119"/>
        <item x="126"/>
        <item x="240"/>
        <item x="246"/>
        <item x="259"/>
        <item x="269"/>
        <item x="247"/>
        <item x="125"/>
        <item x="118"/>
        <item x="698"/>
        <item x="120"/>
        <item x="241"/>
        <item x="478"/>
        <item x="476"/>
        <item x="548"/>
        <item x="563"/>
        <item x="270"/>
        <item x="113"/>
        <item x="694"/>
        <item x="265"/>
        <item x="621"/>
        <item x="114"/>
        <item x="271"/>
        <item x="697"/>
        <item x="258"/>
        <item x="635"/>
        <item x="249"/>
        <item x="248"/>
        <item x="695"/>
        <item x="636"/>
        <item x="668"/>
        <item x="631"/>
        <item x="268"/>
        <item x="266"/>
        <item x="272"/>
        <item x="558"/>
        <item x="696"/>
        <item x="556"/>
        <item x="267"/>
        <item x="564"/>
        <item x="560"/>
        <item x="634"/>
        <item x="562"/>
        <item x="618"/>
        <item x="620"/>
        <item x="255"/>
        <item x="622"/>
        <item x="632"/>
        <item x="629"/>
        <item x="561"/>
        <item x="250"/>
        <item x="619"/>
        <item x="630"/>
        <item x="617"/>
        <item x="623"/>
        <item x="254"/>
        <item x="627"/>
        <item x="633"/>
        <item x="611"/>
        <item x="251"/>
        <item x="549"/>
        <item x="257"/>
        <item x="628"/>
        <item x="503"/>
        <item x="550"/>
        <item x="256"/>
        <item x="613"/>
        <item x="612"/>
        <item x="625"/>
        <item x="273"/>
        <item x="624"/>
        <item x="495"/>
        <item x="274"/>
        <item x="614"/>
        <item x="504"/>
        <item x="276"/>
        <item x="253"/>
        <item x="275"/>
        <item x="557"/>
        <item x="490"/>
        <item x="252"/>
        <item x="551"/>
        <item x="547"/>
        <item x="596"/>
        <item x="496"/>
        <item x="499"/>
        <item x="615"/>
        <item x="502"/>
        <item x="500"/>
        <item x="595"/>
        <item x="489"/>
        <item x="486"/>
        <item x="610"/>
        <item x="505"/>
        <item x="491"/>
        <item x="501"/>
        <item x="277"/>
        <item x="552"/>
        <item x="565"/>
        <item x="533"/>
        <item x="553"/>
        <item x="507"/>
        <item x="626"/>
        <item x="598"/>
        <item x="546"/>
        <item x="479"/>
        <item x="616"/>
        <item x="487"/>
        <item x="608"/>
        <item x="485"/>
        <item x="481"/>
        <item x="597"/>
        <item x="488"/>
        <item x="605"/>
        <item x="298"/>
        <item x="475"/>
        <item x="498"/>
        <item x="599"/>
        <item x="609"/>
        <item x="606"/>
        <item x="492"/>
        <item x="411"/>
        <item x="530"/>
        <item x="534"/>
        <item x="493"/>
        <item x="554"/>
        <item x="506"/>
        <item x="482"/>
        <item x="601"/>
        <item x="279"/>
        <item x="531"/>
        <item x="278"/>
        <item x="459"/>
        <item x="412"/>
        <item x="284"/>
        <item x="480"/>
        <item x="484"/>
        <item x="699"/>
        <item x="283"/>
        <item x="555"/>
        <item x="299"/>
        <item x="607"/>
        <item x="280"/>
        <item x="508"/>
        <item x="494"/>
        <item x="286"/>
        <item x="600"/>
        <item x="285"/>
        <item x="589"/>
        <item x="413"/>
        <item x="417"/>
        <item x="483"/>
        <item x="414"/>
        <item x="288"/>
        <item x="289"/>
        <item x="429"/>
        <item x="430"/>
        <item x="426"/>
        <item x="415"/>
        <item x="419"/>
        <item x="416"/>
        <item x="523"/>
        <item x="287"/>
        <item x="590"/>
        <item x="603"/>
        <item x="341"/>
        <item x="309"/>
        <item x="532"/>
        <item x="545"/>
        <item x="604"/>
        <item x="497"/>
        <item x="427"/>
        <item x="421"/>
        <item x="428"/>
        <item x="306"/>
        <item x="310"/>
        <item x="282"/>
        <item x="444"/>
        <item x="291"/>
        <item x="290"/>
        <item x="339"/>
        <item x="566"/>
        <item x="308"/>
        <item x="418"/>
        <item x="340"/>
        <item x="293"/>
        <item x="311"/>
        <item x="294"/>
        <item x="474"/>
        <item x="528"/>
        <item x="281"/>
        <item x="544"/>
        <item x="292"/>
        <item x="300"/>
        <item x="527"/>
        <item x="424"/>
        <item x="442"/>
        <item x="522"/>
        <item x="701"/>
        <item x="443"/>
        <item x="307"/>
        <item x="297"/>
        <item x="441"/>
        <item x="423"/>
        <item x="431"/>
        <item x="356"/>
        <item x="529"/>
        <item x="422"/>
        <item x="445"/>
        <item x="602"/>
        <item x="460"/>
        <item x="304"/>
        <item x="526"/>
        <item x="702"/>
        <item x="420"/>
        <item x="346"/>
        <item x="509"/>
        <item x="432"/>
        <item x="425"/>
        <item x="342"/>
        <item x="458"/>
        <item x="542"/>
        <item x="295"/>
        <item x="525"/>
        <item x="305"/>
        <item x="446"/>
        <item x="347"/>
        <item x="703"/>
        <item x="355"/>
        <item x="312"/>
        <item x="296"/>
        <item x="408"/>
        <item x="510"/>
        <item x="409"/>
        <item x="591"/>
        <item x="301"/>
        <item x="461"/>
        <item x="473"/>
        <item x="524"/>
        <item x="543"/>
        <item x="302"/>
        <item x="344"/>
        <item x="410"/>
        <item x="354"/>
        <item x="345"/>
        <item x="303"/>
        <item x="470"/>
        <item x="567"/>
        <item x="462"/>
        <item x="511"/>
        <item x="700"/>
        <item x="467"/>
        <item x="535"/>
        <item x="348"/>
        <item x="407"/>
        <item x="472"/>
        <item x="349"/>
        <item x="343"/>
        <item x="440"/>
        <item x="438"/>
        <item x="588"/>
        <item x="577"/>
        <item x="313"/>
        <item x="352"/>
        <item x="338"/>
        <item x="471"/>
        <item x="469"/>
        <item x="439"/>
        <item x="713"/>
        <item x="447"/>
        <item x="704"/>
        <item x="710"/>
        <item x="711"/>
        <item x="568"/>
        <item x="468"/>
        <item x="587"/>
        <item x="521"/>
        <item x="350"/>
        <item x="569"/>
        <item x="437"/>
        <item x="393"/>
        <item x="464"/>
        <item x="463"/>
        <item x="367"/>
        <item x="517"/>
        <item x="540"/>
        <item x="573"/>
        <item x="353"/>
        <item x="712"/>
        <item x="457"/>
        <item x="465"/>
        <item x="448"/>
        <item x="449"/>
        <item x="541"/>
        <item x="592"/>
        <item x="317"/>
        <item x="593"/>
        <item x="450"/>
        <item x="314"/>
        <item x="390"/>
        <item x="392"/>
        <item x="435"/>
        <item x="316"/>
        <item x="406"/>
        <item x="405"/>
        <item x="433"/>
        <item x="434"/>
        <item x="574"/>
        <item x="315"/>
        <item x="436"/>
        <item x="512"/>
        <item x="351"/>
        <item x="368"/>
        <item x="391"/>
        <item x="372"/>
        <item x="575"/>
        <item x="537"/>
        <item x="714"/>
        <item x="518"/>
        <item x="578"/>
        <item x="371"/>
        <item x="318"/>
        <item x="389"/>
        <item x="570"/>
        <item x="388"/>
        <item x="376"/>
        <item x="536"/>
        <item x="705"/>
        <item x="454"/>
        <item x="378"/>
        <item x="520"/>
        <item x="397"/>
        <item x="387"/>
        <item x="357"/>
        <item x="358"/>
        <item x="377"/>
        <item x="451"/>
        <item x="586"/>
        <item x="594"/>
        <item x="404"/>
        <item x="455"/>
        <item x="572"/>
        <item x="398"/>
        <item x="366"/>
        <item x="375"/>
        <item x="519"/>
        <item x="515"/>
        <item x="513"/>
        <item x="373"/>
        <item x="401"/>
        <item x="370"/>
        <item x="707"/>
        <item x="403"/>
        <item x="706"/>
        <item x="571"/>
        <item x="456"/>
        <item x="539"/>
        <item x="452"/>
        <item x="708"/>
        <item x="394"/>
        <item x="369"/>
        <item x="379"/>
        <item x="402"/>
        <item x="322"/>
        <item x="579"/>
        <item x="386"/>
        <item x="453"/>
        <item x="399"/>
        <item x="395"/>
        <item x="337"/>
        <item x="365"/>
        <item x="516"/>
        <item x="396"/>
        <item x="466"/>
        <item x="400"/>
        <item x="359"/>
        <item x="576"/>
        <item x="581"/>
        <item x="715"/>
        <item x="363"/>
        <item x="374"/>
        <item x="709"/>
        <item x="335"/>
        <item x="514"/>
        <item x="362"/>
        <item x="321"/>
        <item x="319"/>
        <item x="360"/>
        <item x="580"/>
        <item x="778"/>
        <item x="361"/>
        <item x="364"/>
        <item x="336"/>
        <item x="320"/>
        <item x="582"/>
        <item x="380"/>
        <item x="333"/>
        <item x="334"/>
        <item x="381"/>
        <item x="585"/>
        <item x="385"/>
        <item x="583"/>
        <item x="325"/>
        <item x="323"/>
        <item x="584"/>
        <item x="538"/>
        <item x="327"/>
        <item x="329"/>
        <item x="328"/>
        <item x="326"/>
        <item x="384"/>
        <item x="382"/>
        <item x="332"/>
        <item x="330"/>
        <item x="716"/>
        <item x="324"/>
        <item x="383"/>
        <item x="331"/>
        <item x="717"/>
        <item x="777"/>
        <item x="718"/>
        <item x="719"/>
        <item x="725"/>
        <item x="724"/>
        <item x="720"/>
        <item x="780"/>
        <item x="721"/>
        <item x="726"/>
        <item x="779"/>
        <item x="723"/>
        <item x="722"/>
        <item x="727"/>
        <item x="728"/>
        <item x="776"/>
        <item x="788"/>
        <item x="729"/>
        <item x="730"/>
        <item x="789"/>
        <item x="731"/>
        <item x="732"/>
        <item x="781"/>
        <item x="787"/>
        <item x="785"/>
        <item x="733"/>
        <item x="736"/>
        <item x="784"/>
        <item x="786"/>
        <item x="790"/>
        <item x="775"/>
        <item x="737"/>
        <item x="782"/>
        <item x="783"/>
        <item x="735"/>
        <item x="734"/>
        <item x="738"/>
        <item x="791"/>
        <item x="792"/>
        <item x="742"/>
        <item x="774"/>
        <item x="741"/>
        <item x="740"/>
        <item x="793"/>
        <item x="743"/>
        <item x="739"/>
        <item x="744"/>
        <item x="794"/>
        <item x="771"/>
        <item x="772"/>
        <item x="765"/>
        <item x="773"/>
        <item x="745"/>
        <item x="746"/>
        <item x="764"/>
        <item x="747"/>
        <item x="800"/>
        <item x="807"/>
        <item x="770"/>
        <item x="766"/>
        <item x="750"/>
        <item x="801"/>
        <item x="795"/>
        <item x="808"/>
        <item x="803"/>
        <item x="802"/>
        <item x="749"/>
        <item x="797"/>
        <item x="796"/>
        <item x="799"/>
        <item x="767"/>
        <item x="769"/>
        <item x="768"/>
        <item x="751"/>
        <item x="755"/>
        <item x="798"/>
        <item x="752"/>
        <item x="804"/>
        <item x="753"/>
        <item x="810"/>
        <item x="809"/>
        <item x="754"/>
        <item x="806"/>
        <item x="814"/>
        <item x="811"/>
        <item x="763"/>
        <item x="805"/>
        <item x="812"/>
        <item x="756"/>
        <item x="815"/>
        <item x="762"/>
        <item x="819"/>
        <item x="822"/>
        <item x="816"/>
        <item x="823"/>
        <item x="817"/>
        <item x="813"/>
        <item x="818"/>
        <item x="820"/>
        <item x="821"/>
        <item x="761"/>
        <item x="757"/>
        <item x="748"/>
        <item x="824"/>
        <item x="827"/>
        <item x="759"/>
        <item x="828"/>
        <item x="825"/>
        <item x="826"/>
        <item x="760"/>
        <item x="758"/>
        <item x="834"/>
        <item x="829"/>
        <item x="833"/>
        <item x="830"/>
        <item x="841"/>
        <item x="843"/>
        <item x="840"/>
        <item x="842"/>
        <item x="835"/>
        <item x="832"/>
        <item x="831"/>
        <item x="838"/>
        <item x="837"/>
        <item x="839"/>
        <item x="836"/>
        <item x="844"/>
        <item x="845"/>
        <item x="846"/>
        <item x="847"/>
        <item x="849"/>
        <item x="848"/>
        <item x="850"/>
        <item x="872"/>
        <item x="861"/>
        <item x="851"/>
        <item x="871"/>
        <item x="862"/>
        <item x="870"/>
        <item x="865"/>
        <item x="853"/>
        <item x="873"/>
        <item x="866"/>
        <item x="854"/>
        <item x="867"/>
        <item x="855"/>
        <item x="868"/>
        <item x="852"/>
        <item x="863"/>
        <item x="869"/>
        <item x="860"/>
        <item x="864"/>
        <item x="857"/>
        <item x="856"/>
        <item x="1469"/>
        <item x="858"/>
        <item x="859"/>
        <item x="874"/>
        <item x="1466"/>
        <item x="1468"/>
        <item x="1467"/>
        <item x="1463"/>
        <item x="875"/>
        <item x="1462"/>
        <item x="891"/>
        <item x="876"/>
        <item x="892"/>
        <item x="1471"/>
        <item x="1474"/>
        <item x="1473"/>
        <item x="903"/>
        <item x="1470"/>
        <item x="1464"/>
        <item x="1465"/>
        <item x="894"/>
        <item x="893"/>
        <item x="1472"/>
        <item x="1461"/>
        <item x="1460"/>
        <item x="878"/>
        <item x="877"/>
        <item x="879"/>
        <item x="890"/>
        <item x="1477"/>
        <item x="895"/>
        <item x="1475"/>
        <item x="902"/>
        <item x="929"/>
        <item x="1476"/>
        <item x="1478"/>
        <item x="881"/>
        <item x="904"/>
        <item x="930"/>
        <item x="882"/>
        <item x="936"/>
        <item x="939"/>
        <item x="889"/>
        <item x="1479"/>
        <item x="940"/>
        <item x="880"/>
        <item x="888"/>
        <item x="927"/>
        <item x="911"/>
        <item x="928"/>
        <item x="931"/>
        <item x="900"/>
        <item x="924"/>
        <item x="1459"/>
        <item x="898"/>
        <item x="938"/>
        <item x="925"/>
        <item x="937"/>
        <item x="883"/>
        <item x="906"/>
        <item x="1458"/>
        <item x="912"/>
        <item x="1481"/>
        <item x="909"/>
        <item x="905"/>
        <item x="1781"/>
        <item x="932"/>
        <item x="901"/>
        <item x="921"/>
        <item x="910"/>
        <item x="926"/>
        <item x="907"/>
        <item x="935"/>
        <item x="922"/>
        <item x="1480"/>
        <item x="1782"/>
        <item x="933"/>
        <item x="934"/>
        <item x="923"/>
        <item x="913"/>
        <item x="914"/>
        <item x="884"/>
        <item x="899"/>
        <item x="920"/>
        <item x="896"/>
        <item x="941"/>
        <item x="908"/>
        <item x="897"/>
        <item x="916"/>
        <item x="885"/>
        <item x="1457"/>
        <item x="915"/>
        <item x="1780"/>
        <item x="919"/>
        <item x="886"/>
        <item x="918"/>
        <item x="942"/>
        <item x="1779"/>
        <item x="917"/>
        <item x="1456"/>
        <item x="1544"/>
        <item x="1543"/>
        <item x="1455"/>
        <item x="1777"/>
        <item x="1778"/>
        <item x="1482"/>
        <item x="1454"/>
        <item x="887"/>
        <item x="1453"/>
        <item x="1545"/>
        <item x="1783"/>
        <item x="1784"/>
        <item x="1541"/>
        <item x="1542"/>
        <item x="1546"/>
        <item x="1547"/>
        <item x="1549"/>
        <item x="1548"/>
        <item x="1756"/>
        <item x="1539"/>
        <item x="1757"/>
        <item x="1483"/>
        <item x="1540"/>
        <item x="1776"/>
        <item x="943"/>
        <item x="1485"/>
        <item x="944"/>
        <item x="1769"/>
        <item x="1768"/>
        <item x="1550"/>
        <item x="1513"/>
        <item x="1557"/>
        <item x="1556"/>
        <item x="1758"/>
        <item x="1440"/>
        <item x="1762"/>
        <item x="1785"/>
        <item x="1484"/>
        <item x="1552"/>
        <item x="1553"/>
        <item x="1554"/>
        <item x="1558"/>
        <item x="1555"/>
        <item x="945"/>
        <item x="1816"/>
        <item x="1759"/>
        <item x="1452"/>
        <item x="1439"/>
        <item x="1795"/>
        <item x="1771"/>
        <item x="1770"/>
        <item x="1512"/>
        <item x="1774"/>
        <item x="1763"/>
        <item x="1796"/>
        <item x="1450"/>
        <item x="1755"/>
        <item x="1551"/>
        <item x="1817"/>
        <item x="1486"/>
        <item x="1773"/>
        <item x="1793"/>
        <item x="1767"/>
        <item x="1775"/>
        <item x="1760"/>
        <item x="1794"/>
        <item x="1799"/>
        <item x="1761"/>
        <item x="1772"/>
        <item x="1812"/>
        <item x="1449"/>
        <item x="1754"/>
        <item x="1559"/>
        <item x="1441"/>
        <item x="1511"/>
        <item x="1813"/>
        <item x="1800"/>
        <item x="1798"/>
        <item x="1806"/>
        <item x="1815"/>
        <item x="1804"/>
        <item x="1451"/>
        <item x="1801"/>
        <item x="1751"/>
        <item x="1805"/>
        <item x="1809"/>
        <item x="1807"/>
        <item x="1811"/>
        <item x="1797"/>
        <item x="1810"/>
        <item x="1752"/>
        <item x="1802"/>
        <item x="1753"/>
        <item x="1731"/>
        <item x="1766"/>
        <item x="1448"/>
        <item x="1808"/>
        <item x="946"/>
        <item x="1814"/>
        <item x="1765"/>
        <item x="1789"/>
        <item x="1515"/>
        <item x="1531"/>
        <item x="1560"/>
        <item x="1518"/>
        <item x="1438"/>
        <item x="1819"/>
        <item x="1820"/>
        <item x="1732"/>
        <item x="1431"/>
        <item x="1514"/>
        <item x="1517"/>
        <item x="1764"/>
        <item x="1792"/>
        <item x="1750"/>
        <item x="1538"/>
        <item x="1803"/>
        <item x="1563"/>
        <item x="1790"/>
        <item x="1444"/>
        <item x="1516"/>
        <item x="1443"/>
        <item x="1788"/>
        <item x="1822"/>
        <item x="1530"/>
        <item x="1014"/>
        <item x="1510"/>
        <item x="1432"/>
        <item x="1724"/>
        <item x="1561"/>
        <item x="1533"/>
        <item x="951"/>
        <item x="1447"/>
        <item x="1564"/>
        <item x="1442"/>
        <item x="1823"/>
        <item x="1437"/>
        <item x="1534"/>
        <item x="1818"/>
        <item x="947"/>
        <item x="1730"/>
        <item x="1535"/>
        <item x="1725"/>
        <item x="1737"/>
        <item x="1791"/>
        <item x="1065"/>
        <item x="1821"/>
        <item x="1824"/>
        <item x="1433"/>
        <item x="1487"/>
        <item x="1733"/>
        <item x="1536"/>
        <item x="1787"/>
        <item x="1738"/>
        <item x="1537"/>
        <item x="1726"/>
        <item x="1488"/>
        <item x="1529"/>
        <item x="1729"/>
        <item x="1565"/>
        <item x="1786"/>
        <item x="949"/>
        <item x="1562"/>
        <item x="1524"/>
        <item x="1734"/>
        <item x="1532"/>
        <item x="1436"/>
        <item x="1728"/>
        <item x="1506"/>
        <item x="1509"/>
        <item x="1015"/>
        <item x="1434"/>
        <item x="1825"/>
        <item x="1061"/>
        <item x="1749"/>
        <item x="1430"/>
        <item x="1063"/>
        <item x="1522"/>
        <item x="1736"/>
        <item x="1494"/>
        <item x="1064"/>
        <item x="1519"/>
        <item x="1521"/>
        <item x="957"/>
        <item x="1739"/>
        <item x="1741"/>
        <item x="1495"/>
        <item x="1735"/>
        <item x="1490"/>
        <item x="1489"/>
        <item x="1523"/>
        <item x="1062"/>
        <item x="1528"/>
        <item x="1066"/>
        <item x="1075"/>
        <item x="1727"/>
        <item x="950"/>
        <item x="1520"/>
        <item x="1446"/>
        <item x="1068"/>
        <item x="1743"/>
        <item x="1853"/>
        <item x="1744"/>
        <item x="1500"/>
        <item x="1445"/>
        <item x="1742"/>
        <item x="1745"/>
        <item x="1854"/>
        <item x="1435"/>
        <item x="1527"/>
        <item x="1508"/>
        <item x="1076"/>
        <item x="1852"/>
        <item x="1502"/>
        <item x="948"/>
        <item x="1507"/>
        <item x="1493"/>
        <item x="1067"/>
        <item x="1826"/>
        <item x="1669"/>
        <item x="952"/>
        <item x="1077"/>
        <item x="1491"/>
        <item x="1525"/>
        <item x="1668"/>
        <item x="1855"/>
        <item x="1567"/>
        <item x="953"/>
        <item x="1827"/>
        <item x="1060"/>
        <item x="956"/>
        <item x="1501"/>
        <item x="1429"/>
        <item x="1031"/>
        <item x="1856"/>
        <item x="1526"/>
        <item x="1499"/>
        <item x="1740"/>
        <item x="1498"/>
        <item x="1566"/>
        <item x="1084"/>
        <item x="1670"/>
        <item x="1746"/>
        <item x="1016"/>
        <item x="1747"/>
        <item x="1748"/>
        <item x="1078"/>
        <item x="1505"/>
        <item x="1059"/>
        <item x="1069"/>
        <item x="1419"/>
        <item x="1030"/>
        <item x="1857"/>
        <item x="958"/>
        <item x="1079"/>
        <item x="1568"/>
        <item x="1083"/>
        <item x="1074"/>
        <item x="1029"/>
        <item x="1013"/>
        <item x="1080"/>
        <item x="1085"/>
        <item x="1070"/>
        <item x="1081"/>
        <item x="1828"/>
        <item x="954"/>
        <item x="1503"/>
        <item x="961"/>
        <item x="1497"/>
        <item x="1417"/>
        <item x="1663"/>
        <item x="1866"/>
        <item x="1087"/>
        <item x="1082"/>
        <item x="1428"/>
        <item x="1028"/>
        <item x="959"/>
        <item x="1504"/>
        <item x="1418"/>
        <item x="1086"/>
        <item x="1413"/>
        <item x="965"/>
        <item x="1492"/>
        <item x="1858"/>
        <item x="1666"/>
        <item x="1088"/>
        <item x="1071"/>
        <item x="1676"/>
        <item x="1667"/>
        <item x="1851"/>
        <item x="1867"/>
        <item x="1496"/>
        <item x="955"/>
        <item x="1412"/>
        <item x="1721"/>
        <item x="1006"/>
        <item x="962"/>
        <item x="1675"/>
        <item x="1723"/>
        <item x="1099"/>
        <item x="1073"/>
        <item x="1318"/>
        <item x="1865"/>
        <item x="1868"/>
        <item x="1106"/>
        <item x="1072"/>
        <item x="966"/>
        <item x="1720"/>
        <item x="1319"/>
        <item x="1722"/>
        <item x="960"/>
        <item x="1024"/>
        <item x="1334"/>
        <item x="1719"/>
        <item x="1112"/>
        <item x="1058"/>
        <item x="1414"/>
        <item x="963"/>
        <item x="1869"/>
        <item x="1569"/>
        <item x="1420"/>
        <item x="1089"/>
        <item x="1027"/>
        <item x="1427"/>
        <item x="1862"/>
        <item x="1662"/>
        <item x="1872"/>
        <item x="1870"/>
        <item x="1859"/>
        <item x="1316"/>
        <item x="1864"/>
        <item x="1671"/>
        <item x="1411"/>
        <item x="1677"/>
        <item x="1332"/>
        <item x="1718"/>
        <item x="1899"/>
        <item x="1717"/>
        <item x="1665"/>
        <item x="1621"/>
        <item x="1110"/>
        <item x="1571"/>
        <item x="1104"/>
        <item x="1317"/>
        <item x="1098"/>
        <item x="1113"/>
        <item x="1335"/>
        <item x="1107"/>
        <item x="967"/>
        <item x="1032"/>
        <item x="1893"/>
        <item x="1105"/>
        <item x="1860"/>
        <item x="1664"/>
        <item x="1863"/>
        <item x="2007"/>
        <item x="1850"/>
        <item x="1892"/>
        <item x="1570"/>
        <item x="1331"/>
        <item x="1844"/>
        <item x="1426"/>
        <item x="1109"/>
        <item x="1100"/>
        <item x="1410"/>
        <item x="1898"/>
        <item x="1846"/>
        <item x="964"/>
        <item x="1111"/>
        <item x="1673"/>
        <item x="1897"/>
        <item x="1345"/>
        <item x="1845"/>
        <item x="1114"/>
        <item x="1127"/>
        <item x="1423"/>
        <item x="1056"/>
        <item x="1108"/>
        <item x="1661"/>
        <item x="1874"/>
        <item x="1022"/>
        <item x="1989"/>
        <item x="1894"/>
        <item x="1097"/>
        <item x="1716"/>
        <item x="1012"/>
        <item x="1415"/>
        <item x="1023"/>
        <item x="1103"/>
        <item x="1674"/>
        <item x="1416"/>
        <item x="2008"/>
        <item x="1320"/>
        <item x="1896"/>
        <item x="1829"/>
        <item x="1333"/>
        <item x="1421"/>
        <item x="969"/>
        <item x="1017"/>
        <item x="1409"/>
        <item x="1672"/>
        <item x="1873"/>
        <item x="1620"/>
        <item x="1343"/>
        <item x="1895"/>
        <item x="1026"/>
        <item x="1054"/>
        <item x="1861"/>
        <item x="1033"/>
        <item x="1009"/>
        <item x="1848"/>
        <item x="1057"/>
        <item x="968"/>
        <item x="1622"/>
        <item x="1101"/>
        <item x="1424"/>
        <item x="1408"/>
        <item x="1019"/>
        <item x="1102"/>
        <item x="1344"/>
        <item x="1871"/>
        <item x="1342"/>
        <item x="1993"/>
        <item x="1055"/>
        <item x="1129"/>
        <item x="1090"/>
        <item x="1036"/>
        <item x="970"/>
        <item x="1052"/>
        <item x="1422"/>
        <item x="1091"/>
        <item x="1025"/>
        <item x="1115"/>
        <item x="1573"/>
        <item x="1128"/>
        <item x="1038"/>
        <item x="1572"/>
        <item x="1092"/>
        <item x="1008"/>
        <item x="1021"/>
        <item x="1875"/>
        <item x="1037"/>
        <item x="1095"/>
        <item x="1336"/>
        <item x="1096"/>
        <item x="1130"/>
        <item x="1847"/>
        <item x="1351"/>
        <item x="1093"/>
        <item x="1715"/>
        <item x="1619"/>
        <item x="1126"/>
        <item x="1018"/>
        <item x="1094"/>
        <item x="1876"/>
        <item x="1681"/>
        <item x="1877"/>
        <item x="1310"/>
        <item x="1849"/>
        <item x="1053"/>
        <item x="1878"/>
        <item x="1131"/>
        <item x="1035"/>
        <item x="1346"/>
        <item x="1425"/>
        <item x="1039"/>
        <item x="1330"/>
        <item x="1020"/>
        <item x="1625"/>
        <item x="1696"/>
        <item x="1034"/>
        <item x="1011"/>
        <item x="1010"/>
        <item x="1350"/>
        <item x="1338"/>
        <item x="1994"/>
        <item x="1624"/>
        <item x="1352"/>
        <item x="1623"/>
        <item x="2014"/>
        <item x="1995"/>
        <item x="1327"/>
        <item x="1626"/>
        <item x="971"/>
        <item x="1044"/>
        <item x="1678"/>
        <item x="1680"/>
        <item x="1682"/>
        <item x="1051"/>
        <item x="1714"/>
        <item x="1315"/>
        <item x="1007"/>
        <item x="1684"/>
        <item x="1689"/>
        <item x="1713"/>
        <item x="1686"/>
        <item x="1879"/>
        <item x="1347"/>
        <item x="1685"/>
        <item x="1341"/>
        <item x="1120"/>
        <item x="1991"/>
        <item x="1618"/>
        <item x="1046"/>
        <item x="1116"/>
        <item x="1836"/>
        <item x="1124"/>
        <item x="1406"/>
        <item x="1690"/>
        <item x="1257"/>
        <item x="1683"/>
        <item x="1325"/>
        <item x="1314"/>
        <item x="1349"/>
        <item x="1117"/>
        <item x="1691"/>
        <item x="1617"/>
        <item x="1337"/>
        <item x="1695"/>
        <item x="2012"/>
        <item x="1122"/>
        <item x="1687"/>
        <item x="1134"/>
        <item x="1132"/>
        <item x="1830"/>
        <item x="1326"/>
        <item x="1050"/>
        <item x="1996"/>
        <item x="1645"/>
        <item x="1133"/>
        <item x="1123"/>
        <item x="1711"/>
        <item x="1121"/>
        <item x="1712"/>
        <item x="1407"/>
        <item x="1880"/>
        <item x="2006"/>
        <item x="1339"/>
        <item x="1144"/>
        <item x="1118"/>
        <item x="1709"/>
        <item x="1679"/>
        <item x="1005"/>
        <item x="1841"/>
        <item x="1040"/>
        <item x="1045"/>
        <item x="1688"/>
        <item x="1354"/>
        <item x="1119"/>
        <item x="1694"/>
        <item x="1135"/>
        <item x="2013"/>
        <item x="1710"/>
        <item x="1627"/>
        <item x="1888"/>
        <item x="1616"/>
        <item x="1125"/>
        <item x="1643"/>
        <item x="1048"/>
        <item x="1646"/>
        <item x="1907"/>
        <item x="972"/>
        <item x="1692"/>
        <item x="1328"/>
        <item x="1693"/>
        <item x="1329"/>
        <item x="1047"/>
        <item x="1891"/>
        <item x="1149"/>
        <item x="1353"/>
        <item x="1835"/>
        <item x="1312"/>
        <item x="973"/>
        <item x="1321"/>
        <item x="1042"/>
        <item x="1890"/>
        <item x="1584"/>
        <item x="1992"/>
        <item x="1697"/>
        <item x="1585"/>
        <item x="1404"/>
        <item x="1990"/>
        <item x="1348"/>
        <item x="2009"/>
        <item x="1139"/>
        <item x="1887"/>
        <item x="1043"/>
        <item x="1644"/>
        <item x="1614"/>
        <item x="1881"/>
        <item x="1405"/>
        <item x="1574"/>
        <item x="1324"/>
        <item x="1660"/>
        <item x="1136"/>
        <item x="1309"/>
        <item x="1831"/>
        <item x="1340"/>
        <item x="1648"/>
        <item x="1900"/>
        <item x="1041"/>
        <item x="1612"/>
        <item x="1313"/>
        <item x="1615"/>
        <item x="1632"/>
        <item x="2002"/>
        <item x="1150"/>
        <item x="1138"/>
        <item x="1323"/>
        <item x="1842"/>
        <item x="1137"/>
        <item x="1049"/>
        <item x="1708"/>
        <item x="2015"/>
        <item x="1649"/>
        <item x="1642"/>
        <item x="1832"/>
        <item x="1889"/>
        <item x="1575"/>
        <item x="1322"/>
        <item x="1143"/>
        <item x="1630"/>
        <item x="1613"/>
        <item x="1631"/>
        <item x="1145"/>
        <item x="1843"/>
        <item x="1838"/>
        <item x="2010"/>
        <item x="1146"/>
        <item x="1839"/>
        <item x="1908"/>
        <item x="1647"/>
        <item x="1151"/>
        <item x="1140"/>
        <item x="1906"/>
        <item x="1633"/>
        <item x="1141"/>
        <item x="1701"/>
        <item x="1659"/>
        <item x="1840"/>
        <item x="1578"/>
        <item x="1707"/>
        <item x="2011"/>
        <item x="1650"/>
        <item x="1153"/>
        <item x="1582"/>
        <item x="1698"/>
        <item x="1658"/>
        <item x="1886"/>
        <item x="1702"/>
        <item x="1586"/>
        <item x="1882"/>
        <item x="1147"/>
        <item x="1905"/>
        <item x="1152"/>
        <item x="974"/>
        <item x="1148"/>
        <item x="1657"/>
        <item x="1833"/>
        <item x="1609"/>
        <item x="1577"/>
        <item x="1311"/>
        <item x="1142"/>
        <item x="1628"/>
        <item x="1652"/>
        <item x="1988"/>
        <item x="2004"/>
        <item x="1576"/>
        <item x="1699"/>
        <item x="1703"/>
        <item x="1884"/>
        <item x="1837"/>
        <item x="1610"/>
        <item x="1269"/>
        <item x="1653"/>
        <item x="1270"/>
        <item x="1883"/>
        <item x="1706"/>
        <item x="1583"/>
        <item x="1704"/>
        <item x="1700"/>
        <item x="1611"/>
        <item x="1256"/>
        <item x="1587"/>
        <item x="1002"/>
        <item x="1602"/>
        <item x="1641"/>
        <item x="1158"/>
        <item x="1355"/>
        <item x="1629"/>
        <item x="1605"/>
        <item x="1901"/>
        <item x="1155"/>
        <item x="1903"/>
        <item x="1885"/>
        <item x="1601"/>
        <item x="1904"/>
        <item x="1651"/>
        <item x="1358"/>
        <item x="1997"/>
        <item x="1154"/>
        <item x="1656"/>
        <item x="1156"/>
        <item x="1579"/>
        <item x="1705"/>
        <item x="1654"/>
        <item x="1161"/>
        <item x="1581"/>
        <item x="1834"/>
        <item x="1160"/>
        <item x="1308"/>
        <item x="1606"/>
        <item x="1157"/>
        <item x="975"/>
        <item x="1159"/>
        <item x="1003"/>
        <item x="1004"/>
        <item x="2003"/>
        <item x="2016"/>
        <item x="1588"/>
        <item x="1987"/>
        <item x="990"/>
        <item x="1608"/>
        <item x="1163"/>
        <item x="1307"/>
        <item x="2001"/>
        <item x="1634"/>
        <item x="1265"/>
        <item x="1258"/>
        <item x="1655"/>
        <item x="1580"/>
        <item x="1162"/>
        <item x="1600"/>
        <item x="2005"/>
        <item x="1604"/>
        <item x="1000"/>
        <item x="1359"/>
        <item x="1164"/>
        <item x="1985"/>
        <item x="1902"/>
        <item x="1640"/>
        <item x="1403"/>
        <item x="1639"/>
        <item x="1607"/>
        <item x="1239"/>
        <item x="1001"/>
        <item x="1268"/>
        <item x="1603"/>
        <item x="1593"/>
        <item x="991"/>
        <item x="1165"/>
        <item x="1387"/>
        <item x="1402"/>
        <item x="1385"/>
        <item x="1594"/>
        <item x="1999"/>
        <item x="1635"/>
        <item x="998"/>
        <item x="989"/>
        <item x="1255"/>
        <item x="999"/>
        <item x="1357"/>
        <item x="1271"/>
        <item x="1986"/>
        <item x="977"/>
        <item x="1636"/>
        <item x="1264"/>
        <item x="1166"/>
        <item x="1386"/>
        <item x="1267"/>
        <item x="1399"/>
        <item x="1637"/>
        <item x="1596"/>
        <item x="1356"/>
        <item x="2019"/>
        <item x="1638"/>
        <item x="1167"/>
        <item x="1998"/>
        <item x="2022"/>
        <item x="1595"/>
        <item x="1259"/>
        <item x="1384"/>
        <item x="2000"/>
        <item x="1388"/>
        <item x="2017"/>
        <item x="1383"/>
        <item x="1360"/>
        <item x="1398"/>
        <item x="1591"/>
        <item x="981"/>
        <item x="2040"/>
        <item x="1983"/>
        <item x="1592"/>
        <item x="1300"/>
        <item x="1168"/>
        <item x="2021"/>
        <item x="1263"/>
        <item x="1589"/>
        <item x="1272"/>
        <item x="1909"/>
        <item x="978"/>
        <item x="985"/>
        <item x="1597"/>
        <item x="1238"/>
        <item x="1984"/>
        <item x="979"/>
        <item x="1266"/>
        <item x="1400"/>
        <item x="1262"/>
        <item x="1401"/>
        <item x="1590"/>
        <item x="982"/>
        <item x="994"/>
        <item x="983"/>
        <item x="1361"/>
        <item x="1254"/>
        <item x="1368"/>
        <item x="2023"/>
        <item x="976"/>
        <item x="2018"/>
        <item x="980"/>
        <item x="986"/>
        <item x="995"/>
        <item x="1389"/>
        <item x="2020"/>
        <item x="984"/>
        <item x="997"/>
        <item x="1382"/>
        <item x="992"/>
        <item x="1982"/>
        <item x="1306"/>
        <item x="1261"/>
        <item x="2042"/>
        <item x="1302"/>
        <item x="1369"/>
        <item x="1249"/>
        <item x="1169"/>
        <item x="993"/>
        <item x="1250"/>
        <item x="1260"/>
        <item x="996"/>
        <item x="1371"/>
        <item x="1172"/>
        <item x="1910"/>
        <item x="1366"/>
        <item x="1171"/>
        <item x="1397"/>
        <item x="1370"/>
        <item x="1305"/>
        <item x="1598"/>
        <item x="988"/>
        <item x="1377"/>
        <item x="1240"/>
        <item x="1381"/>
        <item x="1170"/>
        <item x="1378"/>
        <item x="1981"/>
        <item x="2059"/>
        <item x="1367"/>
        <item x="1273"/>
        <item x="1599"/>
        <item x="1301"/>
        <item x="1391"/>
        <item x="987"/>
        <item x="2041"/>
        <item x="1390"/>
        <item x="1253"/>
        <item x="1380"/>
        <item x="1392"/>
        <item x="1298"/>
        <item x="1299"/>
        <item x="1376"/>
        <item x="1363"/>
        <item x="2056"/>
        <item x="1243"/>
        <item x="2061"/>
        <item x="1244"/>
        <item x="2060"/>
        <item x="1362"/>
        <item x="1304"/>
        <item x="1214"/>
        <item x="1394"/>
        <item x="1303"/>
        <item x="1242"/>
        <item x="1379"/>
        <item x="1173"/>
        <item x="1980"/>
        <item x="1911"/>
        <item x="1251"/>
        <item x="1213"/>
        <item x="2078"/>
        <item x="1246"/>
        <item x="1248"/>
        <item x="2062"/>
        <item x="1374"/>
        <item x="1252"/>
        <item x="2072"/>
        <item x="1396"/>
        <item x="1393"/>
        <item x="1245"/>
        <item x="1236"/>
        <item x="1364"/>
        <item x="1372"/>
        <item x="1241"/>
        <item x="1375"/>
        <item x="1237"/>
        <item x="1274"/>
        <item x="1373"/>
        <item x="2079"/>
        <item x="1212"/>
        <item x="2057"/>
        <item x="1365"/>
        <item x="2080"/>
        <item x="1395"/>
        <item x="2063"/>
        <item x="2077"/>
        <item x="1247"/>
        <item x="2081"/>
        <item x="1275"/>
        <item x="1211"/>
        <item x="2073"/>
        <item x="1916"/>
        <item x="1210"/>
        <item x="1209"/>
        <item x="1915"/>
        <item x="2065"/>
        <item x="2043"/>
        <item x="2024"/>
        <item x="2076"/>
        <item x="2066"/>
        <item x="2064"/>
        <item x="2058"/>
        <item x="2045"/>
        <item x="1235"/>
        <item x="2090"/>
        <item x="1174"/>
        <item x="2047"/>
        <item x="2048"/>
        <item x="2074"/>
        <item x="2082"/>
        <item x="2055"/>
        <item x="2025"/>
        <item x="1203"/>
        <item x="2044"/>
        <item x="2067"/>
        <item x="1208"/>
        <item x="2054"/>
        <item x="2049"/>
        <item x="2075"/>
        <item x="2091"/>
        <item x="1215"/>
        <item x="2092"/>
        <item x="2052"/>
        <item x="2083"/>
        <item x="2068"/>
        <item x="2070"/>
        <item x="1914"/>
        <item x="1913"/>
        <item x="2053"/>
        <item x="1291"/>
        <item x="1293"/>
        <item x="1979"/>
        <item x="1289"/>
        <item x="1295"/>
        <item x="1297"/>
        <item x="1276"/>
        <item x="1290"/>
        <item x="2098"/>
        <item x="1189"/>
        <item x="2046"/>
        <item x="1924"/>
        <item x="1227"/>
        <item x="2069"/>
        <item x="2087"/>
        <item x="2039"/>
        <item x="1292"/>
        <item x="2050"/>
        <item x="1207"/>
        <item x="2089"/>
        <item x="2099"/>
        <item x="2071"/>
        <item x="1186"/>
        <item x="1972"/>
        <item x="2088"/>
        <item x="1277"/>
        <item x="1917"/>
        <item x="2086"/>
        <item x="1234"/>
        <item x="2100"/>
        <item x="1233"/>
        <item x="2097"/>
        <item x="1294"/>
        <item x="1296"/>
        <item x="2031"/>
        <item x="1278"/>
        <item x="1216"/>
        <item x="1918"/>
        <item x="2085"/>
        <item x="2032"/>
        <item x="2037"/>
        <item x="2029"/>
        <item x="1202"/>
        <item x="1175"/>
        <item x="1190"/>
        <item x="1206"/>
        <item x="2084"/>
        <item x="1919"/>
        <item x="1978"/>
        <item x="1925"/>
        <item x="2027"/>
        <item x="2093"/>
        <item x="1920"/>
        <item x="1923"/>
        <item x="1912"/>
        <item x="1226"/>
        <item x="2026"/>
        <item x="1185"/>
        <item x="1921"/>
        <item x="1231"/>
        <item x="1922"/>
        <item x="1232"/>
        <item x="1188"/>
        <item x="1225"/>
        <item x="2096"/>
        <item x="2051"/>
        <item x="1287"/>
        <item x="1288"/>
        <item x="2030"/>
        <item x="1230"/>
        <item x="1204"/>
        <item x="2028"/>
        <item x="1286"/>
        <item x="1973"/>
        <item x="2038"/>
        <item x="1176"/>
        <item x="2094"/>
        <item x="2103"/>
        <item x="1205"/>
        <item x="2101"/>
        <item x="2102"/>
        <item x="2036"/>
        <item x="2104"/>
        <item x="1228"/>
        <item x="2033"/>
        <item x="1974"/>
        <item x="2105"/>
        <item x="1977"/>
        <item x="1927"/>
        <item x="1928"/>
        <item x="2095"/>
        <item x="1975"/>
        <item x="1971"/>
        <item x="1220"/>
        <item x="1926"/>
        <item x="1279"/>
        <item x="1177"/>
        <item x="1221"/>
        <item x="1187"/>
        <item x="1191"/>
        <item x="1201"/>
        <item x="1976"/>
        <item x="1196"/>
        <item x="1195"/>
        <item x="1219"/>
        <item x="1283"/>
        <item x="2034"/>
        <item x="2035"/>
        <item x="1217"/>
        <item x="1284"/>
        <item x="1229"/>
        <item x="1280"/>
        <item x="1178"/>
        <item x="1192"/>
        <item x="1282"/>
        <item x="1218"/>
        <item x="1929"/>
        <item x="1197"/>
        <item x="1224"/>
        <item x="1281"/>
        <item x="1285"/>
        <item x="1970"/>
        <item x="1200"/>
        <item x="1193"/>
        <item x="1198"/>
        <item x="2106"/>
        <item x="1930"/>
        <item x="1199"/>
        <item x="1179"/>
        <item x="1947"/>
        <item x="1223"/>
        <item x="1967"/>
        <item x="1969"/>
        <item x="1952"/>
        <item x="1194"/>
        <item x="1184"/>
        <item x="1931"/>
        <item x="1222"/>
        <item x="1948"/>
        <item x="1953"/>
        <item x="1968"/>
        <item x="1180"/>
        <item x="1181"/>
        <item x="1965"/>
        <item x="1964"/>
        <item x="1963"/>
        <item x="1951"/>
        <item x="1962"/>
        <item x="1950"/>
        <item x="1932"/>
        <item x="1954"/>
        <item x="1966"/>
        <item x="1949"/>
        <item x="1933"/>
        <item x="2107"/>
        <item x="1946"/>
        <item x="1183"/>
        <item x="1955"/>
        <item x="1182"/>
        <item x="1961"/>
        <item x="1958"/>
        <item x="1960"/>
        <item x="1956"/>
        <item x="2109"/>
        <item x="2108"/>
        <item x="1959"/>
        <item x="1934"/>
        <item x="1941"/>
        <item x="1935"/>
        <item x="1945"/>
        <item x="2110"/>
        <item x="1940"/>
        <item x="1957"/>
        <item x="1939"/>
        <item x="2114"/>
        <item x="2111"/>
        <item x="2113"/>
        <item x="1944"/>
        <item x="1938"/>
        <item x="2112"/>
        <item x="2116"/>
        <item x="1942"/>
        <item x="1936"/>
        <item x="2115"/>
        <item x="1943"/>
        <item x="1937"/>
        <item t="default"/>
      </items>
    </pivotField>
    <pivotField dataField="1" showAll="0">
      <items count="2124">
        <item h="1" x="81"/>
        <item h="1" x="79"/>
        <item h="1" x="80"/>
        <item h="1" x="82"/>
        <item h="1" x="83"/>
        <item h="1" x="84"/>
        <item h="1" x="78"/>
        <item h="1" x="87"/>
        <item h="1" x="86"/>
        <item h="1" x="85"/>
        <item h="1" x="76"/>
        <item h="1" x="77"/>
        <item x="89"/>
        <item h="1" x="88"/>
        <item h="1" x="90"/>
        <item h="1" x="209"/>
        <item h="1" x="218"/>
        <item h="1" x="75"/>
        <item h="1" x="210"/>
        <item h="1" x="211"/>
        <item h="1" x="214"/>
        <item h="1" x="213"/>
        <item h="1" x="650"/>
        <item h="1" x="207"/>
        <item h="1" x="220"/>
        <item h="1" x="94"/>
        <item h="1" x="219"/>
        <item h="1" x="203"/>
        <item h="1" x="91"/>
        <item h="1" x="202"/>
        <item h="1" x="71"/>
        <item h="1" x="649"/>
        <item h="1" x="95"/>
        <item h="1" x="208"/>
        <item h="1" x="212"/>
        <item h="1" x="217"/>
        <item h="1" x="216"/>
        <item h="1" x="72"/>
        <item h="1" x="648"/>
        <item h="1" x="206"/>
        <item h="1" x="92"/>
        <item h="1" x="204"/>
        <item h="1" x="647"/>
        <item h="1" x="201"/>
        <item h="1" x="215"/>
        <item h="1" x="73"/>
        <item h="1" x="93"/>
        <item h="1" x="222"/>
        <item h="1" x="221"/>
        <item h="1" x="223"/>
        <item h="1" x="645"/>
        <item h="1" x="153"/>
        <item h="1" x="70"/>
        <item h="1" x="651"/>
        <item h="1" x="195"/>
        <item h="1" x="184"/>
        <item h="1" x="205"/>
        <item h="1" x="646"/>
        <item h="1" x="96"/>
        <item h="1" x="186"/>
        <item h="1" x="69"/>
        <item h="1" x="194"/>
        <item h="1" x="152"/>
        <item h="1" x="74"/>
        <item h="1" x="183"/>
        <item h="1" x="225"/>
        <item h="1" x="200"/>
        <item h="1" x="181"/>
        <item h="1" x="224"/>
        <item h="1" x="185"/>
        <item h="1" x="154"/>
        <item h="1" x="66"/>
        <item h="1" x="196"/>
        <item h="1" x="67"/>
        <item h="1" x="192"/>
        <item h="1" x="62"/>
        <item h="1" x="187"/>
        <item h="1" x="180"/>
        <item h="1" x="97"/>
        <item h="1" x="193"/>
        <item h="1" x="155"/>
        <item h="1" x="199"/>
        <item h="1" x="198"/>
        <item h="1" x="68"/>
        <item h="1" x="99"/>
        <item h="1" x="182"/>
        <item h="1" x="197"/>
        <item h="1" x="190"/>
        <item h="1" x="653"/>
        <item h="1" x="137"/>
        <item h="1" x="65"/>
        <item h="1" x="64"/>
        <item h="1" x="101"/>
        <item h="1" x="98"/>
        <item h="1" x="189"/>
        <item h="1" x="652"/>
        <item h="1" x="63"/>
        <item h="1" x="188"/>
        <item h="1" x="19"/>
        <item h="1" x="28"/>
        <item h="1" x="135"/>
        <item h="1" x="102"/>
        <item h="1" x="136"/>
        <item h="1" x="227"/>
        <item h="1" x="60"/>
        <item h="1" x="21"/>
        <item h="1" x="191"/>
        <item h="1" x="100"/>
        <item h="1" x="226"/>
        <item h="1" x="134"/>
        <item h="1" x="16"/>
        <item h="1" x="655"/>
        <item h="1" x="61"/>
        <item h="1" x="14"/>
        <item h="1" x="18"/>
        <item h="1" x="59"/>
        <item h="1" x="138"/>
        <item h="1" x="178"/>
        <item h="1" x="132"/>
        <item h="1" x="15"/>
        <item h="1" x="179"/>
        <item h="1" x="156"/>
        <item h="1" x="654"/>
        <item h="1" x="13"/>
        <item h="1" x="228"/>
        <item h="1" x="20"/>
        <item h="1" x="656"/>
        <item h="1" x="30"/>
        <item h="1" x="29"/>
        <item h="1" x="157"/>
        <item h="1" x="229"/>
        <item h="1" x="133"/>
        <item h="1" x="103"/>
        <item h="1" x="17"/>
        <item h="1" x="150"/>
        <item h="1" x="7"/>
        <item h="1" x="58"/>
        <item h="1" x="158"/>
        <item h="1" x="140"/>
        <item h="1" x="26"/>
        <item h="1" x="159"/>
        <item h="1" x="9"/>
        <item h="1" x="45"/>
        <item h="1" x="149"/>
        <item h="1" x="34"/>
        <item h="1" x="141"/>
        <item h="1" x="35"/>
        <item h="1" x="104"/>
        <item h="1" x="46"/>
        <item h="1" x="148"/>
        <item h="1" x="57"/>
        <item h="1" x="27"/>
        <item h="1" x="8"/>
        <item h="1" x="142"/>
        <item h="1" x="151"/>
        <item h="1" x="674"/>
        <item h="1" x="33"/>
        <item h="1" x="139"/>
        <item h="1" x="165"/>
        <item h="1" x="6"/>
        <item h="1" x="676"/>
        <item h="1" x="177"/>
        <item h="1" x="31"/>
        <item h="1" x="10"/>
        <item h="1" x="162"/>
        <item h="1" x="678"/>
        <item h="1" x="32"/>
        <item h="1" x="105"/>
        <item h="1" x="677"/>
        <item h="1" x="166"/>
        <item h="1" x="110"/>
        <item h="1" x="176"/>
        <item h="1" x="144"/>
        <item h="1" x="145"/>
        <item h="1" x="55"/>
        <item h="1" x="56"/>
        <item h="1" x="174"/>
        <item h="1" x="43"/>
        <item h="1" x="161"/>
        <item h="1" x="160"/>
        <item h="1" x="175"/>
        <item h="1" x="143"/>
        <item h="1" x="25"/>
        <item h="1" x="173"/>
        <item h="1" x="171"/>
        <item h="1" x="675"/>
        <item h="1" x="163"/>
        <item h="1" x="106"/>
        <item h="1" x="657"/>
        <item h="1" x="5"/>
        <item h="1" x="230"/>
        <item h="1" x="11"/>
        <item h="1" x="44"/>
        <item h="1" x="170"/>
        <item h="1" x="679"/>
        <item h="1" x="111"/>
        <item h="1" x="667"/>
        <item h="1" x="12"/>
        <item h="1" x="164"/>
        <item h="1" x="168"/>
        <item h="1" x="666"/>
        <item h="1" x="52"/>
        <item h="1" x="172"/>
        <item h="1" x="147"/>
        <item h="1" x="167"/>
        <item h="1" x="36"/>
        <item h="1" x="113"/>
        <item h="1" x="50"/>
        <item h="1" x="112"/>
        <item h="1" x="37"/>
        <item h="1" x="41"/>
        <item h="1" x="51"/>
        <item h="1" x="672"/>
        <item h="1" x="42"/>
        <item h="1" x="231"/>
        <item h="1" x="692"/>
        <item h="1" x="22"/>
        <item h="1" x="23"/>
        <item h="1" x="4"/>
        <item h="1" x="39"/>
        <item h="1" x="24"/>
        <item h="1" x="49"/>
        <item h="1" x="40"/>
        <item h="1" x="107"/>
        <item h="1" x="659"/>
        <item h="1" x="48"/>
        <item h="1" x="671"/>
        <item h="1" x="640"/>
        <item h="1" x="109"/>
        <item h="1" x="47"/>
        <item h="1" x="169"/>
        <item h="1" x="658"/>
        <item h="1" x="673"/>
        <item h="1" x="638"/>
        <item h="1" x="146"/>
        <item h="1" x="233"/>
        <item h="1" x="668"/>
        <item h="1" x="38"/>
        <item h="1" x="114"/>
        <item h="1" x="232"/>
        <item h="1" x="53"/>
        <item h="1" x="108"/>
        <item h="1" x="639"/>
        <item h="1" x="660"/>
        <item h="1" x="644"/>
        <item h="1" x="0"/>
        <item h="1" x="54"/>
        <item h="1" x="685"/>
        <item h="1" x="130"/>
        <item h="1" x="689"/>
        <item h="1" x="686"/>
        <item h="1" x="3"/>
        <item h="1" x="670"/>
        <item h="1" x="131"/>
        <item h="1" x="643"/>
        <item h="1" x="688"/>
        <item h="1" x="669"/>
        <item h="1" x="687"/>
        <item h="1" x="682"/>
        <item h="1" x="691"/>
        <item h="1" x="683"/>
        <item h="1" x="234"/>
        <item h="1" x="641"/>
        <item h="1" x="693"/>
        <item h="1" x="690"/>
        <item h="1" x="235"/>
        <item h="1" x="262"/>
        <item h="1" x="661"/>
        <item h="1" x="681"/>
        <item h="1" x="680"/>
        <item h="1" x="2"/>
        <item h="1" x="257"/>
        <item h="1" x="684"/>
        <item h="1" x="261"/>
        <item h="1" x="115"/>
        <item h="1" x="125"/>
        <item h="1" x="1"/>
        <item h="1" x="129"/>
        <item h="1" x="121"/>
        <item h="1" x="694"/>
        <item h="1" x="126"/>
        <item h="1" x="260"/>
        <item h="1" x="236"/>
        <item h="1" x="242"/>
        <item h="1" x="120"/>
        <item h="1" x="119"/>
        <item h="1" x="258"/>
        <item h="1" x="240"/>
        <item h="1" x="259"/>
        <item h="1" x="128"/>
        <item h="1" x="243"/>
        <item h="1" x="123"/>
        <item h="1" x="241"/>
        <item h="1" x="563"/>
        <item h="1" x="238"/>
        <item h="1" x="239"/>
        <item h="1" x="662"/>
        <item h="1" x="127"/>
        <item h="1" x="124"/>
        <item h="1" x="237"/>
        <item h="1" x="122"/>
        <item h="1" x="697"/>
        <item h="1" x="268"/>
        <item h="1" x="267"/>
        <item h="1" x="642"/>
        <item h="1" x="116"/>
        <item h="1" x="696"/>
        <item h="1" x="264"/>
        <item h="1" x="255"/>
        <item h="1" x="256"/>
        <item h="1" x="118"/>
        <item h="1" x="245"/>
        <item h="1" x="244"/>
        <item h="1" x="470"/>
        <item h="1" x="263"/>
        <item h="1" x="663"/>
        <item h="1" x="637"/>
        <item h="1" x="564"/>
        <item h="1" x="565"/>
        <item h="1" x="695"/>
        <item h="1" x="569"/>
        <item h="1" x="664"/>
        <item h="1" x="624"/>
        <item h="1" x="570"/>
        <item h="1" x="265"/>
        <item h="1" x="266"/>
        <item h="1" x="246"/>
        <item h="1" x="562"/>
        <item h="1" x="269"/>
        <item h="1" x="546"/>
        <item h="1" x="568"/>
        <item h="1" x="623"/>
        <item h="1" x="558"/>
        <item h="1" x="665"/>
        <item h="1" x="117"/>
        <item h="1" x="471"/>
        <item h="1" x="634"/>
        <item h="1" x="620"/>
        <item h="1" x="472"/>
        <item h="1" x="625"/>
        <item h="1" x="633"/>
        <item h="1" x="251"/>
        <item h="1" x="247"/>
        <item h="1" x="619"/>
        <item h="1" x="270"/>
        <item h="1" x="636"/>
        <item h="1" x="567"/>
        <item h="1" x="252"/>
        <item h="1" x="631"/>
        <item h="1" x="635"/>
        <item h="1" x="254"/>
        <item h="1" x="621"/>
        <item h="1" x="622"/>
        <item h="1" x="626"/>
        <item h="1" x="500"/>
        <item h="1" x="618"/>
        <item h="1" x="632"/>
        <item h="1" x="614"/>
        <item h="1" x="566"/>
        <item h="1" x="253"/>
        <item h="1" x="271"/>
        <item h="1" x="502"/>
        <item h="1" x="272"/>
        <item h="1" x="273"/>
        <item h="1" x="627"/>
        <item h="1" x="503"/>
        <item h="1" x="501"/>
        <item h="1" x="469"/>
        <item h="1" x="547"/>
        <item h="1" x="250"/>
        <item h="1" x="628"/>
        <item h="1" x="248"/>
        <item h="1" x="545"/>
        <item h="1" x="249"/>
        <item h="1" x="561"/>
        <item h="1" x="484"/>
        <item h="1" x="485"/>
        <item h="1" x="504"/>
        <item h="1" x="615"/>
        <item h="1" x="497"/>
        <item h="1" x="490"/>
        <item h="1" x="499"/>
        <item h="1" x="506"/>
        <item h="1" x="552"/>
        <item h="1" x="613"/>
        <item h="1" x="486"/>
        <item h="1" x="630"/>
        <item h="1" x="498"/>
        <item h="1" x="473"/>
        <item h="1" x="599"/>
        <item h="1" x="480"/>
        <item h="1" x="571"/>
        <item h="1" x="544"/>
        <item h="1" x="629"/>
        <item h="1" x="549"/>
        <item h="1" x="475"/>
        <item h="1" x="617"/>
        <item h="1" x="531"/>
        <item h="1" x="483"/>
        <item h="1" x="548"/>
        <item h="1" x="616"/>
        <item h="1" x="479"/>
        <item h="1" x="608"/>
        <item h="1" x="600"/>
        <item h="1" x="505"/>
        <item h="1" x="496"/>
        <item h="1" x="481"/>
        <item h="1" x="487"/>
        <item h="1" x="478"/>
        <item h="1" x="560"/>
        <item h="1" x="551"/>
        <item h="1" x="276"/>
        <item h="1" x="550"/>
        <item h="1" x="591"/>
        <item h="1" x="293"/>
        <item h="1" x="602"/>
        <item h="1" x="507"/>
        <item h="1" x="281"/>
        <item h="1" x="601"/>
        <item h="1" x="530"/>
        <item h="1" x="529"/>
        <item h="1" x="610"/>
        <item h="1" x="532"/>
        <item h="1" x="554"/>
        <item h="1" x="274"/>
        <item h="1" x="277"/>
        <item h="1" x="609"/>
        <item h="1" x="553"/>
        <item h="1" x="555"/>
        <item h="1" x="401"/>
        <item h="1" x="556"/>
        <item h="1" x="488"/>
        <item h="1" x="482"/>
        <item h="1" x="284"/>
        <item h="1" x="477"/>
        <item h="1" x="495"/>
        <item h="1" x="489"/>
        <item h="1" x="283"/>
        <item h="1" x="543"/>
        <item h="1" x="492"/>
        <item h="1" x="598"/>
        <item h="1" x="278"/>
        <item h="1" x="491"/>
        <item h="1" x="402"/>
        <item h="1" x="405"/>
        <item h="1" x="528"/>
        <item h="1" x="275"/>
        <item h="1" x="306"/>
        <item h="1" x="282"/>
        <item h="1" x="468"/>
        <item h="1" x="404"/>
        <item h="1" x="476"/>
        <item h="1" x="494"/>
        <item h="1" x="415"/>
        <item h="1" x="285"/>
        <item h="1" x="474"/>
        <item h="1" x="606"/>
        <item h="1" x="403"/>
        <item h="1" x="302"/>
        <item h="1" x="414"/>
        <item h="1" x="493"/>
        <item h="1" x="603"/>
        <item h="1" x="295"/>
        <item h="1" x="413"/>
        <item h="1" x="607"/>
        <item h="1" x="286"/>
        <item h="1" x="294"/>
        <item h="1" x="280"/>
        <item h="1" x="334"/>
        <item h="1" x="467"/>
        <item h="1" x="557"/>
        <item h="1" x="523"/>
        <item h="1" x="288"/>
        <item h="1" x="305"/>
        <item h="1" x="465"/>
        <item h="1" x="559"/>
        <item h="1" x="304"/>
        <item h="1" x="292"/>
        <item h="1" x="407"/>
        <item h="1" x="427"/>
        <item h="1" x="425"/>
        <item h="1" x="542"/>
        <item h="1" x="604"/>
        <item h="1" x="279"/>
        <item h="1" x="410"/>
        <item h="1" x="605"/>
        <item h="1" x="303"/>
        <item h="1" x="335"/>
        <item h="1" x="698"/>
        <item h="1" x="464"/>
        <item h="1" x="527"/>
        <item h="1" x="287"/>
        <item h="1" x="289"/>
        <item h="1" x="429"/>
        <item h="1" x="611"/>
        <item h="1" x="572"/>
        <item h="1" x="408"/>
        <item h="1" x="416"/>
        <item h="1" x="426"/>
        <item h="1" x="406"/>
        <item h="1" x="411"/>
        <item h="1" x="446"/>
        <item h="1" x="300"/>
        <item h="1" x="336"/>
        <item h="1" x="592"/>
        <item h="1" x="466"/>
        <item h="1" x="430"/>
        <item h="1" x="307"/>
        <item h="1" x="301"/>
        <item h="1" x="424"/>
        <item h="1" x="699"/>
        <item h="1" x="412"/>
        <item h="1" x="508"/>
        <item h="1" x="409"/>
        <item h="1" x="521"/>
        <item h="1" x="291"/>
        <item h="1" x="541"/>
        <item h="1" x="340"/>
        <item h="1" x="590"/>
        <item h="1" x="612"/>
        <item h="1" x="398"/>
        <item h="1" x="526"/>
        <item h="1" x="428"/>
        <item h="1" x="397"/>
        <item h="1" x="400"/>
        <item h="1" x="296"/>
        <item h="1" x="540"/>
        <item h="1" x="539"/>
        <item h="1" x="448"/>
        <item h="1" x="522"/>
        <item h="1" x="524"/>
        <item h="1" x="290"/>
        <item h="1" x="298"/>
        <item h="1" x="338"/>
        <item h="1" x="447"/>
        <item h="1" x="525"/>
        <item h="1" x="299"/>
        <item h="1" x="297"/>
        <item h="1" x="463"/>
        <item h="1" x="395"/>
        <item h="1" x="348"/>
        <item h="1" x="396"/>
        <item h="1" x="700"/>
        <item h="1" x="462"/>
        <item h="1" x="333"/>
        <item h="1" x="339"/>
        <item h="1" x="341"/>
        <item h="1" x="343"/>
        <item h="1" x="417"/>
        <item h="1" x="459"/>
        <item h="1" x="337"/>
        <item h="1" x="342"/>
        <item h="1" x="707"/>
        <item h="1" x="708"/>
        <item h="1" x="457"/>
        <item h="1" x="422"/>
        <item h="1" x="576"/>
        <item h="1" x="399"/>
        <item h="1" x="423"/>
        <item h="1" x="509"/>
        <item h="1" x="458"/>
        <item h="1" x="593"/>
        <item h="1" x="519"/>
        <item h="1" x="444"/>
        <item h="1" x="451"/>
        <item h="1" x="518"/>
        <item h="1" x="432"/>
        <item h="1" x="445"/>
        <item h="1" x="449"/>
        <item h="1" x="596"/>
        <item h="1" x="347"/>
        <item h="1" x="433"/>
        <item h="1" x="594"/>
        <item h="1" x="308"/>
        <item h="1" x="538"/>
        <item h="1" x="450"/>
        <item h="1" x="709"/>
        <item h="1" x="434"/>
        <item h="1" x="706"/>
        <item h="1" x="431"/>
        <item h="1" x="393"/>
        <item h="1" x="701"/>
        <item h="1" x="394"/>
        <item h="1" x="439"/>
        <item h="1" x="360"/>
        <item h="1" x="419"/>
        <item h="1" x="580"/>
        <item h="1" x="595"/>
        <item h="1" x="537"/>
        <item h="1" x="421"/>
        <item h="1" x="418"/>
        <item h="1" x="345"/>
        <item h="1" x="311"/>
        <item h="1" x="435"/>
        <item h="1" x="310"/>
        <item h="1" x="309"/>
        <item h="1" x="382"/>
        <item h="1" x="361"/>
        <item h="1" x="383"/>
        <item h="1" x="461"/>
        <item h="1" x="520"/>
        <item h="1" x="344"/>
        <item h="1" x="510"/>
        <item h="1" x="386"/>
        <item h="1" x="456"/>
        <item h="1" x="370"/>
        <item h="1" x="420"/>
        <item h="1" x="346"/>
        <item h="1" x="577"/>
        <item h="1" x="573"/>
        <item h="1" x="597"/>
        <item h="1" x="368"/>
        <item h="1" x="511"/>
        <item h="1" x="380"/>
        <item h="1" x="392"/>
        <item h="1" x="381"/>
        <item h="1" x="460"/>
        <item h="1" x="364"/>
        <item h="1" x="441"/>
        <item h="1" x="438"/>
        <item h="1" x="581"/>
        <item h="1" x="452"/>
        <item h="1" x="574"/>
        <item h="1" x="349"/>
        <item h="1" x="312"/>
        <item h="1" x="359"/>
        <item h="1" x="517"/>
        <item h="1" x="536"/>
        <item h="1" x="582"/>
        <item h="1" x="363"/>
        <item h="1" x="384"/>
        <item h="1" x="578"/>
        <item h="1" x="710"/>
        <item h="1" x="443"/>
        <item h="1" x="702"/>
        <item h="1" x="440"/>
        <item h="1" x="367"/>
        <item h="1" x="436"/>
        <item h="1" x="369"/>
        <item h="1" x="455"/>
        <item h="1" x="379"/>
        <item h="1" x="575"/>
        <item h="1" x="437"/>
        <item h="1" x="391"/>
        <item h="1" x="358"/>
        <item h="1" x="453"/>
        <item h="1" x="703"/>
        <item h="1" x="515"/>
        <item h="1" x="332"/>
        <item h="1" x="313"/>
        <item h="1" x="362"/>
        <item h="1" x="365"/>
        <item h="1" x="579"/>
        <item h="1" x="442"/>
        <item h="1" x="388"/>
        <item h="1" x="705"/>
        <item h="1" x="385"/>
        <item h="1" x="351"/>
        <item h="1" x="354"/>
        <item h="1" x="389"/>
        <item h="1" x="387"/>
        <item h="1" x="390"/>
        <item h="1" x="366"/>
        <item h="1" x="535"/>
        <item h="1" x="350"/>
        <item h="1" x="316"/>
        <item h="1" x="454"/>
        <item h="1" x="512"/>
        <item h="1" x="355"/>
        <item h="1" x="513"/>
        <item h="1" x="711"/>
        <item h="1" x="583"/>
        <item h="1" x="317"/>
        <item h="1" x="704"/>
        <item h="1" x="314"/>
        <item h="1" x="330"/>
        <item h="1" x="774"/>
        <item h="1" x="331"/>
        <item h="1" x="516"/>
        <item h="1" x="328"/>
        <item h="1" x="371"/>
        <item h="1" x="357"/>
        <item h="1" x="584"/>
        <item h="1" x="353"/>
        <item h="1" x="356"/>
        <item h="1" x="585"/>
        <item h="1" x="352"/>
        <item h="1" x="589"/>
        <item h="1" x="372"/>
        <item h="1" x="378"/>
        <item h="1" x="587"/>
        <item h="1" x="586"/>
        <item h="1" x="322"/>
        <item h="1" x="315"/>
        <item h="1" x="534"/>
        <item h="1" x="514"/>
        <item h="1" x="329"/>
        <item h="1" x="321"/>
        <item h="1" x="323"/>
        <item h="1" x="377"/>
        <item h="1" x="376"/>
        <item h="1" x="320"/>
        <item h="1" x="318"/>
        <item h="1" x="324"/>
        <item h="1" x="588"/>
        <item h="1" x="327"/>
        <item h="1" x="373"/>
        <item h="1" x="713"/>
        <item h="1" x="533"/>
        <item h="1" x="374"/>
        <item h="1" x="319"/>
        <item h="1" x="712"/>
        <item h="1" x="325"/>
        <item h="1" x="326"/>
        <item h="1" x="375"/>
        <item h="1" x="714"/>
        <item h="1" x="715"/>
        <item h="1" x="716"/>
        <item h="1" x="721"/>
        <item h="1" x="722"/>
        <item h="1" x="717"/>
        <item h="1" x="718"/>
        <item h="1" x="776"/>
        <item h="1" x="775"/>
        <item h="1" x="723"/>
        <item h="1" x="720"/>
        <item h="1" x="719"/>
        <item h="1" x="777"/>
        <item h="1" x="724"/>
        <item h="1" x="773"/>
        <item h="1" x="725"/>
        <item h="1" x="785"/>
        <item h="1" x="726"/>
        <item h="1" x="729"/>
        <item h="1" x="786"/>
        <item h="1" x="728"/>
        <item h="1" x="784"/>
        <item h="1" x="727"/>
        <item h="1" x="782"/>
        <item h="1" x="778"/>
        <item h="1" x="734"/>
        <item h="1" x="733"/>
        <item h="1" x="781"/>
        <item h="1" x="787"/>
        <item h="1" x="732"/>
        <item h="1" x="783"/>
        <item h="1" x="730"/>
        <item h="1" x="780"/>
        <item h="1" x="731"/>
        <item h="1" x="779"/>
        <item h="1" x="788"/>
        <item h="1" x="772"/>
        <item h="1" x="735"/>
        <item h="1" x="789"/>
        <item h="1" x="739"/>
        <item h="1" x="771"/>
        <item h="1" x="738"/>
        <item h="1" x="740"/>
        <item h="1" x="736"/>
        <item h="1" x="737"/>
        <item h="1" x="790"/>
        <item h="1" x="741"/>
        <item h="1" x="768"/>
        <item h="1" x="770"/>
        <item h="1" x="742"/>
        <item h="1" x="769"/>
        <item h="1" x="743"/>
        <item h="1" x="791"/>
        <item h="1" x="762"/>
        <item h="1" x="761"/>
        <item h="1" x="797"/>
        <item h="1" x="805"/>
        <item h="1" x="767"/>
        <item h="1" x="799"/>
        <item h="1" x="792"/>
        <item h="1" x="766"/>
        <item h="1" x="800"/>
        <item h="1" x="793"/>
        <item h="1" x="798"/>
        <item h="1" x="746"/>
        <item h="1" x="763"/>
        <item h="1" x="794"/>
        <item h="1" x="764"/>
        <item h="1" x="796"/>
        <item h="1" x="748"/>
        <item h="1" x="747"/>
        <item h="1" x="765"/>
        <item h="1" x="795"/>
        <item h="1" x="806"/>
        <item h="1" x="751"/>
        <item h="1" x="807"/>
        <item h="1" x="802"/>
        <item h="1" x="749"/>
        <item h="1" x="750"/>
        <item h="1" x="760"/>
        <item h="1" x="744"/>
        <item h="1" x="804"/>
        <item h="1" x="808"/>
        <item h="1" x="812"/>
        <item h="1" x="801"/>
        <item h="1" x="814"/>
        <item h="1" x="759"/>
        <item h="1" x="753"/>
        <item h="1" x="803"/>
        <item h="1" x="813"/>
        <item h="1" x="752"/>
        <item h="1" x="822"/>
        <item h="1" x="816"/>
        <item h="1" x="811"/>
        <item h="1" x="810"/>
        <item h="1" x="815"/>
        <item h="1" x="817"/>
        <item h="1" x="819"/>
        <item h="1" x="820"/>
        <item h="1" x="809"/>
        <item h="1" x="821"/>
        <item h="1" x="818"/>
        <item h="1" x="758"/>
        <item h="1" x="823"/>
        <item h="1" x="754"/>
        <item h="1" x="827"/>
        <item h="1" x="825"/>
        <item h="1" x="826"/>
        <item h="1" x="828"/>
        <item h="1" x="745"/>
        <item h="1" x="824"/>
        <item h="1" x="756"/>
        <item h="1" x="757"/>
        <item h="1" x="755"/>
        <item h="1" x="833"/>
        <item h="1" x="830"/>
        <item h="1" x="829"/>
        <item h="1" x="843"/>
        <item h="1" x="841"/>
        <item h="1" x="832"/>
        <item h="1" x="835"/>
        <item h="1" x="842"/>
        <item h="1" x="834"/>
        <item h="1" x="836"/>
        <item h="1" x="839"/>
        <item h="1" x="838"/>
        <item h="1" x="840"/>
        <item h="1" x="837"/>
        <item h="1" x="844"/>
        <item h="1" x="831"/>
        <item h="1" x="845"/>
        <item h="1" x="846"/>
        <item h="1" x="847"/>
        <item h="1" x="850"/>
        <item h="1" x="848"/>
        <item h="1" x="873"/>
        <item h="1" x="849"/>
        <item h="1" x="851"/>
        <item h="1" x="862"/>
        <item h="1" x="872"/>
        <item h="1" x="867"/>
        <item h="1" x="871"/>
        <item h="1" x="864"/>
        <item h="1" x="868"/>
        <item h="1" x="869"/>
        <item h="1" x="866"/>
        <item h="1" x="870"/>
        <item h="1" x="853"/>
        <item h="1" x="865"/>
        <item h="1" x="856"/>
        <item h="1" x="857"/>
        <item h="1" x="861"/>
        <item h="1" x="854"/>
        <item h="1" x="863"/>
        <item h="1" x="852"/>
        <item h="1" x="855"/>
        <item h="1" x="874"/>
        <item h="1" x="859"/>
        <item h="1" x="860"/>
        <item h="1" x="875"/>
        <item h="1" x="1460"/>
        <item h="1" x="1456"/>
        <item h="1" x="858"/>
        <item h="1" x="876"/>
        <item h="1" x="892"/>
        <item h="1" x="1462"/>
        <item h="1" x="1457"/>
        <item h="1" x="1463"/>
        <item h="1" x="1461"/>
        <item h="1" x="1465"/>
        <item h="1" x="1464"/>
        <item h="1" x="1458"/>
        <item h="1" x="893"/>
        <item h="1" x="877"/>
        <item h="1" x="1468"/>
        <item h="1" x="1455"/>
        <item h="1" x="1459"/>
        <item h="1" x="1466"/>
        <item h="1" x="1467"/>
        <item h="1" x="894"/>
        <item h="1" x="895"/>
        <item h="1" x="879"/>
        <item h="1" x="1454"/>
        <item h="1" x="878"/>
        <item h="1" x="903"/>
        <item h="1" x="1471"/>
        <item h="1" x="1470"/>
        <item h="1" x="904"/>
        <item h="1" x="930"/>
        <item h="1" x="1469"/>
        <item h="1" x="1472"/>
        <item h="1" x="880"/>
        <item h="1" x="931"/>
        <item h="1" x="882"/>
        <item h="1" x="883"/>
        <item h="1" x="928"/>
        <item h="1" x="890"/>
        <item h="1" x="905"/>
        <item h="1" x="941"/>
        <item h="1" x="940"/>
        <item h="1" x="881"/>
        <item h="1" x="937"/>
        <item h="1" x="929"/>
        <item h="1" x="939"/>
        <item h="1" x="1453"/>
        <item h="1" x="1452"/>
        <item h="1" x="912"/>
        <item h="1" x="910"/>
        <item h="1" x="938"/>
        <item h="1" x="891"/>
        <item h="1" x="907"/>
        <item h="1" x="896"/>
        <item h="1" x="926"/>
        <item h="1" x="925"/>
        <item h="1" x="933"/>
        <item h="1" x="906"/>
        <item h="1" x="936"/>
        <item h="1" x="922"/>
        <item h="1" x="923"/>
        <item h="1" x="899"/>
        <item h="1" x="932"/>
        <item h="1" x="902"/>
        <item h="1" x="927"/>
        <item h="1" x="913"/>
        <item h="1" x="911"/>
        <item h="1" x="924"/>
        <item h="1" x="914"/>
        <item h="1" x="1777"/>
        <item h="1" x="908"/>
        <item h="1" x="935"/>
        <item h="1" x="884"/>
        <item h="1" x="921"/>
        <item h="1" x="1473"/>
        <item h="1" x="1474"/>
        <item h="1" x="1475"/>
        <item h="1" x="915"/>
        <item h="1" x="1778"/>
        <item h="1" x="934"/>
        <item h="1" x="920"/>
        <item h="1" x="1776"/>
        <item h="1" x="942"/>
        <item h="1" x="898"/>
        <item h="1" x="900"/>
        <item h="1" x="916"/>
        <item h="1" x="886"/>
        <item h="1" x="917"/>
        <item h="1" x="889"/>
        <item h="1" x="885"/>
        <item h="1" x="909"/>
        <item h="1" x="919"/>
        <item h="1" x="901"/>
        <item h="1" x="1451"/>
        <item h="1" x="897"/>
        <item h="1" x="1775"/>
        <item h="1" x="1450"/>
        <item h="1" x="1536"/>
        <item h="1" x="918"/>
        <item h="1" x="1774"/>
        <item h="1" x="1448"/>
        <item h="1" x="1773"/>
        <item h="1" x="1449"/>
        <item h="1" x="888"/>
        <item h="1" x="1537"/>
        <item h="1" x="1476"/>
        <item h="1" x="1540"/>
        <item h="1" x="1541"/>
        <item h="1" x="1535"/>
        <item h="1" x="1447"/>
        <item h="1" x="1542"/>
        <item h="1" x="1772"/>
        <item h="1" x="1539"/>
        <item h="1" x="1779"/>
        <item h="1" x="943"/>
        <item h="1" x="1751"/>
        <item h="1" x="1534"/>
        <item h="1" x="1532"/>
        <item h="1" x="945"/>
        <item h="1" x="1752"/>
        <item h="1" x="1538"/>
        <item h="1" x="1766"/>
        <item h="1" x="1533"/>
        <item h="1" x="887"/>
        <item h="1" x="1549"/>
        <item h="1" x="944"/>
        <item h="1" x="1550"/>
        <item h="1" x="1763"/>
        <item h="1" x="1478"/>
        <item h="1" x="1446"/>
        <item h="1" x="1433"/>
        <item h="1" x="1548"/>
        <item h="1" x="1781"/>
        <item h="1" x="1764"/>
        <item h="1" x="1791"/>
        <item h="1" x="1546"/>
        <item h="1" x="1545"/>
        <item h="1" x="1750"/>
        <item h="1" x="1434"/>
        <item h="1" x="1543"/>
        <item h="1" x="1780"/>
        <item h="1" x="1812"/>
        <item h="1" x="1757"/>
        <item h="1" x="1771"/>
        <item h="1" x="1765"/>
        <item h="1" x="1754"/>
        <item h="1" x="1769"/>
        <item h="1" x="1544"/>
        <item h="1" x="1792"/>
        <item h="1" x="1790"/>
        <item h="1" x="1547"/>
        <item h="1" x="1758"/>
        <item h="1" x="1756"/>
        <item h="1" x="1504"/>
        <item h="1" x="1767"/>
        <item h="1" x="1479"/>
        <item h="1" x="1444"/>
        <item h="1" x="1800"/>
        <item h="1" x="1811"/>
        <item h="1" x="1753"/>
        <item h="1" x="1551"/>
        <item h="1" x="946"/>
        <item h="1" x="1794"/>
        <item h="1" x="1443"/>
        <item h="1" x="1505"/>
        <item h="1" x="1770"/>
        <item h="1" x="1789"/>
        <item h="1" x="1807"/>
        <item h="1" x="1795"/>
        <item h="1" x="1797"/>
        <item h="1" x="1808"/>
        <item h="1" x="1762"/>
        <item h="1" x="1747"/>
        <item h="1" x="1755"/>
        <item h="1" x="1761"/>
        <item h="1" x="1803"/>
        <item h="1" x="1806"/>
        <item h="1" x="1745"/>
        <item h="1" x="1802"/>
        <item h="1" x="1768"/>
        <item h="1" x="1552"/>
        <item h="1" x="1813"/>
        <item h="1" x="1796"/>
        <item h="1" x="1810"/>
        <item h="1" x="1749"/>
        <item h="1" x="1793"/>
        <item h="1" x="1426"/>
        <item h="1" x="1759"/>
        <item h="1" x="1748"/>
        <item h="1" x="1788"/>
        <item h="1" x="1477"/>
        <item h="1" x="1809"/>
        <item h="1" x="1815"/>
        <item h="1" x="1805"/>
        <item h="1" x="1746"/>
        <item h="1" x="1804"/>
        <item h="1" x="1445"/>
        <item h="1" x="1801"/>
        <item h="1" x="1442"/>
        <item h="1" x="1760"/>
        <item h="1" x="1784"/>
        <item h="1" x="1785"/>
        <item h="1" x="1799"/>
        <item h="1" x="1509"/>
        <item h="1" x="1553"/>
        <item h="1" x="1432"/>
        <item h="1" x="1507"/>
        <item h="1" x="1526"/>
        <item h="1" x="1531"/>
        <item h="1" x="1744"/>
        <item h="1" x="1438"/>
        <item h="1" x="1726"/>
        <item h="1" x="1786"/>
        <item h="1" x="1480"/>
        <item h="1" x="1818"/>
        <item h="1" x="1503"/>
        <item h="1" x="1441"/>
        <item h="1" x="1814"/>
        <item h="1" x="1820"/>
        <item h="1" x="1720"/>
        <item h="1" x="1436"/>
        <item h="1" x="1556"/>
        <item h="1" x="1437"/>
        <item h="1" x="1819"/>
        <item h="1" x="1431"/>
        <item h="1" x="1435"/>
        <item h="1" x="1510"/>
        <item h="1" x="1506"/>
        <item h="1" x="1783"/>
        <item h="1" x="1732"/>
        <item h="1" x="1508"/>
        <item h="1" x="1530"/>
        <item h="1" x="1557"/>
        <item h="1" x="1524"/>
        <item h="1" x="1787"/>
        <item h="1" x="1817"/>
        <item h="1" x="1528"/>
        <item h="1" x="1523"/>
        <item h="1" x="1727"/>
        <item h="1" x="947"/>
        <item h="1" x="1522"/>
        <item h="1" x="1555"/>
        <item h="1" x="1527"/>
        <item h="1" x="1798"/>
        <item h="1" x="1525"/>
        <item h="1" x="1430"/>
        <item h="1" x="1529"/>
        <item h="1" x="1723"/>
        <item h="1" x="1821"/>
        <item h="1" x="1816"/>
        <item h="1" x="1728"/>
        <item h="1" x="1015"/>
        <item h="1" x="1502"/>
        <item h="1" x="1064"/>
        <item h="1" x="1725"/>
        <item h="1" x="1731"/>
        <item h="1" x="1743"/>
        <item h="1" x="1481"/>
        <item h="1" x="1733"/>
        <item h="1" x="1724"/>
        <item h="1" x="1554"/>
        <item h="1" x="1516"/>
        <item h="1" x="950"/>
        <item h="1" x="1729"/>
        <item h="1" x="952"/>
        <item h="1" x="1482"/>
        <item h="1" x="1514"/>
        <item h="1" x="1060"/>
        <item h="1" x="1427"/>
        <item h="1" x="1500"/>
        <item h="1" x="1721"/>
        <item h="1" x="1074"/>
        <item h="1" x="1512"/>
        <item h="1" x="1425"/>
        <item h="1" x="948"/>
        <item h="1" x="1722"/>
        <item h="1" x="1849"/>
        <item h="1" x="1515"/>
        <item h="1" x="1738"/>
        <item h="1" x="1513"/>
        <item h="1" x="1062"/>
        <item h="1" x="1521"/>
        <item h="1" x="1063"/>
        <item h="1" x="1558"/>
        <item h="1" x="1730"/>
        <item h="1" x="1066"/>
        <item h="1" x="1736"/>
        <item h="1" x="1501"/>
        <item h="1" x="1517"/>
        <item h="1" x="1782"/>
        <item h="1" x="1429"/>
        <item h="1" x="1488"/>
        <item h="1" x="1439"/>
        <item h="1" x="1483"/>
        <item h="1" x="1520"/>
        <item h="1" x="1440"/>
        <item h="1" x="951"/>
        <item h="1" x="949"/>
        <item h="1" x="1518"/>
        <item h="1" x="1065"/>
        <item h="1" x="1428"/>
        <item h="1" x="1822"/>
        <item h="1" x="1061"/>
        <item h="1" x="1059"/>
        <item h="1" x="1484"/>
        <item h="1" x="1496"/>
        <item h="1" x="1487"/>
        <item h="1" x="1424"/>
        <item h="1" x="1662"/>
        <item h="1" x="1493"/>
        <item h="1" x="1737"/>
        <item h="1" x="1823"/>
        <item h="1" x="1852"/>
        <item h="1" x="1511"/>
        <item h="1" x="953"/>
        <item h="1" x="1824"/>
        <item h="1" x="1850"/>
        <item h="1" x="1847"/>
        <item h="1" x="1014"/>
        <item h="1" x="1739"/>
        <item h="1" x="1076"/>
        <item h="1" x="954"/>
        <item h="1" x="1740"/>
        <item h="1" x="1080"/>
        <item h="1" x="1735"/>
        <item h="1" x="1851"/>
        <item h="1" x="1734"/>
        <item h="1" x="1848"/>
        <item h="1" x="1663"/>
        <item h="1" x="1494"/>
        <item h="1" x="1559"/>
        <item h="1" x="1075"/>
        <item h="1" x="1485"/>
        <item h="1" x="1853"/>
        <item h="1" x="957"/>
        <item h="1" x="1068"/>
        <item h="1" x="1081"/>
        <item h="1" x="1073"/>
        <item h="1" x="1741"/>
        <item h="1" x="1491"/>
        <item h="1" x="1495"/>
        <item h="1" x="1067"/>
        <item h="1" x="1742"/>
        <item h="1" x="1499"/>
        <item h="1" x="1078"/>
        <item h="1" x="959"/>
        <item h="1" x="1077"/>
        <item h="1" x="1030"/>
        <item h="1" x="1560"/>
        <item h="1" x="1408"/>
        <item h="1" x="1082"/>
        <item h="1" x="1664"/>
        <item h="1" x="1498"/>
        <item h="1" x="1058"/>
        <item h="1" x="1863"/>
        <item h="1" x="1660"/>
        <item h="1" x="1079"/>
        <item h="1" x="1029"/>
        <item h="1" x="1864"/>
        <item h="1" x="1069"/>
        <item h="1" x="1084"/>
        <item h="1" x="1013"/>
        <item h="1" x="1412"/>
        <item h="1" x="1661"/>
        <item h="1" x="1486"/>
        <item h="1" x="1519"/>
        <item h="1" x="1423"/>
        <item h="1" x="1561"/>
        <item h="1" x="962"/>
        <item h="1" x="1497"/>
        <item h="1" x="1846"/>
        <item h="1" x="1083"/>
        <item h="1" x="1719"/>
        <item h="1" x="1085"/>
        <item h="1" x="1072"/>
        <item h="1" x="1492"/>
        <item h="1" x="1071"/>
        <item h="1" x="1717"/>
        <item h="1" x="958"/>
        <item h="1" x="1718"/>
        <item h="1" x="1862"/>
        <item h="1" x="1489"/>
        <item h="1" x="1315"/>
        <item h="1" x="1057"/>
        <item h="1" x="1825"/>
        <item h="1" x="1670"/>
        <item h="1" x="1027"/>
        <item h="1" x="1070"/>
        <item h="1" x="1866"/>
        <item h="1" x="1859"/>
        <item h="1" x="1869"/>
        <item h="1" x="961"/>
        <item h="1" x="1414"/>
        <item h="1" x="1031"/>
        <item h="1" x="1715"/>
        <item h="1" x="1656"/>
        <item h="1" x="1657"/>
        <item h="1" x="1716"/>
        <item h="1" x="1659"/>
        <item h="1" x="1331"/>
        <item h="1" x="1861"/>
        <item h="1" x="960"/>
        <item h="1" x="966"/>
        <item h="1" x="1028"/>
        <item h="1" x="1900"/>
        <item h="1" x="955"/>
        <item h="1" x="1562"/>
        <item h="1" x="1865"/>
        <item h="1" x="1854"/>
        <item h="1" x="1490"/>
        <item h="1" x="1413"/>
        <item h="1" x="1107"/>
        <item h="1" x="1671"/>
        <item h="1" x="1102"/>
        <item h="1" x="1095"/>
        <item h="1" x="1109"/>
        <item h="1" x="1421"/>
        <item h="1" x="1422"/>
        <item h="1" x="967"/>
        <item h="1" x="1103"/>
        <item h="1" x="1613"/>
        <item h="1" x="1714"/>
        <item h="1" x="1110"/>
        <item h="1" x="1328"/>
        <item h="1" x="1839"/>
        <item h="1" x="1855"/>
        <item h="1" x="1870"/>
        <item h="1" x="1106"/>
        <item h="1" x="1405"/>
        <item h="1" x="1658"/>
        <item h="1" x="965"/>
        <item h="1" x="956"/>
        <item h="1" x="1332"/>
        <item h="1" x="1845"/>
        <item h="1" x="1101"/>
        <item h="1" x="1406"/>
        <item h="1" x="1096"/>
        <item h="1" x="1563"/>
        <item h="1" x="1023"/>
        <item h="1" x="1012"/>
        <item h="1" x="1100"/>
        <item h="1" x="1893"/>
        <item h="1" x="1899"/>
        <item h="1" x="1024"/>
        <item h="1" x="1105"/>
        <item h="1" x="1665"/>
        <item h="1" x="963"/>
        <item h="1" x="1898"/>
        <item h="1" x="1086"/>
        <item h="1" x="1712"/>
        <item h="1" x="1097"/>
        <item h="1" x="1894"/>
        <item h="1" x="1108"/>
        <item h="1" x="1612"/>
        <item h="1" x="1667"/>
        <item h="1" x="1409"/>
        <item h="1" x="1867"/>
        <item h="1" x="1895"/>
        <item h="1" x="1316"/>
        <item h="1" x="1841"/>
        <item h="1" x="1094"/>
        <item h="1" x="1713"/>
        <item h="1" x="1666"/>
        <item h="1" x="1655"/>
        <item h="1" x="1104"/>
        <item h="1" x="1410"/>
        <item h="1" x="1840"/>
        <item h="1" x="1860"/>
        <item h="1" x="1033"/>
        <item h="1" x="968"/>
        <item h="1" x="1897"/>
        <item h="1" x="1026"/>
        <item h="1" x="1329"/>
        <item h="1" x="1857"/>
        <item h="1" x="1055"/>
        <item h="1" x="969"/>
        <item h="1" x="1313"/>
        <item h="1" x="1564"/>
        <item h="1" x="1896"/>
        <item h="1" x="1407"/>
        <item h="1" x="2010"/>
        <item h="1" x="1123"/>
        <item h="1" x="970"/>
        <item h="1" x="1411"/>
        <item h="1" x="1669"/>
        <item h="1" x="1989"/>
        <item h="1" x="1668"/>
        <item h="1" x="1415"/>
        <item h="1" x="1843"/>
        <item h="1" x="1032"/>
        <item h="1" x="1017"/>
        <item h="1" x="1856"/>
        <item h="1" x="1099"/>
        <item h="1" x="1404"/>
        <item h="1" x="1403"/>
        <item h="1" x="1858"/>
        <item h="1" x="1025"/>
        <item h="1" x="1054"/>
        <item h="1" x="1036"/>
        <item h="1" x="1672"/>
        <item h="1" x="1088"/>
        <item h="1" x="1056"/>
        <item h="1" x="1340"/>
        <item h="1" x="1125"/>
        <item h="1" x="1016"/>
        <item h="1" x="1565"/>
        <item h="1" x="1416"/>
        <item h="1" x="1314"/>
        <item h="1" x="1417"/>
        <item h="1" x="1009"/>
        <item h="1" x="1995"/>
        <item h="1" x="1611"/>
        <item h="1" x="1021"/>
        <item h="1" x="1038"/>
        <item h="1" x="1111"/>
        <item h="1" x="1092"/>
        <item h="1" x="1871"/>
        <item h="1" x="1093"/>
        <item h="1" x="1091"/>
        <item h="1" x="1087"/>
        <item h="1" x="1126"/>
        <item h="1" x="1875"/>
        <item h="1" x="1090"/>
        <item h="1" x="1877"/>
        <item h="1" x="1711"/>
        <item h="1" x="1341"/>
        <item h="1" x="1008"/>
        <item h="1" x="2017"/>
        <item h="1" x="1419"/>
        <item h="1" x="1420"/>
        <item h="1" x="1876"/>
        <item h="1" x="1037"/>
        <item h="1" x="1872"/>
        <item h="1" x="1053"/>
        <item h="1" x="1339"/>
        <item h="1" x="1418"/>
        <item h="1" x="1098"/>
        <item h="1" x="1122"/>
        <item h="1" x="1011"/>
        <item h="1" x="1112"/>
        <item h="1" x="1089"/>
        <item h="1" x="1124"/>
        <item h="1" x="1873"/>
        <item h="1" x="1617"/>
        <item h="1" x="1868"/>
        <item h="1" x="1874"/>
        <item h="1" x="1034"/>
        <item h="1" x="1035"/>
        <item h="1" x="1990"/>
        <item h="1" x="1019"/>
        <item h="1" x="1826"/>
        <item h="1" x="1614"/>
        <item h="1" x="1051"/>
        <item h="1" x="971"/>
        <item h="1" x="964"/>
        <item h="1" x="1343"/>
        <item h="1" x="1844"/>
        <item h="1" x="1842"/>
        <item h="1" x="1327"/>
        <item h="1" x="1338"/>
        <item h="1" x="1006"/>
        <item h="1" x="1610"/>
        <item h="1" x="1330"/>
        <item h="1" x="1116"/>
        <item h="1" x="1342"/>
        <item h="1" x="1615"/>
        <item h="1" x="1018"/>
        <item h="1" x="2009"/>
        <item h="1" x="1675"/>
        <item h="1" x="1130"/>
        <item h="1" x="1022"/>
        <item h="1" x="1039"/>
        <item h="1" x="1679"/>
        <item h="1" x="1676"/>
        <item h="1" x="1346"/>
        <item h="1" x="1322"/>
        <item h="1" x="1566"/>
        <item h="1" x="1050"/>
        <item h="1" x="1710"/>
        <item h="1" x="1335"/>
        <item h="1" x="972"/>
        <item h="1" x="1127"/>
        <item h="1" x="1680"/>
        <item h="1" x="1686"/>
        <item h="1" x="1677"/>
        <item h="1" x="1996"/>
        <item h="1" x="1317"/>
        <item h="1" x="1119"/>
        <item h="1" x="1020"/>
        <item h="1" x="1681"/>
        <item h="1" x="1334"/>
        <item h="1" x="1128"/>
        <item h="1" x="1997"/>
        <item h="1" x="1312"/>
        <item h="1" x="1052"/>
        <item h="1" x="1113"/>
        <item h="1" x="1114"/>
        <item h="1" x="1311"/>
        <item h="1" x="1118"/>
        <item h="1" x="1616"/>
        <item h="1" x="1115"/>
        <item h="1" x="1692"/>
        <item h="1" x="1333"/>
        <item h="1" x="1129"/>
        <item h="1" x="1131"/>
        <item h="1" x="1673"/>
        <item h="1" x="1708"/>
        <item h="1" x="1117"/>
        <item h="1" x="1707"/>
        <item h="1" x="2018"/>
        <item h="1" x="1994"/>
        <item h="1" x="1402"/>
        <item h="1" x="1005"/>
        <item h="1" x="1044"/>
        <item h="1" x="1879"/>
        <item h="1" x="1323"/>
        <item h="1" x="1347"/>
        <item h="1" x="1706"/>
        <item h="1" x="1618"/>
        <item h="1" x="1687"/>
        <item h="1" x="1892"/>
        <item h="1" x="1619"/>
        <item h="1" x="1685"/>
        <item h="1" x="1324"/>
        <item h="1" x="1121"/>
        <item h="1" x="1837"/>
        <item h="1" x="1693"/>
        <item h="1" x="1688"/>
        <item h="1" x="2008"/>
        <item h="1" x="1010"/>
        <item h="1" x="1045"/>
        <item h="1" x="1326"/>
        <item h="1" x="1691"/>
        <item h="1" x="1609"/>
        <item h="1" x="1047"/>
        <item h="1" x="1348"/>
        <item h="1" x="1684"/>
        <item h="1" x="1709"/>
        <item h="1" x="1639"/>
        <item h="1" x="1349"/>
        <item h="1" x="1888"/>
        <item h="1" x="1992"/>
        <item h="1" x="1120"/>
        <item h="1" x="1401"/>
        <item h="1" x="1890"/>
        <item h="1" x="1832"/>
        <item h="1" x="1577"/>
        <item h="1" x="1678"/>
        <item h="1" x="2016"/>
        <item h="1" x="1309"/>
        <item h="1" x="2015"/>
        <item h="1" x="1325"/>
        <item h="1" x="1606"/>
        <item h="1" x="1399"/>
        <item h="1" x="1689"/>
        <item h="1" x="1608"/>
        <item h="1" x="1307"/>
        <item h="1" x="1654"/>
        <item h="1" x="1674"/>
        <item h="1" x="1048"/>
        <item h="1" x="973"/>
        <item h="1" x="1146"/>
        <item h="1" x="1132"/>
        <item h="1" x="1690"/>
        <item h="1" x="1878"/>
        <item h="1" x="1041"/>
        <item h="1" x="1638"/>
        <item h="1" x="1135"/>
        <item h="1" x="1683"/>
        <item h="1" x="1567"/>
        <item h="1" x="1891"/>
        <item h="1" x="1136"/>
        <item h="1" x="1344"/>
        <item h="1" x="1306"/>
        <item h="1" x="1134"/>
        <item h="1" x="1636"/>
        <item h="1" x="1337"/>
        <item h="1" x="1623"/>
        <item h="1" x="974"/>
        <item h="1" x="1133"/>
        <item h="1" x="1607"/>
        <item h="1" x="1140"/>
        <item h="1" x="1350"/>
        <item h="1" x="1336"/>
        <item h="1" x="1049"/>
        <item h="1" x="1042"/>
        <item h="1" x="1640"/>
        <item h="1" x="1827"/>
        <item h="1" x="1147"/>
        <item h="1" x="1643"/>
        <item h="1" x="1043"/>
        <item h="1" x="1682"/>
        <item h="1" x="1320"/>
        <item h="1" x="1637"/>
        <item h="1" x="1698"/>
        <item h="1" x="1007"/>
        <item h="1" x="1351"/>
        <item h="1" x="1141"/>
        <item h="1" x="1046"/>
        <item h="1" x="1991"/>
        <item h="1" x="1142"/>
        <item h="1" x="1833"/>
        <item h="1" x="1705"/>
        <item h="1" x="1704"/>
        <item h="1" x="1627"/>
        <item h="1" x="1998"/>
        <item h="1" x="1907"/>
        <item h="1" x="1887"/>
        <item h="1" x="1836"/>
        <item h="1" x="1400"/>
        <item h="1" x="1605"/>
        <item h="1" x="1568"/>
        <item h="1" x="1906"/>
        <item h="1" x="1993"/>
        <item h="1" x="1880"/>
        <item h="1" x="1889"/>
        <item h="1" x="1578"/>
        <item h="1" x="1641"/>
        <item h="1" x="1148"/>
        <item h="1" x="2019"/>
        <item h="1" x="1345"/>
        <item h="1" x="1137"/>
        <item h="1" x="1694"/>
        <item h="1" x="1651"/>
        <item h="1" x="1149"/>
        <item h="1" x="1138"/>
        <item h="1" x="1908"/>
        <item h="1" x="1604"/>
        <item h="1" x="1626"/>
        <item h="1" x="1838"/>
        <item h="1" x="1828"/>
        <item h="1" x="1642"/>
        <item h="1" x="1139"/>
        <item h="1" x="1625"/>
        <item h="1" x="1143"/>
        <item h="1" x="975"/>
        <item h="1" x="1696"/>
        <item h="1" x="2013"/>
        <item h="1" x="1144"/>
        <item h="1" x="2014"/>
        <item h="1" x="2012"/>
        <item h="1" x="1700"/>
        <item h="1" x="1834"/>
        <item h="1" x="1319"/>
        <item h="1" x="1829"/>
        <item h="1" x="1145"/>
        <item h="1" x="1703"/>
        <item h="1" x="1318"/>
        <item h="1" x="1695"/>
        <item h="1" x="1603"/>
        <item h="1" x="1310"/>
        <item h="1" x="1652"/>
        <item h="1" x="1040"/>
        <item h="1" x="1883"/>
        <item h="1" x="1881"/>
        <item h="1" x="1699"/>
        <item h="1" x="1254"/>
        <item h="1" x="1653"/>
        <item h="1" x="1266"/>
        <item h="1" x="1635"/>
        <item h="1" x="1598"/>
        <item h="1" x="1571"/>
        <item h="1" x="1579"/>
        <item h="1" x="1624"/>
        <item h="1" x="1308"/>
        <item h="1" x="1835"/>
        <item h="1" x="1576"/>
        <item h="1" x="1701"/>
        <item h="1" x="1570"/>
        <item h="1" x="1621"/>
        <item h="1" x="1882"/>
        <item h="1" x="1620"/>
        <item h="1" x="1697"/>
        <item h="1" x="1580"/>
        <item h="1" x="1905"/>
        <item h="1" x="1886"/>
        <item h="1" x="1622"/>
        <item h="1" x="1150"/>
        <item h="1" x="1321"/>
        <item h="1" x="1155"/>
        <item h="1" x="1154"/>
        <item h="1" x="1569"/>
        <item h="1" x="1355"/>
        <item h="1" x="1650"/>
        <item h="1" x="2004"/>
        <item h="1" x="1152"/>
        <item h="1" x="1602"/>
        <item h="1" x="1574"/>
        <item h="1" x="2020"/>
        <item h="1" x="1904"/>
        <item h="1" x="1647"/>
        <item h="1" x="1594"/>
        <item h="1" x="1645"/>
        <item h="1" x="1157"/>
        <item h="1" x="1004"/>
        <item h="1" x="1153"/>
        <item h="1" x="1884"/>
        <item h="1" x="1901"/>
        <item h="1" x="1156"/>
        <item h="1" x="1646"/>
        <item h="1" x="1572"/>
        <item h="1" x="1158"/>
        <item h="1" x="1601"/>
        <item h="1" x="1644"/>
        <item h="1" x="1702"/>
        <item h="1" x="1885"/>
        <item h="1" x="1581"/>
        <item h="1" x="1160"/>
        <item h="1" x="1830"/>
        <item h="1" x="1304"/>
        <item h="1" x="1003"/>
        <item h="1" x="1903"/>
        <item h="1" x="1634"/>
        <item h="1" x="1988"/>
        <item h="1" x="1593"/>
        <item h="1" x="1649"/>
        <item h="1" x="1831"/>
        <item h="1" x="1987"/>
        <item h="1" x="2003"/>
        <item h="1" x="1648"/>
        <item h="1" x="1151"/>
        <item h="1" x="1161"/>
        <item h="1" x="1597"/>
        <item h="1" x="991"/>
        <item h="1" x="1159"/>
        <item h="1" x="1575"/>
        <item h="1" x="1265"/>
        <item h="1" x="1398"/>
        <item h="1" x="1596"/>
        <item h="1" x="1001"/>
        <item h="1" x="1002"/>
        <item h="1" x="1599"/>
        <item h="1" x="1633"/>
        <item h="1" x="1305"/>
        <item h="1" x="1255"/>
        <item h="1" x="2007"/>
        <item h="1" x="1267"/>
        <item h="1" x="1600"/>
        <item h="1" x="1629"/>
        <item h="1" x="1262"/>
        <item h="1" x="1397"/>
        <item h="1" x="998"/>
        <item h="1" x="1354"/>
        <item h="1" x="2005"/>
        <item h="1" x="1162"/>
        <item h="1" x="1595"/>
        <item h="1" x="1902"/>
        <item h="1" x="1586"/>
        <item h="1" x="1587"/>
        <item h="1" x="1256"/>
        <item h="1" x="1380"/>
        <item h="1" x="1163"/>
        <item h="1" x="978"/>
        <item h="1" x="999"/>
        <item h="1" x="1630"/>
        <item h="1" x="1352"/>
        <item h="1" x="1588"/>
        <item h="1" x="976"/>
        <item h="1" x="1000"/>
        <item h="1" x="2001"/>
        <item h="1" x="2011"/>
        <item h="1" x="1353"/>
        <item h="1" x="1164"/>
        <item h="1" x="2002"/>
        <item h="1" x="1628"/>
        <item h="1" x="1253"/>
        <item h="1" x="1632"/>
        <item h="1" x="1381"/>
        <item h="1" x="1585"/>
        <item h="1" x="1573"/>
        <item h="1" x="1263"/>
        <item h="1" x="1356"/>
        <item h="1" x="1394"/>
        <item h="1" x="2028"/>
        <item h="1" x="982"/>
        <item h="1" x="1378"/>
        <item h="1" x="1395"/>
        <item h="1" x="1631"/>
        <item h="1" x="2029"/>
        <item h="1" x="1236"/>
        <item h="1" x="1584"/>
        <item h="1" x="1379"/>
        <item h="1" x="1377"/>
        <item h="1" x="1589"/>
        <item h="1" x="1999"/>
        <item h="1" x="990"/>
        <item h="1" x="1986"/>
        <item h="1" x="1261"/>
        <item h="1" x="1260"/>
        <item h="1" x="1582"/>
        <item h="1" x="992"/>
        <item h="1" x="1268"/>
        <item h="1" x="2027"/>
        <item h="1" x="2025"/>
        <item h="1" x="1357"/>
        <item h="1" x="1165"/>
        <item h="1" x="1590"/>
        <item h="1" x="983"/>
        <item h="1" x="985"/>
        <item h="1" x="981"/>
        <item h="1" x="1983"/>
        <item h="1" x="1237"/>
        <item h="1" x="2024"/>
        <item h="1" x="986"/>
        <item h="1" x="1583"/>
        <item h="1" x="2006"/>
        <item h="1" x="1396"/>
        <item h="1" x="979"/>
        <item h="1" x="995"/>
        <item h="1" x="984"/>
        <item h="1" x="1382"/>
        <item h="1" x="996"/>
        <item h="1" x="1985"/>
        <item h="1" x="2047"/>
        <item h="1" x="980"/>
        <item h="1" x="1376"/>
        <item h="1" x="994"/>
        <item h="1" x="2021"/>
        <item h="1" x="1252"/>
        <item h="1" x="2022"/>
        <item h="1" x="1264"/>
        <item h="1" x="1365"/>
        <item h="1" x="1247"/>
        <item h="1" x="2026"/>
        <item h="1" x="997"/>
        <item h="1" x="989"/>
        <item h="1" x="1167"/>
        <item h="1" x="1258"/>
        <item h="1" x="2000"/>
        <item h="1" x="1363"/>
        <item h="1" x="1909"/>
        <item h="1" x="1303"/>
        <item h="1" x="1393"/>
        <item h="1" x="1168"/>
        <item h="1" x="1383"/>
        <item h="1" x="1372"/>
        <item h="1" x="1166"/>
        <item h="1" x="1257"/>
        <item h="1" x="1298"/>
        <item h="1" x="1591"/>
        <item h="1" x="1364"/>
        <item h="1" x="1269"/>
        <item h="1" x="1982"/>
        <item h="1" x="993"/>
        <item h="1" x="1302"/>
        <item h="1" x="1592"/>
        <item h="1" x="1248"/>
        <item h="1" x="2023"/>
        <item h="1" x="1251"/>
        <item h="1" x="1386"/>
        <item h="1" x="1295"/>
        <item h="1" x="1297"/>
        <item h="1" x="1984"/>
        <item h="1" x="1259"/>
        <item h="1" x="977"/>
        <item h="1" x="987"/>
        <item h="1" x="1296"/>
        <item h="1" x="2066"/>
        <item h="1" x="988"/>
        <item h="1" x="2048"/>
        <item h="1" x="2068"/>
        <item h="1" x="1375"/>
        <item h="1" x="1373"/>
        <item h="1" x="1371"/>
        <item h="1" x="1910"/>
        <item h="1" x="1241"/>
        <item h="1" x="1374"/>
        <item h="1" x="1358"/>
        <item h="1" x="1359"/>
        <item h="1" x="2067"/>
        <item h="1" x="1169"/>
        <item h="1" x="2030"/>
        <item h="1" x="1384"/>
        <item h="1" x="1210"/>
        <item h="1" x="1366"/>
        <item h="1" x="1360"/>
        <item h="1" x="2063"/>
        <item h="1" x="1392"/>
        <item h="1" x="1299"/>
        <item h="1" x="1246"/>
        <item h="1" x="1270"/>
        <item h="1" x="1240"/>
        <item h="1" x="1243"/>
        <item h="1" x="1387"/>
        <item h="1" x="2084"/>
        <item h="1" x="1981"/>
        <item h="1" x="1370"/>
        <item h="1" x="1300"/>
        <item h="1" x="1170"/>
        <item h="1" x="1389"/>
        <item h="1" x="1388"/>
        <item h="1" x="1369"/>
        <item h="1" x="1385"/>
        <item h="1" x="2078"/>
        <item h="1" x="1234"/>
        <item h="1" x="1368"/>
        <item h="1" x="1271"/>
        <item h="1" x="1244"/>
        <item h="1" x="1361"/>
        <item h="1" x="1249"/>
        <item h="1" x="1242"/>
        <item h="1" x="1250"/>
        <item h="1" x="2083"/>
        <item h="1" x="2049"/>
        <item h="1" x="1362"/>
        <item h="1" x="2086"/>
        <item h="1" x="1391"/>
        <item h="1" x="1208"/>
        <item h="1" x="1390"/>
        <item h="1" x="2085"/>
        <item h="1" x="1367"/>
        <item h="1" x="2069"/>
        <item h="1" x="1233"/>
        <item h="1" x="1239"/>
        <item h="1" x="1245"/>
        <item h="1" x="2072"/>
        <item h="1" x="1209"/>
        <item h="1" x="1915"/>
        <item h="1" x="1238"/>
        <item h="1" x="1235"/>
        <item h="1" x="1211"/>
        <item h="1" x="2070"/>
        <item h="1" x="1232"/>
        <item h="1" x="2065"/>
        <item h="1" x="2064"/>
        <item h="1" x="2079"/>
        <item h="1" x="2054"/>
        <item h="1" x="2071"/>
        <item h="1" x="1301"/>
        <item h="1" x="2062"/>
        <item h="1" x="2031"/>
        <item h="1" x="2082"/>
        <item h="1" x="2052"/>
        <item h="1" x="2074"/>
        <item h="1" x="1206"/>
        <item h="1" x="2087"/>
        <item h="1" x="2097"/>
        <item h="1" x="1916"/>
        <item h="1" x="2081"/>
        <item h="1" x="1911"/>
        <item h="1" x="2073"/>
        <item h="1" x="2055"/>
        <item h="1" x="1205"/>
        <item h="1" x="2056"/>
        <item h="1" x="2088"/>
        <item h="1" x="2061"/>
        <item h="1" x="2096"/>
        <item h="1" x="1285"/>
        <item h="1" x="1207"/>
        <item h="1" x="2080"/>
        <item h="1" x="1291"/>
        <item h="1" x="2060"/>
        <item h="1" x="2050"/>
        <item h="1" x="2051"/>
        <item h="1" x="2059"/>
        <item h="1" x="1288"/>
        <item h="1" x="1913"/>
        <item h="1" x="1973"/>
        <item h="1" x="1286"/>
        <item h="1" x="2053"/>
        <item h="1" x="2095"/>
        <item h="1" x="2104"/>
        <item h="1" x="2075"/>
        <item h="1" x="1914"/>
        <item h="1" x="1980"/>
        <item h="1" x="2093"/>
        <item h="1" x="1272"/>
        <item h="1" x="1230"/>
        <item h="1" x="2046"/>
        <item h="1" x="1231"/>
        <item h="1" x="2076"/>
        <item h="1" x="2077"/>
        <item h="1" x="1294"/>
        <item h="1" x="1924"/>
        <item h="1" x="1273"/>
        <item h="1" x="2103"/>
        <item h="1" x="2032"/>
        <item h="1" x="2105"/>
        <item h="1" x="1203"/>
        <item h="1" x="2038"/>
        <item h="1" x="1289"/>
        <item h="1" x="1293"/>
        <item h="1" x="2094"/>
        <item h="1" x="2092"/>
        <item h="1" x="1292"/>
        <item h="1" x="1212"/>
        <item h="1" x="1200"/>
        <item h="1" x="1974"/>
        <item h="1" x="1275"/>
        <item h="1" x="1186"/>
        <item h="1" x="1274"/>
        <item h="1" x="1923"/>
        <item h="1" x="1199"/>
        <item h="1" x="2106"/>
        <item h="1" x="1922"/>
        <item h="1" x="1917"/>
        <item h="1" x="1204"/>
        <item h="1" x="2089"/>
        <item h="1" x="2039"/>
        <item h="1" x="2091"/>
        <item h="1" x="1172"/>
        <item h="1" x="1920"/>
        <item h="1" x="2098"/>
        <item h="1" x="2058"/>
        <item h="1" x="1287"/>
        <item h="1" x="2090"/>
        <item h="1" x="1182"/>
        <item h="1" x="1171"/>
        <item h="1" x="1284"/>
        <item h="1" x="1919"/>
        <item h="1" x="2036"/>
        <item h="1" x="1223"/>
        <item h="1" x="2044"/>
        <item h="1" x="1290"/>
        <item h="1" x="2034"/>
        <item h="1" x="1229"/>
        <item h="1" x="2037"/>
        <item h="1" x="1227"/>
        <item h="1" x="2045"/>
        <item h="1" x="1185"/>
        <item h="1" x="1925"/>
        <item h="1" x="1173"/>
        <item h="1" x="2102"/>
        <item h="1" x="1918"/>
        <item h="1" x="2108"/>
        <item h="1" x="2043"/>
        <item h="1" x="2099"/>
        <item h="1" x="2109"/>
        <item h="1" x="2033"/>
        <item h="1" x="2110"/>
        <item h="1" x="1282"/>
        <item h="1" x="2057"/>
        <item h="1" x="2101"/>
        <item h="1" x="1228"/>
        <item h="1" x="2035"/>
        <item h="1" x="1912"/>
        <item h="1" x="1201"/>
        <item h="1" x="1972"/>
        <item h="1" x="2107"/>
        <item h="1" x="1927"/>
        <item h="1" x="1187"/>
        <item h="1" x="2100"/>
        <item h="1" x="1218"/>
        <item h="1" x="1283"/>
        <item h="1" x="1921"/>
        <item h="1" x="1224"/>
        <item h="1" x="1977"/>
        <item h="1" x="1979"/>
        <item h="1" x="1184"/>
        <item h="1" x="1225"/>
        <item h="1" x="1222"/>
        <item h="1" x="1213"/>
        <item h="1" x="1976"/>
        <item h="1" x="1975"/>
        <item h="1" x="1183"/>
        <item h="1" x="1202"/>
        <item h="1" x="1217"/>
        <item h="1" x="2041"/>
        <item h="1" x="1926"/>
        <item h="1" x="1928"/>
        <item h="1" x="2042"/>
        <item h="1" x="1174"/>
        <item h="1" x="1279"/>
        <item h="1" x="1978"/>
        <item h="1" x="1194"/>
        <item h="1" x="1198"/>
        <item h="1" x="1971"/>
        <item h="1" x="1216"/>
        <item h="1" x="1221"/>
        <item h="1" x="1215"/>
        <item h="1" x="2040"/>
        <item h="1" x="1188"/>
        <item h="1" x="1281"/>
        <item h="1" x="1276"/>
        <item h="1" x="1214"/>
        <item h="1" x="1278"/>
        <item h="1" x="1197"/>
        <item h="1" x="1189"/>
        <item h="1" x="1277"/>
        <item h="1" x="1226"/>
        <item h="1" x="2111"/>
        <item h="1" x="1929"/>
        <item h="1" x="1192"/>
        <item h="1" x="1175"/>
        <item h="1" x="1193"/>
        <item h="1" x="1970"/>
        <item h="1" x="1969"/>
        <item h="1" x="1195"/>
        <item h="1" x="1190"/>
        <item h="1" x="1947"/>
        <item h="1" x="1196"/>
        <item h="1" x="1280"/>
        <item h="1" x="1220"/>
        <item h="1" x="1967"/>
        <item h="1" x="1191"/>
        <item h="1" x="1181"/>
        <item h="1" x="1964"/>
        <item h="1" x="1930"/>
        <item h="1" x="1931"/>
        <item h="1" x="1177"/>
        <item h="1" x="1968"/>
        <item h="1" x="1950"/>
        <item h="1" x="1952"/>
        <item h="1" x="1951"/>
        <item h="1" x="2112"/>
        <item h="1" x="1954"/>
        <item h="1" x="1962"/>
        <item h="1" x="1963"/>
        <item h="1" x="1219"/>
        <item h="1" x="1965"/>
        <item h="1" x="1932"/>
        <item h="1" x="1176"/>
        <item h="1" x="1953"/>
        <item h="1" x="1946"/>
        <item h="1" x="1966"/>
        <item h="1" x="1178"/>
        <item h="1" x="1961"/>
        <item h="1" x="1180"/>
        <item h="1" x="1179"/>
        <item h="1" x="2113"/>
        <item h="1" x="1948"/>
        <item h="1" x="1949"/>
        <item h="1" x="1960"/>
        <item h="1" x="1956"/>
        <item h="1" x="1959"/>
        <item h="1" x="2116"/>
        <item h="1" x="1945"/>
        <item h="1" x="1934"/>
        <item h="1" x="1940"/>
        <item h="1" x="2114"/>
        <item h="1" x="1958"/>
        <item h="1" x="1933"/>
        <item h="1" x="2119"/>
        <item h="1" x="2115"/>
        <item h="1" x="2117"/>
        <item h="1" x="1957"/>
        <item h="1" x="1955"/>
        <item h="1" x="1941"/>
        <item h="1" x="1944"/>
        <item h="1" x="2118"/>
        <item h="1" x="1939"/>
        <item h="1" x="1935"/>
        <item h="1" x="1938"/>
        <item h="1" x="2120"/>
        <item h="1" x="2121"/>
        <item h="1" x="2122"/>
        <item h="1" x="1943"/>
        <item h="1" x="1942"/>
        <item h="1" x="1936"/>
        <item h="1" x="1937"/>
        <item t="default"/>
      </items>
    </pivotField>
    <pivotField showAll="0"/>
    <pivotField numFmtId="2" showAll="0"/>
    <pivotField axis="axisRow" showAll="0">
      <items count="12">
        <item x="0"/>
        <item x="1"/>
        <item x="2"/>
        <item x="3"/>
        <item x="4"/>
        <item x="5"/>
        <item x="6"/>
        <item x="7"/>
        <item x="8"/>
        <item x="9"/>
        <item x="10"/>
        <item t="default"/>
      </items>
    </pivotField>
  </pivotFields>
  <rowFields count="1">
    <field x="7"/>
  </rowFields>
  <rowItems count="12">
    <i>
      <x/>
    </i>
    <i>
      <x v="1"/>
    </i>
    <i>
      <x v="2"/>
    </i>
    <i>
      <x v="3"/>
    </i>
    <i>
      <x v="4"/>
    </i>
    <i>
      <x v="5"/>
    </i>
    <i>
      <x v="6"/>
    </i>
    <i>
      <x v="7"/>
    </i>
    <i>
      <x v="8"/>
    </i>
    <i>
      <x v="9"/>
    </i>
    <i>
      <x v="10"/>
    </i>
    <i t="grand">
      <x/>
    </i>
  </rowItems>
  <colFields count="1">
    <field x="-2"/>
  </colFields>
  <colItems count="3">
    <i>
      <x/>
    </i>
    <i i="1">
      <x v="1"/>
    </i>
    <i i="2">
      <x v="2"/>
    </i>
  </colItems>
  <dataFields count="3">
    <dataField name="Max of Close" fld="4" subtotal="max" baseField="0" baseItem="0"/>
    <dataField name="Min of Close" fld="4" subtotal="min" baseField="0" baseItem="0"/>
    <dataField name="Average of Close" fld="4" subtotal="average" baseField="0" baseItem="0"/>
  </dataFields>
  <formats count="7">
    <format dxfId="17">
      <pivotArea collapsedLevelsAreSubtotals="1" fieldPosition="0">
        <references count="2">
          <reference field="4294967294" count="2" selected="0">
            <x v="0"/>
            <x v="1"/>
          </reference>
          <reference field="7" count="0"/>
        </references>
      </pivotArea>
    </format>
    <format dxfId="16">
      <pivotArea collapsedLevelsAreSubtotals="1" fieldPosition="0">
        <references count="2">
          <reference field="4294967294" count="2" selected="0">
            <x v="0"/>
            <x v="1"/>
          </reference>
          <reference field="7" count="0"/>
        </references>
      </pivotArea>
    </format>
    <format dxfId="15">
      <pivotArea collapsedLevelsAreSubtotals="1" fieldPosition="0">
        <references count="2">
          <reference field="4294967294" count="2" selected="0">
            <x v="0"/>
            <x v="1"/>
          </reference>
          <reference field="7" count="0"/>
        </references>
      </pivotArea>
    </format>
    <format dxfId="14">
      <pivotArea collapsedLevelsAreSubtotals="1" fieldPosition="0">
        <references count="2">
          <reference field="4294967294" count="1" selected="0">
            <x v="2"/>
          </reference>
          <reference field="7" count="0"/>
        </references>
      </pivotArea>
    </format>
    <format dxfId="13">
      <pivotArea collapsedLevelsAreSubtotals="1" fieldPosition="0">
        <references count="2">
          <reference field="4294967294" count="1" selected="0">
            <x v="2"/>
          </reference>
          <reference field="7" count="0"/>
        </references>
      </pivotArea>
    </format>
    <format dxfId="12">
      <pivotArea collapsedLevelsAreSubtotals="1" fieldPosition="0">
        <references count="2">
          <reference field="4294967294" count="1" selected="0">
            <x v="2"/>
          </reference>
          <reference field="7" count="0"/>
        </references>
      </pivotArea>
    </format>
    <format dxfId="11">
      <pivotArea collapsedLevelsAreSubtotals="1" fieldPosition="0">
        <references count="2">
          <reference field="4294967294" count="1" selected="0">
            <x v="2"/>
          </reference>
          <reference field="7" count="0"/>
        </references>
      </pivotArea>
    </format>
  </formats>
  <chartFormats count="6">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1"/>
          </reference>
        </references>
      </pivotArea>
    </chartFormat>
    <chartFormat chart="6"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
  <pivotTables>
    <pivotTable tabId="3" name="PivotTable1"/>
  </pivotTables>
  <data>
    <tabular pivotCacheId="1">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1" sourceName="Year ">
  <pivotTables>
    <pivotTable tabId="3" name="PivotTable2"/>
  </pivotTables>
  <data>
    <tabular pivotCacheId="2">
      <items count="11">
        <i x="0" s="1"/>
        <i x="1" s="1"/>
        <i x="2" s="1"/>
        <i x="3" s="1"/>
        <i x="4" s="1"/>
        <i x="5" s="1"/>
        <i x="6" s="1"/>
        <i x="7" s="1"/>
        <i x="8"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4"/>
  </pivotTables>
  <data>
    <tabular pivotCacheId="3">
      <items count="13">
        <i x="1" s="1"/>
        <i x="2" s="1"/>
        <i x="3" s="1"/>
        <i x="4" s="1"/>
        <i x="5" s="1"/>
        <i x="6" s="1"/>
        <i x="7" s="1"/>
        <i x="8" s="1"/>
        <i x="9" s="1"/>
        <i x="10" s="1"/>
        <i x="11" s="1"/>
        <i x="0" s="1" nd="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2" sourceName="Year ">
  <pivotTables>
    <pivotTable tabId="3" name="PivotTable3"/>
  </pivotTables>
  <data>
    <tabular pivotCacheId="2">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 cache="Slicer_Year" caption="Year " rowHeight="225425"/>
  <slicer name="Year  1" cache="Slicer_Year1" caption="Year " rowHeight="225425"/>
  <slicer name="Years" cache="Slicer_Years" caption="Years" startItem="4" rowHeight="225425"/>
  <slicer name="Year  2" cache="Slicer_Year2" caption="Year " startItem="3"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F2514"/>
  <sheetViews>
    <sheetView workbookViewId="0">
      <selection activeCell="F4" sqref="F4"/>
    </sheetView>
  </sheetViews>
  <sheetFormatPr defaultColWidth="12.5703125" defaultRowHeight="15.75" customHeight="1" x14ac:dyDescent="0.2"/>
  <cols>
    <col min="1" max="1" width="18.140625" bestFit="1" customWidth="1"/>
  </cols>
  <sheetData>
    <row r="1" spans="1:6" x14ac:dyDescent="0.2">
      <c r="A1" s="1" t="str">
        <f ca="1">IFERROR(__xludf.DUMMYFUNCTION("GOOGLEFINANCE(""NASDAQ:TSLA"",""all"",DATE(2015,10,1),TODAY(),""DAILY"")
"),"Date")</f>
        <v>Date</v>
      </c>
      <c r="B1" s="1" t="str">
        <f ca="1">IFERROR(__xludf.DUMMYFUNCTION("""COMPUTED_VALUE"""),"Open")</f>
        <v>Open</v>
      </c>
      <c r="C1" s="1" t="str">
        <f ca="1">IFERROR(__xludf.DUMMYFUNCTION("""COMPUTED_VALUE"""),"High")</f>
        <v>High</v>
      </c>
      <c r="D1" s="1" t="str">
        <f ca="1">IFERROR(__xludf.DUMMYFUNCTION("""COMPUTED_VALUE"""),"Low")</f>
        <v>Low</v>
      </c>
      <c r="E1" s="1" t="str">
        <f ca="1">IFERROR(__xludf.DUMMYFUNCTION("""COMPUTED_VALUE"""),"Close")</f>
        <v>Close</v>
      </c>
      <c r="F1" s="1" t="str">
        <f ca="1">IFERROR(__xludf.DUMMYFUNCTION("""COMPUTED_VALUE"""),"Volume")</f>
        <v>Volume</v>
      </c>
    </row>
    <row r="2" spans="1:6" x14ac:dyDescent="0.2">
      <c r="A2" s="2">
        <f ca="1">IFERROR(__xludf.DUMMYFUNCTION("""COMPUTED_VALUE"""),42278.6666666666)</f>
        <v>42278.666666666599</v>
      </c>
      <c r="B2" s="1">
        <f ca="1">IFERROR(__xludf.DUMMYFUNCTION("""COMPUTED_VALUE"""),16.5)</f>
        <v>16.5</v>
      </c>
      <c r="C2" s="1">
        <f ca="1">IFERROR(__xludf.DUMMYFUNCTION("""COMPUTED_VALUE"""),16.57)</f>
        <v>16.57</v>
      </c>
      <c r="D2" s="1">
        <f ca="1">IFERROR(__xludf.DUMMYFUNCTION("""COMPUTED_VALUE"""),15.81)</f>
        <v>15.81</v>
      </c>
      <c r="E2" s="1">
        <f ca="1">IFERROR(__xludf.DUMMYFUNCTION("""COMPUTED_VALUE"""),15.99)</f>
        <v>15.99</v>
      </c>
      <c r="F2" s="1">
        <f ca="1">IFERROR(__xludf.DUMMYFUNCTION("""COMPUTED_VALUE"""),4572964)</f>
        <v>4572964</v>
      </c>
    </row>
    <row r="3" spans="1:6" x14ac:dyDescent="0.2">
      <c r="A3" s="2">
        <f ca="1">IFERROR(__xludf.DUMMYFUNCTION("""COMPUTED_VALUE"""),42279.6666666666)</f>
        <v>42279.666666666599</v>
      </c>
      <c r="B3" s="1">
        <f ca="1">IFERROR(__xludf.DUMMYFUNCTION("""COMPUTED_VALUE"""),15.71)</f>
        <v>15.71</v>
      </c>
      <c r="C3" s="1">
        <f ca="1">IFERROR(__xludf.DUMMYFUNCTION("""COMPUTED_VALUE"""),16.51)</f>
        <v>16.510000000000002</v>
      </c>
      <c r="D3" s="1">
        <f ca="1">IFERROR(__xludf.DUMMYFUNCTION("""COMPUTED_VALUE"""),15.66)</f>
        <v>15.66</v>
      </c>
      <c r="E3" s="1">
        <f ca="1">IFERROR(__xludf.DUMMYFUNCTION("""COMPUTED_VALUE"""),16.5)</f>
        <v>16.5</v>
      </c>
      <c r="F3" s="1">
        <f ca="1">IFERROR(__xludf.DUMMYFUNCTION("""COMPUTED_VALUE"""),4423982)</f>
        <v>4423982</v>
      </c>
    </row>
    <row r="4" spans="1:6" x14ac:dyDescent="0.2">
      <c r="A4" s="2">
        <f ca="1">IFERROR(__xludf.DUMMYFUNCTION("""COMPUTED_VALUE"""),42282.6666666666)</f>
        <v>42282.666666666599</v>
      </c>
      <c r="B4" s="1">
        <f ca="1">IFERROR(__xludf.DUMMYFUNCTION("""COMPUTED_VALUE"""),16.59)</f>
        <v>16.59</v>
      </c>
      <c r="C4" s="1">
        <f ca="1">IFERROR(__xludf.DUMMYFUNCTION("""COMPUTED_VALUE"""),16.66)</f>
        <v>16.66</v>
      </c>
      <c r="D4" s="1">
        <f ca="1">IFERROR(__xludf.DUMMYFUNCTION("""COMPUTED_VALUE"""),16.28)</f>
        <v>16.28</v>
      </c>
      <c r="E4" s="1">
        <f ca="1">IFERROR(__xludf.DUMMYFUNCTION("""COMPUTED_VALUE"""),16.41)</f>
        <v>16.41</v>
      </c>
      <c r="F4" s="1">
        <f ca="1">IFERROR(__xludf.DUMMYFUNCTION("""COMPUTED_VALUE"""),3689865)</f>
        <v>3689865</v>
      </c>
    </row>
    <row r="5" spans="1:6" x14ac:dyDescent="0.2">
      <c r="A5" s="2">
        <f ca="1">IFERROR(__xludf.DUMMYFUNCTION("""COMPUTED_VALUE"""),42283.6666666666)</f>
        <v>42283.666666666599</v>
      </c>
      <c r="B5" s="1">
        <f ca="1">IFERROR(__xludf.DUMMYFUNCTION("""COMPUTED_VALUE"""),16)</f>
        <v>16</v>
      </c>
      <c r="C5" s="1">
        <f ca="1">IFERROR(__xludf.DUMMYFUNCTION("""COMPUTED_VALUE"""),16.2)</f>
        <v>16.2</v>
      </c>
      <c r="D5" s="1">
        <f ca="1">IFERROR(__xludf.DUMMYFUNCTION("""COMPUTED_VALUE"""),15.71)</f>
        <v>15.71</v>
      </c>
      <c r="E5" s="1">
        <f ca="1">IFERROR(__xludf.DUMMYFUNCTION("""COMPUTED_VALUE"""),16.1)</f>
        <v>16.100000000000001</v>
      </c>
      <c r="F5" s="1">
        <f ca="1">IFERROR(__xludf.DUMMYFUNCTION("""COMPUTED_VALUE"""),5235897)</f>
        <v>5235897</v>
      </c>
    </row>
    <row r="6" spans="1:6" x14ac:dyDescent="0.2">
      <c r="A6" s="2">
        <f ca="1">IFERROR(__xludf.DUMMYFUNCTION("""COMPUTED_VALUE"""),42284.6666666666)</f>
        <v>42284.666666666599</v>
      </c>
      <c r="B6" s="1">
        <f ca="1">IFERROR(__xludf.DUMMYFUNCTION("""COMPUTED_VALUE"""),15.78)</f>
        <v>15.78</v>
      </c>
      <c r="C6" s="1">
        <f ca="1">IFERROR(__xludf.DUMMYFUNCTION("""COMPUTED_VALUE"""),15.85)</f>
        <v>15.85</v>
      </c>
      <c r="D6" s="1">
        <f ca="1">IFERROR(__xludf.DUMMYFUNCTION("""COMPUTED_VALUE"""),15.27)</f>
        <v>15.27</v>
      </c>
      <c r="E6" s="1">
        <f ca="1">IFERROR(__xludf.DUMMYFUNCTION("""COMPUTED_VALUE"""),15.46)</f>
        <v>15.46</v>
      </c>
      <c r="F6" s="1">
        <f ca="1">IFERROR(__xludf.DUMMYFUNCTION("""COMPUTED_VALUE"""),6813959)</f>
        <v>6813959</v>
      </c>
    </row>
    <row r="7" spans="1:6" x14ac:dyDescent="0.2">
      <c r="A7" s="2">
        <f ca="1">IFERROR(__xludf.DUMMYFUNCTION("""COMPUTED_VALUE"""),42285.6666666666)</f>
        <v>42285.666666666599</v>
      </c>
      <c r="B7" s="1">
        <f ca="1">IFERROR(__xludf.DUMMYFUNCTION("""COMPUTED_VALUE"""),15.34)</f>
        <v>15.34</v>
      </c>
      <c r="C7" s="1">
        <f ca="1">IFERROR(__xludf.DUMMYFUNCTION("""COMPUTED_VALUE"""),15.38)</f>
        <v>15.38</v>
      </c>
      <c r="D7" s="1">
        <f ca="1">IFERROR(__xludf.DUMMYFUNCTION("""COMPUTED_VALUE"""),14.75)</f>
        <v>14.75</v>
      </c>
      <c r="E7" s="1">
        <f ca="1">IFERROR(__xludf.DUMMYFUNCTION("""COMPUTED_VALUE"""),15.11)</f>
        <v>15.11</v>
      </c>
      <c r="F7" s="1">
        <f ca="1">IFERROR(__xludf.DUMMYFUNCTION("""COMPUTED_VALUE"""),6133216)</f>
        <v>6133216</v>
      </c>
    </row>
    <row r="8" spans="1:6" x14ac:dyDescent="0.2">
      <c r="A8" s="2">
        <f ca="1">IFERROR(__xludf.DUMMYFUNCTION("""COMPUTED_VALUE"""),42286.6666666666)</f>
        <v>42286.666666666599</v>
      </c>
      <c r="B8" s="1">
        <f ca="1">IFERROR(__xludf.DUMMYFUNCTION("""COMPUTED_VALUE"""),14.73)</f>
        <v>14.73</v>
      </c>
      <c r="C8" s="1">
        <f ca="1">IFERROR(__xludf.DUMMYFUNCTION("""COMPUTED_VALUE"""),14.96)</f>
        <v>14.96</v>
      </c>
      <c r="D8" s="1">
        <f ca="1">IFERROR(__xludf.DUMMYFUNCTION("""COMPUTED_VALUE"""),14.56)</f>
        <v>14.56</v>
      </c>
      <c r="E8" s="1">
        <f ca="1">IFERROR(__xludf.DUMMYFUNCTION("""COMPUTED_VALUE"""),14.71)</f>
        <v>14.71</v>
      </c>
      <c r="F8" s="1">
        <f ca="1">IFERROR(__xludf.DUMMYFUNCTION("""COMPUTED_VALUE"""),6158370)</f>
        <v>6158370</v>
      </c>
    </row>
    <row r="9" spans="1:6" x14ac:dyDescent="0.2">
      <c r="A9" s="2">
        <f ca="1">IFERROR(__xludf.DUMMYFUNCTION("""COMPUTED_VALUE"""),42289.6666666666)</f>
        <v>42289.666666666599</v>
      </c>
      <c r="B9" s="1">
        <f ca="1">IFERROR(__xludf.DUMMYFUNCTION("""COMPUTED_VALUE"""),14.87)</f>
        <v>14.87</v>
      </c>
      <c r="C9" s="1">
        <f ca="1">IFERROR(__xludf.DUMMYFUNCTION("""COMPUTED_VALUE"""),14.87)</f>
        <v>14.87</v>
      </c>
      <c r="D9" s="1">
        <f ca="1">IFERROR(__xludf.DUMMYFUNCTION("""COMPUTED_VALUE"""),14.35)</f>
        <v>14.35</v>
      </c>
      <c r="E9" s="1">
        <f ca="1">IFERROR(__xludf.DUMMYFUNCTION("""COMPUTED_VALUE"""),14.37)</f>
        <v>14.37</v>
      </c>
      <c r="F9" s="1">
        <f ca="1">IFERROR(__xludf.DUMMYFUNCTION("""COMPUTED_VALUE"""),3836303)</f>
        <v>3836303</v>
      </c>
    </row>
    <row r="10" spans="1:6" x14ac:dyDescent="0.2">
      <c r="A10" s="2">
        <f ca="1">IFERROR(__xludf.DUMMYFUNCTION("""COMPUTED_VALUE"""),42290.6666666666)</f>
        <v>42290.666666666599</v>
      </c>
      <c r="B10" s="1">
        <f ca="1">IFERROR(__xludf.DUMMYFUNCTION("""COMPUTED_VALUE"""),14.22)</f>
        <v>14.22</v>
      </c>
      <c r="C10" s="1">
        <f ca="1">IFERROR(__xludf.DUMMYFUNCTION("""COMPUTED_VALUE"""),14.83)</f>
        <v>14.83</v>
      </c>
      <c r="D10" s="1">
        <f ca="1">IFERROR(__xludf.DUMMYFUNCTION("""COMPUTED_VALUE"""),14.08)</f>
        <v>14.08</v>
      </c>
      <c r="E10" s="1">
        <f ca="1">IFERROR(__xludf.DUMMYFUNCTION("""COMPUTED_VALUE"""),14.62)</f>
        <v>14.62</v>
      </c>
      <c r="F10" s="1">
        <f ca="1">IFERROR(__xludf.DUMMYFUNCTION("""COMPUTED_VALUE"""),5171535)</f>
        <v>5171535</v>
      </c>
    </row>
    <row r="11" spans="1:6" x14ac:dyDescent="0.2">
      <c r="A11" s="2">
        <f ca="1">IFERROR(__xludf.DUMMYFUNCTION("""COMPUTED_VALUE"""),42291.6666666666)</f>
        <v>42291.666666666599</v>
      </c>
      <c r="B11" s="1">
        <f ca="1">IFERROR(__xludf.DUMMYFUNCTION("""COMPUTED_VALUE"""),14.71)</f>
        <v>14.71</v>
      </c>
      <c r="C11" s="1">
        <f ca="1">IFERROR(__xludf.DUMMYFUNCTION("""COMPUTED_VALUE"""),14.73)</f>
        <v>14.73</v>
      </c>
      <c r="D11" s="1">
        <f ca="1">IFERROR(__xludf.DUMMYFUNCTION("""COMPUTED_VALUE"""),14.36)</f>
        <v>14.36</v>
      </c>
      <c r="E11" s="1">
        <f ca="1">IFERROR(__xludf.DUMMYFUNCTION("""COMPUTED_VALUE"""),14.46)</f>
        <v>14.46</v>
      </c>
      <c r="F11" s="1">
        <f ca="1">IFERROR(__xludf.DUMMYFUNCTION("""COMPUTED_VALUE"""),3104446)</f>
        <v>3104446</v>
      </c>
    </row>
    <row r="12" spans="1:6" x14ac:dyDescent="0.2">
      <c r="A12" s="2">
        <f ca="1">IFERROR(__xludf.DUMMYFUNCTION("""COMPUTED_VALUE"""),42292.6666666666)</f>
        <v>42292.666666666599</v>
      </c>
      <c r="B12" s="1">
        <f ca="1">IFERROR(__xludf.DUMMYFUNCTION("""COMPUTED_VALUE"""),14.43)</f>
        <v>14.43</v>
      </c>
      <c r="C12" s="1">
        <f ca="1">IFERROR(__xludf.DUMMYFUNCTION("""COMPUTED_VALUE"""),14.78)</f>
        <v>14.78</v>
      </c>
      <c r="D12" s="1">
        <f ca="1">IFERROR(__xludf.DUMMYFUNCTION("""COMPUTED_VALUE"""),14.25)</f>
        <v>14.25</v>
      </c>
      <c r="E12" s="1">
        <f ca="1">IFERROR(__xludf.DUMMYFUNCTION("""COMPUTED_VALUE"""),14.75)</f>
        <v>14.75</v>
      </c>
      <c r="F12" s="1">
        <f ca="1">IFERROR(__xludf.DUMMYFUNCTION("""COMPUTED_VALUE"""),2844233)</f>
        <v>2844233</v>
      </c>
    </row>
    <row r="13" spans="1:6" x14ac:dyDescent="0.2">
      <c r="A13" s="2">
        <f ca="1">IFERROR(__xludf.DUMMYFUNCTION("""COMPUTED_VALUE"""),42293.6666666666)</f>
        <v>42293.666666666599</v>
      </c>
      <c r="B13" s="1">
        <f ca="1">IFERROR(__xludf.DUMMYFUNCTION("""COMPUTED_VALUE"""),14.87)</f>
        <v>14.87</v>
      </c>
      <c r="C13" s="1">
        <f ca="1">IFERROR(__xludf.DUMMYFUNCTION("""COMPUTED_VALUE"""),15.37)</f>
        <v>15.37</v>
      </c>
      <c r="D13" s="1">
        <f ca="1">IFERROR(__xludf.DUMMYFUNCTION("""COMPUTED_VALUE"""),14.86)</f>
        <v>14.86</v>
      </c>
      <c r="E13" s="1">
        <f ca="1">IFERROR(__xludf.DUMMYFUNCTION("""COMPUTED_VALUE"""),15.13)</f>
        <v>15.13</v>
      </c>
      <c r="F13" s="1">
        <f ca="1">IFERROR(__xludf.DUMMYFUNCTION("""COMPUTED_VALUE"""),4334493)</f>
        <v>4334493</v>
      </c>
    </row>
    <row r="14" spans="1:6" x14ac:dyDescent="0.2">
      <c r="A14" s="2">
        <f ca="1">IFERROR(__xludf.DUMMYFUNCTION("""COMPUTED_VALUE"""),42296.6666666666)</f>
        <v>42296.666666666599</v>
      </c>
      <c r="B14" s="1">
        <f ca="1">IFERROR(__xludf.DUMMYFUNCTION("""COMPUTED_VALUE"""),15.1)</f>
        <v>15.1</v>
      </c>
      <c r="C14" s="1">
        <f ca="1">IFERROR(__xludf.DUMMYFUNCTION("""COMPUTED_VALUE"""),15.41)</f>
        <v>15.41</v>
      </c>
      <c r="D14" s="1">
        <f ca="1">IFERROR(__xludf.DUMMYFUNCTION("""COMPUTED_VALUE"""),15)</f>
        <v>15</v>
      </c>
      <c r="E14" s="1">
        <f ca="1">IFERROR(__xludf.DUMMYFUNCTION("""COMPUTED_VALUE"""),15.21)</f>
        <v>15.21</v>
      </c>
      <c r="F14" s="1">
        <f ca="1">IFERROR(__xludf.DUMMYFUNCTION("""COMPUTED_VALUE"""),2507895)</f>
        <v>2507895</v>
      </c>
    </row>
    <row r="15" spans="1:6" x14ac:dyDescent="0.2">
      <c r="A15" s="2">
        <f ca="1">IFERROR(__xludf.DUMMYFUNCTION("""COMPUTED_VALUE"""),42297.6666666666)</f>
        <v>42297.666666666599</v>
      </c>
      <c r="B15" s="1">
        <f ca="1">IFERROR(__xludf.DUMMYFUNCTION("""COMPUTED_VALUE"""),15.18)</f>
        <v>15.18</v>
      </c>
      <c r="C15" s="1">
        <f ca="1">IFERROR(__xludf.DUMMYFUNCTION("""COMPUTED_VALUE"""),15.24)</f>
        <v>15.24</v>
      </c>
      <c r="D15" s="1">
        <f ca="1">IFERROR(__xludf.DUMMYFUNCTION("""COMPUTED_VALUE"""),13.47)</f>
        <v>13.47</v>
      </c>
      <c r="E15" s="1">
        <f ca="1">IFERROR(__xludf.DUMMYFUNCTION("""COMPUTED_VALUE"""),14.2)</f>
        <v>14.2</v>
      </c>
      <c r="F15" s="1">
        <f ca="1">IFERROR(__xludf.DUMMYFUNCTION("""COMPUTED_VALUE"""),14900047)</f>
        <v>14900047</v>
      </c>
    </row>
    <row r="16" spans="1:6" x14ac:dyDescent="0.2">
      <c r="A16" s="2">
        <f ca="1">IFERROR(__xludf.DUMMYFUNCTION("""COMPUTED_VALUE"""),42298.6666666666)</f>
        <v>42298.666666666599</v>
      </c>
      <c r="B16" s="1">
        <f ca="1">IFERROR(__xludf.DUMMYFUNCTION("""COMPUTED_VALUE"""),14.13)</f>
        <v>14.13</v>
      </c>
      <c r="C16" s="1">
        <f ca="1">IFERROR(__xludf.DUMMYFUNCTION("""COMPUTED_VALUE"""),14.32)</f>
        <v>14.32</v>
      </c>
      <c r="D16" s="1">
        <f ca="1">IFERROR(__xludf.DUMMYFUNCTION("""COMPUTED_VALUE"""),13.92)</f>
        <v>13.92</v>
      </c>
      <c r="E16" s="1">
        <f ca="1">IFERROR(__xludf.DUMMYFUNCTION("""COMPUTED_VALUE"""),14.01)</f>
        <v>14.01</v>
      </c>
      <c r="F16" s="1">
        <f ca="1">IFERROR(__xludf.DUMMYFUNCTION("""COMPUTED_VALUE"""),4183471)</f>
        <v>4183471</v>
      </c>
    </row>
    <row r="17" spans="1:6" x14ac:dyDescent="0.2">
      <c r="A17" s="2">
        <f ca="1">IFERROR(__xludf.DUMMYFUNCTION("""COMPUTED_VALUE"""),42299.6666666666)</f>
        <v>42299.666666666599</v>
      </c>
      <c r="B17" s="1">
        <f ca="1">IFERROR(__xludf.DUMMYFUNCTION("""COMPUTED_VALUE"""),14.1)</f>
        <v>14.1</v>
      </c>
      <c r="C17" s="1">
        <f ca="1">IFERROR(__xludf.DUMMYFUNCTION("""COMPUTED_VALUE"""),14.38)</f>
        <v>14.38</v>
      </c>
      <c r="D17" s="1">
        <f ca="1">IFERROR(__xludf.DUMMYFUNCTION("""COMPUTED_VALUE"""),13.96)</f>
        <v>13.96</v>
      </c>
      <c r="E17" s="1">
        <f ca="1">IFERROR(__xludf.DUMMYFUNCTION("""COMPUTED_VALUE"""),14.11)</f>
        <v>14.11</v>
      </c>
      <c r="F17" s="1">
        <f ca="1">IFERROR(__xludf.DUMMYFUNCTION("""COMPUTED_VALUE"""),2825159)</f>
        <v>2825159</v>
      </c>
    </row>
    <row r="18" spans="1:6" x14ac:dyDescent="0.2">
      <c r="A18" s="2">
        <f ca="1">IFERROR(__xludf.DUMMYFUNCTION("""COMPUTED_VALUE"""),42300.6666666666)</f>
        <v>42300.666666666599</v>
      </c>
      <c r="B18" s="1">
        <f ca="1">IFERROR(__xludf.DUMMYFUNCTION("""COMPUTED_VALUE"""),14.33)</f>
        <v>14.33</v>
      </c>
      <c r="C18" s="1">
        <f ca="1">IFERROR(__xludf.DUMMYFUNCTION("""COMPUTED_VALUE"""),14.36)</f>
        <v>14.36</v>
      </c>
      <c r="D18" s="1">
        <f ca="1">IFERROR(__xludf.DUMMYFUNCTION("""COMPUTED_VALUE"""),13.85)</f>
        <v>13.85</v>
      </c>
      <c r="E18" s="1">
        <f ca="1">IFERROR(__xludf.DUMMYFUNCTION("""COMPUTED_VALUE"""),13.94)</f>
        <v>13.94</v>
      </c>
      <c r="F18" s="1">
        <f ca="1">IFERROR(__xludf.DUMMYFUNCTION("""COMPUTED_VALUE"""),4235462)</f>
        <v>4235462</v>
      </c>
    </row>
    <row r="19" spans="1:6" x14ac:dyDescent="0.2">
      <c r="A19" s="2">
        <f ca="1">IFERROR(__xludf.DUMMYFUNCTION("""COMPUTED_VALUE"""),42303.6666666666)</f>
        <v>42303.666666666599</v>
      </c>
      <c r="B19" s="1">
        <f ca="1">IFERROR(__xludf.DUMMYFUNCTION("""COMPUTED_VALUE"""),14.09)</f>
        <v>14.09</v>
      </c>
      <c r="C19" s="1">
        <f ca="1">IFERROR(__xludf.DUMMYFUNCTION("""COMPUTED_VALUE"""),14.39)</f>
        <v>14.39</v>
      </c>
      <c r="D19" s="1">
        <f ca="1">IFERROR(__xludf.DUMMYFUNCTION("""COMPUTED_VALUE"""),14)</f>
        <v>14</v>
      </c>
      <c r="E19" s="1">
        <f ca="1">IFERROR(__xludf.DUMMYFUNCTION("""COMPUTED_VALUE"""),14.35)</f>
        <v>14.35</v>
      </c>
      <c r="F19" s="1">
        <f ca="1">IFERROR(__xludf.DUMMYFUNCTION("""COMPUTED_VALUE"""),3391438)</f>
        <v>3391438</v>
      </c>
    </row>
    <row r="20" spans="1:6" x14ac:dyDescent="0.2">
      <c r="A20" s="2">
        <f ca="1">IFERROR(__xludf.DUMMYFUNCTION("""COMPUTED_VALUE"""),42304.6666666666)</f>
        <v>42304.666666666599</v>
      </c>
      <c r="B20" s="1">
        <f ca="1">IFERROR(__xludf.DUMMYFUNCTION("""COMPUTED_VALUE"""),14.32)</f>
        <v>14.32</v>
      </c>
      <c r="C20" s="1">
        <f ca="1">IFERROR(__xludf.DUMMYFUNCTION("""COMPUTED_VALUE"""),14.47)</f>
        <v>14.47</v>
      </c>
      <c r="D20" s="1">
        <f ca="1">IFERROR(__xludf.DUMMYFUNCTION("""COMPUTED_VALUE"""),13.83)</f>
        <v>13.83</v>
      </c>
      <c r="E20" s="1">
        <f ca="1">IFERROR(__xludf.DUMMYFUNCTION("""COMPUTED_VALUE"""),14.02)</f>
        <v>14.02</v>
      </c>
      <c r="F20" s="1">
        <f ca="1">IFERROR(__xludf.DUMMYFUNCTION("""COMPUTED_VALUE"""),3519449)</f>
        <v>3519449</v>
      </c>
    </row>
    <row r="21" spans="1:6" x14ac:dyDescent="0.2">
      <c r="A21" s="2">
        <f ca="1">IFERROR(__xludf.DUMMYFUNCTION("""COMPUTED_VALUE"""),42305.6666666666)</f>
        <v>42305.666666666599</v>
      </c>
      <c r="B21" s="1">
        <f ca="1">IFERROR(__xludf.DUMMYFUNCTION("""COMPUTED_VALUE"""),14.09)</f>
        <v>14.09</v>
      </c>
      <c r="C21" s="1">
        <f ca="1">IFERROR(__xludf.DUMMYFUNCTION("""COMPUTED_VALUE"""),14.23)</f>
        <v>14.23</v>
      </c>
      <c r="D21" s="1">
        <f ca="1">IFERROR(__xludf.DUMMYFUNCTION("""COMPUTED_VALUE"""),13.89)</f>
        <v>13.89</v>
      </c>
      <c r="E21" s="1">
        <f ca="1">IFERROR(__xludf.DUMMYFUNCTION("""COMPUTED_VALUE"""),14.2)</f>
        <v>14.2</v>
      </c>
      <c r="F21" s="1">
        <f ca="1">IFERROR(__xludf.DUMMYFUNCTION("""COMPUTED_VALUE"""),2728593)</f>
        <v>2728593</v>
      </c>
    </row>
    <row r="22" spans="1:6" x14ac:dyDescent="0.2">
      <c r="A22" s="2">
        <f ca="1">IFERROR(__xludf.DUMMYFUNCTION("""COMPUTED_VALUE"""),42306.6666666666)</f>
        <v>42306.666666666599</v>
      </c>
      <c r="B22" s="1">
        <f ca="1">IFERROR(__xludf.DUMMYFUNCTION("""COMPUTED_VALUE"""),14.12)</f>
        <v>14.12</v>
      </c>
      <c r="C22" s="1">
        <f ca="1">IFERROR(__xludf.DUMMYFUNCTION("""COMPUTED_VALUE"""),14.25)</f>
        <v>14.25</v>
      </c>
      <c r="D22" s="1">
        <f ca="1">IFERROR(__xludf.DUMMYFUNCTION("""COMPUTED_VALUE"""),14.04)</f>
        <v>14.04</v>
      </c>
      <c r="E22" s="1">
        <f ca="1">IFERROR(__xludf.DUMMYFUNCTION("""COMPUTED_VALUE"""),14.11)</f>
        <v>14.11</v>
      </c>
      <c r="F22" s="1">
        <f ca="1">IFERROR(__xludf.DUMMYFUNCTION("""COMPUTED_VALUE"""),1805032)</f>
        <v>1805032</v>
      </c>
    </row>
    <row r="23" spans="1:6" x14ac:dyDescent="0.2">
      <c r="A23" s="2">
        <f ca="1">IFERROR(__xludf.DUMMYFUNCTION("""COMPUTED_VALUE"""),42307.6666666666)</f>
        <v>42307.666666666599</v>
      </c>
      <c r="B23" s="1">
        <f ca="1">IFERROR(__xludf.DUMMYFUNCTION("""COMPUTED_VALUE"""),14.03)</f>
        <v>14.03</v>
      </c>
      <c r="C23" s="1">
        <f ca="1">IFERROR(__xludf.DUMMYFUNCTION("""COMPUTED_VALUE"""),14.11)</f>
        <v>14.11</v>
      </c>
      <c r="D23" s="1">
        <f ca="1">IFERROR(__xludf.DUMMYFUNCTION("""COMPUTED_VALUE"""),13.59)</f>
        <v>13.59</v>
      </c>
      <c r="E23" s="1">
        <f ca="1">IFERROR(__xludf.DUMMYFUNCTION("""COMPUTED_VALUE"""),13.8)</f>
        <v>13.8</v>
      </c>
      <c r="F23" s="1">
        <f ca="1">IFERROR(__xludf.DUMMYFUNCTION("""COMPUTED_VALUE"""),4438901)</f>
        <v>4438901</v>
      </c>
    </row>
    <row r="24" spans="1:6" x14ac:dyDescent="0.2">
      <c r="A24" s="2">
        <f ca="1">IFERROR(__xludf.DUMMYFUNCTION("""COMPUTED_VALUE"""),42310.6666666666)</f>
        <v>42310.666666666599</v>
      </c>
      <c r="B24" s="1">
        <f ca="1">IFERROR(__xludf.DUMMYFUNCTION("""COMPUTED_VALUE"""),13.93)</f>
        <v>13.93</v>
      </c>
      <c r="C24" s="1">
        <f ca="1">IFERROR(__xludf.DUMMYFUNCTION("""COMPUTED_VALUE"""),14.39)</f>
        <v>14.39</v>
      </c>
      <c r="D24" s="1">
        <f ca="1">IFERROR(__xludf.DUMMYFUNCTION("""COMPUTED_VALUE"""),13.81)</f>
        <v>13.81</v>
      </c>
      <c r="E24" s="1">
        <f ca="1">IFERROR(__xludf.DUMMYFUNCTION("""COMPUTED_VALUE"""),14.25)</f>
        <v>14.25</v>
      </c>
      <c r="F24" s="1">
        <f ca="1">IFERROR(__xludf.DUMMYFUNCTION("""COMPUTED_VALUE"""),3927944)</f>
        <v>3927944</v>
      </c>
    </row>
    <row r="25" spans="1:6" x14ac:dyDescent="0.2">
      <c r="A25" s="2">
        <f ca="1">IFERROR(__xludf.DUMMYFUNCTION("""COMPUTED_VALUE"""),42311.6666666666)</f>
        <v>42311.666666666599</v>
      </c>
      <c r="B25" s="1">
        <f ca="1">IFERROR(__xludf.DUMMYFUNCTION("""COMPUTED_VALUE"""),14.26)</f>
        <v>14.26</v>
      </c>
      <c r="C25" s="1">
        <f ca="1">IFERROR(__xludf.DUMMYFUNCTION("""COMPUTED_VALUE"""),14.3)</f>
        <v>14.3</v>
      </c>
      <c r="D25" s="1">
        <f ca="1">IFERROR(__xludf.DUMMYFUNCTION("""COMPUTED_VALUE"""),13.85)</f>
        <v>13.85</v>
      </c>
      <c r="E25" s="1">
        <f ca="1">IFERROR(__xludf.DUMMYFUNCTION("""COMPUTED_VALUE"""),13.89)</f>
        <v>13.89</v>
      </c>
      <c r="F25" s="1">
        <f ca="1">IFERROR(__xludf.DUMMYFUNCTION("""COMPUTED_VALUE"""),8332486)</f>
        <v>8332486</v>
      </c>
    </row>
    <row r="26" spans="1:6" x14ac:dyDescent="0.2">
      <c r="A26" s="2">
        <f ca="1">IFERROR(__xludf.DUMMYFUNCTION("""COMPUTED_VALUE"""),42312.6666666666)</f>
        <v>42312.666666666599</v>
      </c>
      <c r="B26" s="1">
        <f ca="1">IFERROR(__xludf.DUMMYFUNCTION("""COMPUTED_VALUE"""),15.13)</f>
        <v>15.13</v>
      </c>
      <c r="C26" s="1">
        <f ca="1">IFERROR(__xludf.DUMMYFUNCTION("""COMPUTED_VALUE"""),15.52)</f>
        <v>15.52</v>
      </c>
      <c r="D26" s="1">
        <f ca="1">IFERROR(__xludf.DUMMYFUNCTION("""COMPUTED_VALUE"""),15.01)</f>
        <v>15.01</v>
      </c>
      <c r="E26" s="1">
        <f ca="1">IFERROR(__xludf.DUMMYFUNCTION("""COMPUTED_VALUE"""),15.44)</f>
        <v>15.44</v>
      </c>
      <c r="F26" s="1">
        <f ca="1">IFERROR(__xludf.DUMMYFUNCTION("""COMPUTED_VALUE"""),12726366)</f>
        <v>12726366</v>
      </c>
    </row>
    <row r="27" spans="1:6" x14ac:dyDescent="0.2">
      <c r="A27" s="2">
        <f ca="1">IFERROR(__xludf.DUMMYFUNCTION("""COMPUTED_VALUE"""),42313.6666666666)</f>
        <v>42313.666666666599</v>
      </c>
      <c r="B27" s="1">
        <f ca="1">IFERROR(__xludf.DUMMYFUNCTION("""COMPUTED_VALUE"""),15.37)</f>
        <v>15.37</v>
      </c>
      <c r="C27" s="1">
        <f ca="1">IFERROR(__xludf.DUMMYFUNCTION("""COMPUTED_VALUE"""),15.64)</f>
        <v>15.64</v>
      </c>
      <c r="D27" s="1">
        <f ca="1">IFERROR(__xludf.DUMMYFUNCTION("""COMPUTED_VALUE"""),15.28)</f>
        <v>15.28</v>
      </c>
      <c r="E27" s="1">
        <f ca="1">IFERROR(__xludf.DUMMYFUNCTION("""COMPUTED_VALUE"""),15.45)</f>
        <v>15.45</v>
      </c>
      <c r="F27" s="1">
        <f ca="1">IFERROR(__xludf.DUMMYFUNCTION("""COMPUTED_VALUE"""),4496843)</f>
        <v>4496843</v>
      </c>
    </row>
    <row r="28" spans="1:6" x14ac:dyDescent="0.2">
      <c r="A28" s="2">
        <f ca="1">IFERROR(__xludf.DUMMYFUNCTION("""COMPUTED_VALUE"""),42314.6666666666)</f>
        <v>42314.666666666599</v>
      </c>
      <c r="B28" s="1">
        <f ca="1">IFERROR(__xludf.DUMMYFUNCTION("""COMPUTED_VALUE"""),15.38)</f>
        <v>15.38</v>
      </c>
      <c r="C28" s="1">
        <f ca="1">IFERROR(__xludf.DUMMYFUNCTION("""COMPUTED_VALUE"""),15.56)</f>
        <v>15.56</v>
      </c>
      <c r="D28" s="1">
        <f ca="1">IFERROR(__xludf.DUMMYFUNCTION("""COMPUTED_VALUE"""),15.3)</f>
        <v>15.3</v>
      </c>
      <c r="E28" s="1">
        <f ca="1">IFERROR(__xludf.DUMMYFUNCTION("""COMPUTED_VALUE"""),15.49)</f>
        <v>15.49</v>
      </c>
      <c r="F28" s="1">
        <f ca="1">IFERROR(__xludf.DUMMYFUNCTION("""COMPUTED_VALUE"""),2445293)</f>
        <v>2445293</v>
      </c>
    </row>
    <row r="29" spans="1:6" x14ac:dyDescent="0.2">
      <c r="A29" s="2">
        <f ca="1">IFERROR(__xludf.DUMMYFUNCTION("""COMPUTED_VALUE"""),42317.6666666666)</f>
        <v>42317.666666666599</v>
      </c>
      <c r="B29" s="1">
        <f ca="1">IFERROR(__xludf.DUMMYFUNCTION("""COMPUTED_VALUE"""),15.53)</f>
        <v>15.53</v>
      </c>
      <c r="C29" s="1">
        <f ca="1">IFERROR(__xludf.DUMMYFUNCTION("""COMPUTED_VALUE"""),15.53)</f>
        <v>15.53</v>
      </c>
      <c r="D29" s="1">
        <f ca="1">IFERROR(__xludf.DUMMYFUNCTION("""COMPUTED_VALUE"""),14.95)</f>
        <v>14.95</v>
      </c>
      <c r="E29" s="1">
        <f ca="1">IFERROR(__xludf.DUMMYFUNCTION("""COMPUTED_VALUE"""),15.02)</f>
        <v>15.02</v>
      </c>
      <c r="F29" s="1">
        <f ca="1">IFERROR(__xludf.DUMMYFUNCTION("""COMPUTED_VALUE"""),3850860)</f>
        <v>3850860</v>
      </c>
    </row>
    <row r="30" spans="1:6" x14ac:dyDescent="0.2">
      <c r="A30" s="2">
        <f ca="1">IFERROR(__xludf.DUMMYFUNCTION("""COMPUTED_VALUE"""),42318.6666666666)</f>
        <v>42318.666666666599</v>
      </c>
      <c r="B30" s="1">
        <f ca="1">IFERROR(__xludf.DUMMYFUNCTION("""COMPUTED_VALUE"""),14.9)</f>
        <v>14.9</v>
      </c>
      <c r="C30" s="1">
        <f ca="1">IFERROR(__xludf.DUMMYFUNCTION("""COMPUTED_VALUE"""),14.91)</f>
        <v>14.91</v>
      </c>
      <c r="D30" s="1">
        <f ca="1">IFERROR(__xludf.DUMMYFUNCTION("""COMPUTED_VALUE"""),14.41)</f>
        <v>14.41</v>
      </c>
      <c r="E30" s="1">
        <f ca="1">IFERROR(__xludf.DUMMYFUNCTION("""COMPUTED_VALUE"""),14.43)</f>
        <v>14.43</v>
      </c>
      <c r="F30" s="1">
        <f ca="1">IFERROR(__xludf.DUMMYFUNCTION("""COMPUTED_VALUE"""),4617007)</f>
        <v>4617007</v>
      </c>
    </row>
    <row r="31" spans="1:6" x14ac:dyDescent="0.2">
      <c r="A31" s="2">
        <f ca="1">IFERROR(__xludf.DUMMYFUNCTION("""COMPUTED_VALUE"""),42319.6666666666)</f>
        <v>42319.666666666599</v>
      </c>
      <c r="B31" s="1">
        <f ca="1">IFERROR(__xludf.DUMMYFUNCTION("""COMPUTED_VALUE"""),14.52)</f>
        <v>14.52</v>
      </c>
      <c r="C31" s="1">
        <f ca="1">IFERROR(__xludf.DUMMYFUNCTION("""COMPUTED_VALUE"""),14.63)</f>
        <v>14.63</v>
      </c>
      <c r="D31" s="1">
        <f ca="1">IFERROR(__xludf.DUMMYFUNCTION("""COMPUTED_VALUE"""),14.24)</f>
        <v>14.24</v>
      </c>
      <c r="E31" s="1">
        <f ca="1">IFERROR(__xludf.DUMMYFUNCTION("""COMPUTED_VALUE"""),14.61)</f>
        <v>14.61</v>
      </c>
      <c r="F31" s="1">
        <f ca="1">IFERROR(__xludf.DUMMYFUNCTION("""COMPUTED_VALUE"""),3347806)</f>
        <v>3347806</v>
      </c>
    </row>
    <row r="32" spans="1:6" x14ac:dyDescent="0.2">
      <c r="A32" s="2">
        <f ca="1">IFERROR(__xludf.DUMMYFUNCTION("""COMPUTED_VALUE"""),42320.6666666666)</f>
        <v>42320.666666666599</v>
      </c>
      <c r="B32" s="1">
        <f ca="1">IFERROR(__xludf.DUMMYFUNCTION("""COMPUTED_VALUE"""),14.52)</f>
        <v>14.52</v>
      </c>
      <c r="C32" s="1">
        <f ca="1">IFERROR(__xludf.DUMMYFUNCTION("""COMPUTED_VALUE"""),14.6)</f>
        <v>14.6</v>
      </c>
      <c r="D32" s="1">
        <f ca="1">IFERROR(__xludf.DUMMYFUNCTION("""COMPUTED_VALUE"""),14.18)</f>
        <v>14.18</v>
      </c>
      <c r="E32" s="1">
        <f ca="1">IFERROR(__xludf.DUMMYFUNCTION("""COMPUTED_VALUE"""),14.2)</f>
        <v>14.2</v>
      </c>
      <c r="F32" s="1">
        <f ca="1">IFERROR(__xludf.DUMMYFUNCTION("""COMPUTED_VALUE"""),2915900)</f>
        <v>2915900</v>
      </c>
    </row>
    <row r="33" spans="1:6" x14ac:dyDescent="0.2">
      <c r="A33" s="2">
        <f ca="1">IFERROR(__xludf.DUMMYFUNCTION("""COMPUTED_VALUE"""),42321.6666666666)</f>
        <v>42321.666666666599</v>
      </c>
      <c r="B33" s="1">
        <f ca="1">IFERROR(__xludf.DUMMYFUNCTION("""COMPUTED_VALUE"""),14.2)</f>
        <v>14.2</v>
      </c>
      <c r="C33" s="1">
        <f ca="1">IFERROR(__xludf.DUMMYFUNCTION("""COMPUTED_VALUE"""),14.2)</f>
        <v>14.2</v>
      </c>
      <c r="D33" s="1">
        <f ca="1">IFERROR(__xludf.DUMMYFUNCTION("""COMPUTED_VALUE"""),13.77)</f>
        <v>13.77</v>
      </c>
      <c r="E33" s="1">
        <f ca="1">IFERROR(__xludf.DUMMYFUNCTION("""COMPUTED_VALUE"""),13.81)</f>
        <v>13.81</v>
      </c>
      <c r="F33" s="1">
        <f ca="1">IFERROR(__xludf.DUMMYFUNCTION("""COMPUTED_VALUE"""),3430327)</f>
        <v>3430327</v>
      </c>
    </row>
    <row r="34" spans="1:6" x14ac:dyDescent="0.2">
      <c r="A34" s="2">
        <f ca="1">IFERROR(__xludf.DUMMYFUNCTION("""COMPUTED_VALUE"""),42324.6666666666)</f>
        <v>42324.666666666599</v>
      </c>
      <c r="B34" s="1">
        <f ca="1">IFERROR(__xludf.DUMMYFUNCTION("""COMPUTED_VALUE"""),13.74)</f>
        <v>13.74</v>
      </c>
      <c r="C34" s="1">
        <f ca="1">IFERROR(__xludf.DUMMYFUNCTION("""COMPUTED_VALUE"""),14.33)</f>
        <v>14.33</v>
      </c>
      <c r="D34" s="1">
        <f ca="1">IFERROR(__xludf.DUMMYFUNCTION("""COMPUTED_VALUE"""),13.72)</f>
        <v>13.72</v>
      </c>
      <c r="E34" s="1">
        <f ca="1">IFERROR(__xludf.DUMMYFUNCTION("""COMPUTED_VALUE"""),14.29)</f>
        <v>14.29</v>
      </c>
      <c r="F34" s="1">
        <f ca="1">IFERROR(__xludf.DUMMYFUNCTION("""COMPUTED_VALUE"""),2925395)</f>
        <v>2925395</v>
      </c>
    </row>
    <row r="35" spans="1:6" x14ac:dyDescent="0.2">
      <c r="A35" s="2">
        <f ca="1">IFERROR(__xludf.DUMMYFUNCTION("""COMPUTED_VALUE"""),42325.6666666666)</f>
        <v>42325.666666666599</v>
      </c>
      <c r="B35" s="1">
        <f ca="1">IFERROR(__xludf.DUMMYFUNCTION("""COMPUTED_VALUE"""),14.35)</f>
        <v>14.35</v>
      </c>
      <c r="C35" s="1">
        <f ca="1">IFERROR(__xludf.DUMMYFUNCTION("""COMPUTED_VALUE"""),14.4)</f>
        <v>14.4</v>
      </c>
      <c r="D35" s="1">
        <f ca="1">IFERROR(__xludf.DUMMYFUNCTION("""COMPUTED_VALUE"""),14.09)</f>
        <v>14.09</v>
      </c>
      <c r="E35" s="1">
        <f ca="1">IFERROR(__xludf.DUMMYFUNCTION("""COMPUTED_VALUE"""),14.27)</f>
        <v>14.27</v>
      </c>
      <c r="F35" s="1">
        <f ca="1">IFERROR(__xludf.DUMMYFUNCTION("""COMPUTED_VALUE"""),2148679)</f>
        <v>2148679</v>
      </c>
    </row>
    <row r="36" spans="1:6" x14ac:dyDescent="0.2">
      <c r="A36" s="2">
        <f ca="1">IFERROR(__xludf.DUMMYFUNCTION("""COMPUTED_VALUE"""),42326.6666666666)</f>
        <v>42326.666666666599</v>
      </c>
      <c r="B36" s="1">
        <f ca="1">IFERROR(__xludf.DUMMYFUNCTION("""COMPUTED_VALUE"""),14.3)</f>
        <v>14.3</v>
      </c>
      <c r="C36" s="1">
        <f ca="1">IFERROR(__xludf.DUMMYFUNCTION("""COMPUTED_VALUE"""),14.76)</f>
        <v>14.76</v>
      </c>
      <c r="D36" s="1">
        <f ca="1">IFERROR(__xludf.DUMMYFUNCTION("""COMPUTED_VALUE"""),14.17)</f>
        <v>14.17</v>
      </c>
      <c r="E36" s="1">
        <f ca="1">IFERROR(__xludf.DUMMYFUNCTION("""COMPUTED_VALUE"""),14.74)</f>
        <v>14.74</v>
      </c>
      <c r="F36" s="1">
        <f ca="1">IFERROR(__xludf.DUMMYFUNCTION("""COMPUTED_VALUE"""),2811900)</f>
        <v>2811900</v>
      </c>
    </row>
    <row r="37" spans="1:6" x14ac:dyDescent="0.2">
      <c r="A37" s="2">
        <f ca="1">IFERROR(__xludf.DUMMYFUNCTION("""COMPUTED_VALUE"""),42327.6666666666)</f>
        <v>42327.666666666599</v>
      </c>
      <c r="B37" s="1">
        <f ca="1">IFERROR(__xludf.DUMMYFUNCTION("""COMPUTED_VALUE"""),14.7)</f>
        <v>14.7</v>
      </c>
      <c r="C37" s="1">
        <f ca="1">IFERROR(__xludf.DUMMYFUNCTION("""COMPUTED_VALUE"""),15.08)</f>
        <v>15.08</v>
      </c>
      <c r="D37" s="1">
        <f ca="1">IFERROR(__xludf.DUMMYFUNCTION("""COMPUTED_VALUE"""),14.69)</f>
        <v>14.69</v>
      </c>
      <c r="E37" s="1">
        <f ca="1">IFERROR(__xludf.DUMMYFUNCTION("""COMPUTED_VALUE"""),14.79)</f>
        <v>14.79</v>
      </c>
      <c r="F37" s="1">
        <f ca="1">IFERROR(__xludf.DUMMYFUNCTION("""COMPUTED_VALUE"""),2504375)</f>
        <v>2504375</v>
      </c>
    </row>
    <row r="38" spans="1:6" x14ac:dyDescent="0.2">
      <c r="A38" s="2">
        <f ca="1">IFERROR(__xludf.DUMMYFUNCTION("""COMPUTED_VALUE"""),42328.6666666666)</f>
        <v>42328.666666666599</v>
      </c>
      <c r="B38" s="1">
        <f ca="1">IFERROR(__xludf.DUMMYFUNCTION("""COMPUTED_VALUE"""),14.9)</f>
        <v>14.9</v>
      </c>
      <c r="C38" s="1">
        <f ca="1">IFERROR(__xludf.DUMMYFUNCTION("""COMPUTED_VALUE"""),15)</f>
        <v>15</v>
      </c>
      <c r="D38" s="1">
        <f ca="1">IFERROR(__xludf.DUMMYFUNCTION("""COMPUTED_VALUE"""),14.24)</f>
        <v>14.24</v>
      </c>
      <c r="E38" s="1">
        <f ca="1">IFERROR(__xludf.DUMMYFUNCTION("""COMPUTED_VALUE"""),14.67)</f>
        <v>14.67</v>
      </c>
      <c r="F38" s="1">
        <f ca="1">IFERROR(__xludf.DUMMYFUNCTION("""COMPUTED_VALUE"""),4400722)</f>
        <v>4400722</v>
      </c>
    </row>
    <row r="39" spans="1:6" x14ac:dyDescent="0.2">
      <c r="A39" s="2">
        <f ca="1">IFERROR(__xludf.DUMMYFUNCTION("""COMPUTED_VALUE"""),42331.6666666666)</f>
        <v>42331.666666666599</v>
      </c>
      <c r="B39" s="1">
        <f ca="1">IFERROR(__xludf.DUMMYFUNCTION("""COMPUTED_VALUE"""),14.49)</f>
        <v>14.49</v>
      </c>
      <c r="C39" s="1">
        <f ca="1">IFERROR(__xludf.DUMMYFUNCTION("""COMPUTED_VALUE"""),14.61)</f>
        <v>14.61</v>
      </c>
      <c r="D39" s="1">
        <f ca="1">IFERROR(__xludf.DUMMYFUNCTION("""COMPUTED_VALUE"""),14.31)</f>
        <v>14.31</v>
      </c>
      <c r="E39" s="1">
        <f ca="1">IFERROR(__xludf.DUMMYFUNCTION("""COMPUTED_VALUE"""),14.52)</f>
        <v>14.52</v>
      </c>
      <c r="F39" s="1">
        <f ca="1">IFERROR(__xludf.DUMMYFUNCTION("""COMPUTED_VALUE"""),2526199)</f>
        <v>2526199</v>
      </c>
    </row>
    <row r="40" spans="1:6" x14ac:dyDescent="0.2">
      <c r="A40" s="2">
        <f ca="1">IFERROR(__xludf.DUMMYFUNCTION("""COMPUTED_VALUE"""),42332.6666666666)</f>
        <v>42332.666666666599</v>
      </c>
      <c r="B40" s="1">
        <f ca="1">IFERROR(__xludf.DUMMYFUNCTION("""COMPUTED_VALUE"""),14.36)</f>
        <v>14.36</v>
      </c>
      <c r="C40" s="1">
        <f ca="1">IFERROR(__xludf.DUMMYFUNCTION("""COMPUTED_VALUE"""),14.73)</f>
        <v>14.73</v>
      </c>
      <c r="D40" s="1">
        <f ca="1">IFERROR(__xludf.DUMMYFUNCTION("""COMPUTED_VALUE"""),14.33)</f>
        <v>14.33</v>
      </c>
      <c r="E40" s="1">
        <f ca="1">IFERROR(__xludf.DUMMYFUNCTION("""COMPUTED_VALUE"""),14.55)</f>
        <v>14.55</v>
      </c>
      <c r="F40" s="1">
        <f ca="1">IFERROR(__xludf.DUMMYFUNCTION("""COMPUTED_VALUE"""),2480293)</f>
        <v>2480293</v>
      </c>
    </row>
    <row r="41" spans="1:6" x14ac:dyDescent="0.2">
      <c r="A41" s="2">
        <f ca="1">IFERROR(__xludf.DUMMYFUNCTION("""COMPUTED_VALUE"""),42333.6666666666)</f>
        <v>42333.666666666599</v>
      </c>
      <c r="B41" s="1">
        <f ca="1">IFERROR(__xludf.DUMMYFUNCTION("""COMPUTED_VALUE"""),14.76)</f>
        <v>14.76</v>
      </c>
      <c r="C41" s="1">
        <f ca="1">IFERROR(__xludf.DUMMYFUNCTION("""COMPUTED_VALUE"""),15.39)</f>
        <v>15.39</v>
      </c>
      <c r="D41" s="1">
        <f ca="1">IFERROR(__xludf.DUMMYFUNCTION("""COMPUTED_VALUE"""),14.69)</f>
        <v>14.69</v>
      </c>
      <c r="E41" s="1">
        <f ca="1">IFERROR(__xludf.DUMMYFUNCTION("""COMPUTED_VALUE"""),15.31)</f>
        <v>15.31</v>
      </c>
      <c r="F41" s="1">
        <f ca="1">IFERROR(__xludf.DUMMYFUNCTION("""COMPUTED_VALUE"""),3990779)</f>
        <v>3990779</v>
      </c>
    </row>
    <row r="42" spans="1:6" x14ac:dyDescent="0.2">
      <c r="A42" s="2">
        <f ca="1">IFERROR(__xludf.DUMMYFUNCTION("""COMPUTED_VALUE"""),42335.6666666666)</f>
        <v>42335.666666666599</v>
      </c>
      <c r="B42" s="1">
        <f ca="1">IFERROR(__xludf.DUMMYFUNCTION("""COMPUTED_VALUE"""),15.4)</f>
        <v>15.4</v>
      </c>
      <c r="C42" s="1">
        <f ca="1">IFERROR(__xludf.DUMMYFUNCTION("""COMPUTED_VALUE"""),15.48)</f>
        <v>15.48</v>
      </c>
      <c r="D42" s="1">
        <f ca="1">IFERROR(__xludf.DUMMYFUNCTION("""COMPUTED_VALUE"""),15.13)</f>
        <v>15.13</v>
      </c>
      <c r="E42" s="1">
        <f ca="1">IFERROR(__xludf.DUMMYFUNCTION("""COMPUTED_VALUE"""),15.44)</f>
        <v>15.44</v>
      </c>
      <c r="F42" s="1">
        <f ca="1">IFERROR(__xludf.DUMMYFUNCTION("""COMPUTED_VALUE"""),1949353)</f>
        <v>1949353</v>
      </c>
    </row>
    <row r="43" spans="1:6" x14ac:dyDescent="0.2">
      <c r="A43" s="2">
        <f ca="1">IFERROR(__xludf.DUMMYFUNCTION("""COMPUTED_VALUE"""),42338.6666666666)</f>
        <v>42338.666666666599</v>
      </c>
      <c r="B43" s="1">
        <f ca="1">IFERROR(__xludf.DUMMYFUNCTION("""COMPUTED_VALUE"""),15.45)</f>
        <v>15.45</v>
      </c>
      <c r="C43" s="1">
        <f ca="1">IFERROR(__xludf.DUMMYFUNCTION("""COMPUTED_VALUE"""),15.62)</f>
        <v>15.62</v>
      </c>
      <c r="D43" s="1">
        <f ca="1">IFERROR(__xludf.DUMMYFUNCTION("""COMPUTED_VALUE"""),15.27)</f>
        <v>15.27</v>
      </c>
      <c r="E43" s="1">
        <f ca="1">IFERROR(__xludf.DUMMYFUNCTION("""COMPUTED_VALUE"""),15.35)</f>
        <v>15.35</v>
      </c>
      <c r="F43" s="1">
        <f ca="1">IFERROR(__xludf.DUMMYFUNCTION("""COMPUTED_VALUE"""),2659813)</f>
        <v>2659813</v>
      </c>
    </row>
    <row r="44" spans="1:6" x14ac:dyDescent="0.2">
      <c r="A44" s="2">
        <f ca="1">IFERROR(__xludf.DUMMYFUNCTION("""COMPUTED_VALUE"""),42339.6666666666)</f>
        <v>42339.666666666599</v>
      </c>
      <c r="B44" s="1">
        <f ca="1">IFERROR(__xludf.DUMMYFUNCTION("""COMPUTED_VALUE"""),15.4)</f>
        <v>15.4</v>
      </c>
      <c r="C44" s="1">
        <f ca="1">IFERROR(__xludf.DUMMYFUNCTION("""COMPUTED_VALUE"""),15.87)</f>
        <v>15.87</v>
      </c>
      <c r="D44" s="1">
        <f ca="1">IFERROR(__xludf.DUMMYFUNCTION("""COMPUTED_VALUE"""),15.4)</f>
        <v>15.4</v>
      </c>
      <c r="E44" s="1">
        <f ca="1">IFERROR(__xludf.DUMMYFUNCTION("""COMPUTED_VALUE"""),15.81)</f>
        <v>15.81</v>
      </c>
      <c r="F44" s="1">
        <f ca="1">IFERROR(__xludf.DUMMYFUNCTION("""COMPUTED_VALUE"""),3733955)</f>
        <v>3733955</v>
      </c>
    </row>
    <row r="45" spans="1:6" x14ac:dyDescent="0.2">
      <c r="A45" s="2">
        <f ca="1">IFERROR(__xludf.DUMMYFUNCTION("""COMPUTED_VALUE"""),42340.6666666666)</f>
        <v>42340.666666666599</v>
      </c>
      <c r="B45" s="1">
        <f ca="1">IFERROR(__xludf.DUMMYFUNCTION("""COMPUTED_VALUE"""),15.8)</f>
        <v>15.8</v>
      </c>
      <c r="C45" s="1">
        <f ca="1">IFERROR(__xludf.DUMMYFUNCTION("""COMPUTED_VALUE"""),15.91)</f>
        <v>15.91</v>
      </c>
      <c r="D45" s="1">
        <f ca="1">IFERROR(__xludf.DUMMYFUNCTION("""COMPUTED_VALUE"""),15.42)</f>
        <v>15.42</v>
      </c>
      <c r="E45" s="1">
        <f ca="1">IFERROR(__xludf.DUMMYFUNCTION("""COMPUTED_VALUE"""),15.47)</f>
        <v>15.47</v>
      </c>
      <c r="F45" s="1">
        <f ca="1">IFERROR(__xludf.DUMMYFUNCTION("""COMPUTED_VALUE"""),2981468)</f>
        <v>2981468</v>
      </c>
    </row>
    <row r="46" spans="1:6" x14ac:dyDescent="0.2">
      <c r="A46" s="2">
        <f ca="1">IFERROR(__xludf.DUMMYFUNCTION("""COMPUTED_VALUE"""),42341.6666666666)</f>
        <v>42341.666666666599</v>
      </c>
      <c r="B46" s="1">
        <f ca="1">IFERROR(__xludf.DUMMYFUNCTION("""COMPUTED_VALUE"""),15.7)</f>
        <v>15.7</v>
      </c>
      <c r="C46" s="1">
        <f ca="1">IFERROR(__xludf.DUMMYFUNCTION("""COMPUTED_VALUE"""),15.83)</f>
        <v>15.83</v>
      </c>
      <c r="D46" s="1">
        <f ca="1">IFERROR(__xludf.DUMMYFUNCTION("""COMPUTED_VALUE"""),15.33)</f>
        <v>15.33</v>
      </c>
      <c r="E46" s="1">
        <f ca="1">IFERROR(__xludf.DUMMYFUNCTION("""COMPUTED_VALUE"""),15.51)</f>
        <v>15.51</v>
      </c>
      <c r="F46" s="1">
        <f ca="1">IFERROR(__xludf.DUMMYFUNCTION("""COMPUTED_VALUE"""),2939564)</f>
        <v>2939564</v>
      </c>
    </row>
    <row r="47" spans="1:6" x14ac:dyDescent="0.2">
      <c r="A47" s="2">
        <f ca="1">IFERROR(__xludf.DUMMYFUNCTION("""COMPUTED_VALUE"""),42342.6666666666)</f>
        <v>42342.666666666599</v>
      </c>
      <c r="B47" s="1">
        <f ca="1">IFERROR(__xludf.DUMMYFUNCTION("""COMPUTED_VALUE"""),15.5)</f>
        <v>15.5</v>
      </c>
      <c r="C47" s="1">
        <f ca="1">IFERROR(__xludf.DUMMYFUNCTION("""COMPUTED_VALUE"""),15.55)</f>
        <v>15.55</v>
      </c>
      <c r="D47" s="1">
        <f ca="1">IFERROR(__xludf.DUMMYFUNCTION("""COMPUTED_VALUE"""),15.18)</f>
        <v>15.18</v>
      </c>
      <c r="E47" s="1">
        <f ca="1">IFERROR(__xludf.DUMMYFUNCTION("""COMPUTED_VALUE"""),15.36)</f>
        <v>15.36</v>
      </c>
      <c r="F47" s="1">
        <f ca="1">IFERROR(__xludf.DUMMYFUNCTION("""COMPUTED_VALUE"""),2573603)</f>
        <v>2573603</v>
      </c>
    </row>
    <row r="48" spans="1:6" x14ac:dyDescent="0.2">
      <c r="A48" s="2">
        <f ca="1">IFERROR(__xludf.DUMMYFUNCTION("""COMPUTED_VALUE"""),42345.6666666666)</f>
        <v>42345.666666666599</v>
      </c>
      <c r="B48" s="1">
        <f ca="1">IFERROR(__xludf.DUMMYFUNCTION("""COMPUTED_VALUE"""),15.18)</f>
        <v>15.18</v>
      </c>
      <c r="C48" s="1">
        <f ca="1">IFERROR(__xludf.DUMMYFUNCTION("""COMPUTED_VALUE"""),15.71)</f>
        <v>15.71</v>
      </c>
      <c r="D48" s="1">
        <f ca="1">IFERROR(__xludf.DUMMYFUNCTION("""COMPUTED_VALUE"""),15.08)</f>
        <v>15.08</v>
      </c>
      <c r="E48" s="1">
        <f ca="1">IFERROR(__xludf.DUMMYFUNCTION("""COMPUTED_VALUE"""),15.41)</f>
        <v>15.41</v>
      </c>
      <c r="F48" s="1">
        <f ca="1">IFERROR(__xludf.DUMMYFUNCTION("""COMPUTED_VALUE"""),3144223)</f>
        <v>3144223</v>
      </c>
    </row>
    <row r="49" spans="1:6" x14ac:dyDescent="0.2">
      <c r="A49" s="2">
        <f ca="1">IFERROR(__xludf.DUMMYFUNCTION("""COMPUTED_VALUE"""),42346.6666666666)</f>
        <v>42346.666666666599</v>
      </c>
      <c r="B49" s="1">
        <f ca="1">IFERROR(__xludf.DUMMYFUNCTION("""COMPUTED_VALUE"""),15.17)</f>
        <v>15.17</v>
      </c>
      <c r="C49" s="1">
        <f ca="1">IFERROR(__xludf.DUMMYFUNCTION("""COMPUTED_VALUE"""),15.25)</f>
        <v>15.25</v>
      </c>
      <c r="D49" s="1">
        <f ca="1">IFERROR(__xludf.DUMMYFUNCTION("""COMPUTED_VALUE"""),14.95)</f>
        <v>14.95</v>
      </c>
      <c r="E49" s="1">
        <f ca="1">IFERROR(__xludf.DUMMYFUNCTION("""COMPUTED_VALUE"""),15.11)</f>
        <v>15.11</v>
      </c>
      <c r="F49" s="1">
        <f ca="1">IFERROR(__xludf.DUMMYFUNCTION("""COMPUTED_VALUE"""),2687636)</f>
        <v>2687636</v>
      </c>
    </row>
    <row r="50" spans="1:6" x14ac:dyDescent="0.2">
      <c r="A50" s="2">
        <f ca="1">IFERROR(__xludf.DUMMYFUNCTION("""COMPUTED_VALUE"""),42347.6666666666)</f>
        <v>42347.666666666599</v>
      </c>
      <c r="B50" s="1">
        <f ca="1">IFERROR(__xludf.DUMMYFUNCTION("""COMPUTED_VALUE"""),15.11)</f>
        <v>15.11</v>
      </c>
      <c r="C50" s="1">
        <f ca="1">IFERROR(__xludf.DUMMYFUNCTION("""COMPUTED_VALUE"""),15.17)</f>
        <v>15.17</v>
      </c>
      <c r="D50" s="1">
        <f ca="1">IFERROR(__xludf.DUMMYFUNCTION("""COMPUTED_VALUE"""),14.71)</f>
        <v>14.71</v>
      </c>
      <c r="E50" s="1">
        <f ca="1">IFERROR(__xludf.DUMMYFUNCTION("""COMPUTED_VALUE"""),14.97)</f>
        <v>14.97</v>
      </c>
      <c r="F50" s="1">
        <f ca="1">IFERROR(__xludf.DUMMYFUNCTION("""COMPUTED_VALUE"""),3057753)</f>
        <v>3057753</v>
      </c>
    </row>
    <row r="51" spans="1:6" x14ac:dyDescent="0.2">
      <c r="A51" s="2">
        <f ca="1">IFERROR(__xludf.DUMMYFUNCTION("""COMPUTED_VALUE"""),42348.6666666666)</f>
        <v>42348.666666666599</v>
      </c>
      <c r="B51" s="1">
        <f ca="1">IFERROR(__xludf.DUMMYFUNCTION("""COMPUTED_VALUE"""),14.98)</f>
        <v>14.98</v>
      </c>
      <c r="C51" s="1">
        <f ca="1">IFERROR(__xludf.DUMMYFUNCTION("""COMPUTED_VALUE"""),15.23)</f>
        <v>15.23</v>
      </c>
      <c r="D51" s="1">
        <f ca="1">IFERROR(__xludf.DUMMYFUNCTION("""COMPUTED_VALUE"""),14.91)</f>
        <v>14.91</v>
      </c>
      <c r="E51" s="1">
        <f ca="1">IFERROR(__xludf.DUMMYFUNCTION("""COMPUTED_VALUE"""),15.14)</f>
        <v>15.14</v>
      </c>
      <c r="F51" s="1">
        <f ca="1">IFERROR(__xludf.DUMMYFUNCTION("""COMPUTED_VALUE"""),2071692)</f>
        <v>2071692</v>
      </c>
    </row>
    <row r="52" spans="1:6" x14ac:dyDescent="0.2">
      <c r="A52" s="2">
        <f ca="1">IFERROR(__xludf.DUMMYFUNCTION("""COMPUTED_VALUE"""),42349.6666666666)</f>
        <v>42349.666666666599</v>
      </c>
      <c r="B52" s="1">
        <f ca="1">IFERROR(__xludf.DUMMYFUNCTION("""COMPUTED_VALUE"""),15.02)</f>
        <v>15.02</v>
      </c>
      <c r="C52" s="1">
        <f ca="1">IFERROR(__xludf.DUMMYFUNCTION("""COMPUTED_VALUE"""),15.05)</f>
        <v>15.05</v>
      </c>
      <c r="D52" s="1">
        <f ca="1">IFERROR(__xludf.DUMMYFUNCTION("""COMPUTED_VALUE"""),14.44)</f>
        <v>14.44</v>
      </c>
      <c r="E52" s="1">
        <f ca="1">IFERROR(__xludf.DUMMYFUNCTION("""COMPUTED_VALUE"""),14.47)</f>
        <v>14.47</v>
      </c>
      <c r="F52" s="1">
        <f ca="1">IFERROR(__xludf.DUMMYFUNCTION("""COMPUTED_VALUE"""),3268726)</f>
        <v>3268726</v>
      </c>
    </row>
    <row r="53" spans="1:6" x14ac:dyDescent="0.2">
      <c r="A53" s="2">
        <f ca="1">IFERROR(__xludf.DUMMYFUNCTION("""COMPUTED_VALUE"""),42352.6666666666)</f>
        <v>42352.666666666599</v>
      </c>
      <c r="B53" s="1">
        <f ca="1">IFERROR(__xludf.DUMMYFUNCTION("""COMPUTED_VALUE"""),14.5)</f>
        <v>14.5</v>
      </c>
      <c r="C53" s="1">
        <f ca="1">IFERROR(__xludf.DUMMYFUNCTION("""COMPUTED_VALUE"""),14.73)</f>
        <v>14.73</v>
      </c>
      <c r="D53" s="1">
        <f ca="1">IFERROR(__xludf.DUMMYFUNCTION("""COMPUTED_VALUE"""),14.32)</f>
        <v>14.32</v>
      </c>
      <c r="E53" s="1">
        <f ca="1">IFERROR(__xludf.DUMMYFUNCTION("""COMPUTED_VALUE"""),14.57)</f>
        <v>14.57</v>
      </c>
      <c r="F53" s="1">
        <f ca="1">IFERROR(__xludf.DUMMYFUNCTION("""COMPUTED_VALUE"""),2831518)</f>
        <v>2831518</v>
      </c>
    </row>
    <row r="54" spans="1:6" x14ac:dyDescent="0.2">
      <c r="A54" s="2">
        <f ca="1">IFERROR(__xludf.DUMMYFUNCTION("""COMPUTED_VALUE"""),42353.6666666666)</f>
        <v>42353.666666666599</v>
      </c>
      <c r="B54" s="1">
        <f ca="1">IFERROR(__xludf.DUMMYFUNCTION("""COMPUTED_VALUE"""),14.79)</f>
        <v>14.79</v>
      </c>
      <c r="C54" s="1">
        <f ca="1">IFERROR(__xludf.DUMMYFUNCTION("""COMPUTED_VALUE"""),14.81)</f>
        <v>14.81</v>
      </c>
      <c r="D54" s="1">
        <f ca="1">IFERROR(__xludf.DUMMYFUNCTION("""COMPUTED_VALUE"""),14.53)</f>
        <v>14.53</v>
      </c>
      <c r="E54" s="1">
        <f ca="1">IFERROR(__xludf.DUMMYFUNCTION("""COMPUTED_VALUE"""),14.74)</f>
        <v>14.74</v>
      </c>
      <c r="F54" s="1">
        <f ca="1">IFERROR(__xludf.DUMMYFUNCTION("""COMPUTED_VALUE"""),2244424)</f>
        <v>2244424</v>
      </c>
    </row>
    <row r="55" spans="1:6" x14ac:dyDescent="0.2">
      <c r="A55" s="2">
        <f ca="1">IFERROR(__xludf.DUMMYFUNCTION("""COMPUTED_VALUE"""),42354.6666666666)</f>
        <v>42354.666666666599</v>
      </c>
      <c r="B55" s="1">
        <f ca="1">IFERROR(__xludf.DUMMYFUNCTION("""COMPUTED_VALUE"""),14.81)</f>
        <v>14.81</v>
      </c>
      <c r="C55" s="1">
        <f ca="1">IFERROR(__xludf.DUMMYFUNCTION("""COMPUTED_VALUE"""),15.66)</f>
        <v>15.66</v>
      </c>
      <c r="D55" s="1">
        <f ca="1">IFERROR(__xludf.DUMMYFUNCTION("""COMPUTED_VALUE"""),14.72)</f>
        <v>14.72</v>
      </c>
      <c r="E55" s="1">
        <f ca="1">IFERROR(__xludf.DUMMYFUNCTION("""COMPUTED_VALUE"""),15.63)</f>
        <v>15.63</v>
      </c>
      <c r="F55" s="1">
        <f ca="1">IFERROR(__xludf.DUMMYFUNCTION("""COMPUTED_VALUE"""),5104341)</f>
        <v>5104341</v>
      </c>
    </row>
    <row r="56" spans="1:6" x14ac:dyDescent="0.2">
      <c r="A56" s="2">
        <f ca="1">IFERROR(__xludf.DUMMYFUNCTION("""COMPUTED_VALUE"""),42355.6666666666)</f>
        <v>42355.666666666599</v>
      </c>
      <c r="B56" s="1">
        <f ca="1">IFERROR(__xludf.DUMMYFUNCTION("""COMPUTED_VALUE"""),15.6)</f>
        <v>15.6</v>
      </c>
      <c r="C56" s="1">
        <f ca="1">IFERROR(__xludf.DUMMYFUNCTION("""COMPUTED_VALUE"""),15.85)</f>
        <v>15.85</v>
      </c>
      <c r="D56" s="1">
        <f ca="1">IFERROR(__xludf.DUMMYFUNCTION("""COMPUTED_VALUE"""),15.32)</f>
        <v>15.32</v>
      </c>
      <c r="E56" s="1">
        <f ca="1">IFERROR(__xludf.DUMMYFUNCTION("""COMPUTED_VALUE"""),15.56)</f>
        <v>15.56</v>
      </c>
      <c r="F56" s="1">
        <f ca="1">IFERROR(__xludf.DUMMYFUNCTION("""COMPUTED_VALUE"""),3298638)</f>
        <v>3298638</v>
      </c>
    </row>
    <row r="57" spans="1:6" x14ac:dyDescent="0.2">
      <c r="A57" s="2">
        <f ca="1">IFERROR(__xludf.DUMMYFUNCTION("""COMPUTED_VALUE"""),42356.6666666666)</f>
        <v>42356.666666666599</v>
      </c>
      <c r="B57" s="1">
        <f ca="1">IFERROR(__xludf.DUMMYFUNCTION("""COMPUTED_VALUE"""),15.53)</f>
        <v>15.53</v>
      </c>
      <c r="C57" s="1">
        <f ca="1">IFERROR(__xludf.DUMMYFUNCTION("""COMPUTED_VALUE"""),15.73)</f>
        <v>15.73</v>
      </c>
      <c r="D57" s="1">
        <f ca="1">IFERROR(__xludf.DUMMYFUNCTION("""COMPUTED_VALUE"""),15.29)</f>
        <v>15.29</v>
      </c>
      <c r="E57" s="1">
        <f ca="1">IFERROR(__xludf.DUMMYFUNCTION("""COMPUTED_VALUE"""),15.36)</f>
        <v>15.36</v>
      </c>
      <c r="F57" s="1">
        <f ca="1">IFERROR(__xludf.DUMMYFUNCTION("""COMPUTED_VALUE"""),3014170)</f>
        <v>3014170</v>
      </c>
    </row>
    <row r="58" spans="1:6" x14ac:dyDescent="0.2">
      <c r="A58" s="2">
        <f ca="1">IFERROR(__xludf.DUMMYFUNCTION("""COMPUTED_VALUE"""),42359.6666666666)</f>
        <v>42359.666666666599</v>
      </c>
      <c r="B58" s="1">
        <f ca="1">IFERROR(__xludf.DUMMYFUNCTION("""COMPUTED_VALUE"""),15.45)</f>
        <v>15.45</v>
      </c>
      <c r="C58" s="1">
        <f ca="1">IFERROR(__xludf.DUMMYFUNCTION("""COMPUTED_VALUE"""),15.72)</f>
        <v>15.72</v>
      </c>
      <c r="D58" s="1">
        <f ca="1">IFERROR(__xludf.DUMMYFUNCTION("""COMPUTED_VALUE"""),15.41)</f>
        <v>15.41</v>
      </c>
      <c r="E58" s="1">
        <f ca="1">IFERROR(__xludf.DUMMYFUNCTION("""COMPUTED_VALUE"""),15.5)</f>
        <v>15.5</v>
      </c>
      <c r="F58" s="1">
        <f ca="1">IFERROR(__xludf.DUMMYFUNCTION("""COMPUTED_VALUE"""),1953174)</f>
        <v>1953174</v>
      </c>
    </row>
    <row r="59" spans="1:6" x14ac:dyDescent="0.2">
      <c r="A59" s="2">
        <f ca="1">IFERROR(__xludf.DUMMYFUNCTION("""COMPUTED_VALUE"""),42360.6666666666)</f>
        <v>42360.666666666599</v>
      </c>
      <c r="B59" s="1">
        <f ca="1">IFERROR(__xludf.DUMMYFUNCTION("""COMPUTED_VALUE"""),15.67)</f>
        <v>15.67</v>
      </c>
      <c r="C59" s="1">
        <f ca="1">IFERROR(__xludf.DUMMYFUNCTION("""COMPUTED_VALUE"""),15.77)</f>
        <v>15.77</v>
      </c>
      <c r="D59" s="1">
        <f ca="1">IFERROR(__xludf.DUMMYFUNCTION("""COMPUTED_VALUE"""),15.31)</f>
        <v>15.31</v>
      </c>
      <c r="E59" s="1">
        <f ca="1">IFERROR(__xludf.DUMMYFUNCTION("""COMPUTED_VALUE"""),15.33)</f>
        <v>15.33</v>
      </c>
      <c r="F59" s="1">
        <f ca="1">IFERROR(__xludf.DUMMYFUNCTION("""COMPUTED_VALUE"""),1961495)</f>
        <v>1961495</v>
      </c>
    </row>
    <row r="60" spans="1:6" x14ac:dyDescent="0.2">
      <c r="A60" s="2">
        <f ca="1">IFERROR(__xludf.DUMMYFUNCTION("""COMPUTED_VALUE"""),42361.6666666666)</f>
        <v>42361.666666666599</v>
      </c>
      <c r="B60" s="1">
        <f ca="1">IFERROR(__xludf.DUMMYFUNCTION("""COMPUTED_VALUE"""),15.48)</f>
        <v>15.48</v>
      </c>
      <c r="C60" s="1">
        <f ca="1">IFERROR(__xludf.DUMMYFUNCTION("""COMPUTED_VALUE"""),15.56)</f>
        <v>15.56</v>
      </c>
      <c r="D60" s="1">
        <f ca="1">IFERROR(__xludf.DUMMYFUNCTION("""COMPUTED_VALUE"""),15.21)</f>
        <v>15.21</v>
      </c>
      <c r="E60" s="1">
        <f ca="1">IFERROR(__xludf.DUMMYFUNCTION("""COMPUTED_VALUE"""),15.31)</f>
        <v>15.31</v>
      </c>
      <c r="F60" s="1">
        <f ca="1">IFERROR(__xludf.DUMMYFUNCTION("""COMPUTED_VALUE"""),1554979)</f>
        <v>1554979</v>
      </c>
    </row>
    <row r="61" spans="1:6" x14ac:dyDescent="0.2">
      <c r="A61" s="2">
        <f ca="1">IFERROR(__xludf.DUMMYFUNCTION("""COMPUTED_VALUE"""),42362.6666666666)</f>
        <v>42362.666666666599</v>
      </c>
      <c r="B61" s="1">
        <f ca="1">IFERROR(__xludf.DUMMYFUNCTION("""COMPUTED_VALUE"""),15.37)</f>
        <v>15.37</v>
      </c>
      <c r="C61" s="1">
        <f ca="1">IFERROR(__xludf.DUMMYFUNCTION("""COMPUTED_VALUE"""),15.46)</f>
        <v>15.46</v>
      </c>
      <c r="D61" s="1">
        <f ca="1">IFERROR(__xludf.DUMMYFUNCTION("""COMPUTED_VALUE"""),15.22)</f>
        <v>15.22</v>
      </c>
      <c r="E61" s="1">
        <f ca="1">IFERROR(__xludf.DUMMYFUNCTION("""COMPUTED_VALUE"""),15.37)</f>
        <v>15.37</v>
      </c>
      <c r="F61" s="1">
        <f ca="1">IFERROR(__xludf.DUMMYFUNCTION("""COMPUTED_VALUE"""),710277)</f>
        <v>710277</v>
      </c>
    </row>
    <row r="62" spans="1:6" x14ac:dyDescent="0.2">
      <c r="A62" s="2">
        <f ca="1">IFERROR(__xludf.DUMMYFUNCTION("""COMPUTED_VALUE"""),42366.6666666666)</f>
        <v>42366.666666666599</v>
      </c>
      <c r="B62" s="1">
        <f ca="1">IFERROR(__xludf.DUMMYFUNCTION("""COMPUTED_VALUE"""),15.43)</f>
        <v>15.43</v>
      </c>
      <c r="C62" s="1">
        <f ca="1">IFERROR(__xludf.DUMMYFUNCTION("""COMPUTED_VALUE"""),15.47)</f>
        <v>15.47</v>
      </c>
      <c r="D62" s="1">
        <f ca="1">IFERROR(__xludf.DUMMYFUNCTION("""COMPUTED_VALUE"""),15.04)</f>
        <v>15.04</v>
      </c>
      <c r="E62" s="1">
        <f ca="1">IFERROR(__xludf.DUMMYFUNCTION("""COMPUTED_VALUE"""),15.26)</f>
        <v>15.26</v>
      </c>
      <c r="F62" s="1">
        <f ca="1">IFERROR(__xludf.DUMMYFUNCTION("""COMPUTED_VALUE"""),1901304)</f>
        <v>1901304</v>
      </c>
    </row>
    <row r="63" spans="1:6" x14ac:dyDescent="0.2">
      <c r="A63" s="2">
        <f ca="1">IFERROR(__xludf.DUMMYFUNCTION("""COMPUTED_VALUE"""),42367.6666666666)</f>
        <v>42367.666666666599</v>
      </c>
      <c r="B63" s="1">
        <f ca="1">IFERROR(__xludf.DUMMYFUNCTION("""COMPUTED_VALUE"""),15.34)</f>
        <v>15.34</v>
      </c>
      <c r="C63" s="1">
        <f ca="1">IFERROR(__xludf.DUMMYFUNCTION("""COMPUTED_VALUE"""),15.85)</f>
        <v>15.85</v>
      </c>
      <c r="D63" s="1">
        <f ca="1">IFERROR(__xludf.DUMMYFUNCTION("""COMPUTED_VALUE"""),15.3)</f>
        <v>15.3</v>
      </c>
      <c r="E63" s="1">
        <f ca="1">IFERROR(__xludf.DUMMYFUNCTION("""COMPUTED_VALUE"""),15.81)</f>
        <v>15.81</v>
      </c>
      <c r="F63" s="1">
        <f ca="1">IFERROR(__xludf.DUMMYFUNCTION("""COMPUTED_VALUE"""),2406290)</f>
        <v>2406290</v>
      </c>
    </row>
    <row r="64" spans="1:6" x14ac:dyDescent="0.2">
      <c r="A64" s="2">
        <f ca="1">IFERROR(__xludf.DUMMYFUNCTION("""COMPUTED_VALUE"""),42368.6666666666)</f>
        <v>42368.666666666599</v>
      </c>
      <c r="B64" s="1">
        <f ca="1">IFERROR(__xludf.DUMMYFUNCTION("""COMPUTED_VALUE"""),15.77)</f>
        <v>15.77</v>
      </c>
      <c r="C64" s="1">
        <f ca="1">IFERROR(__xludf.DUMMYFUNCTION("""COMPUTED_VALUE"""),16.24)</f>
        <v>16.239999999999998</v>
      </c>
      <c r="D64" s="1">
        <f ca="1">IFERROR(__xludf.DUMMYFUNCTION("""COMPUTED_VALUE"""),15.71)</f>
        <v>15.71</v>
      </c>
      <c r="E64" s="1">
        <f ca="1">IFERROR(__xludf.DUMMYFUNCTION("""COMPUTED_VALUE"""),15.87)</f>
        <v>15.87</v>
      </c>
      <c r="F64" s="1">
        <f ca="1">IFERROR(__xludf.DUMMYFUNCTION("""COMPUTED_VALUE"""),3697921)</f>
        <v>3697921</v>
      </c>
    </row>
    <row r="65" spans="1:6" x14ac:dyDescent="0.2">
      <c r="A65" s="2">
        <f ca="1">IFERROR(__xludf.DUMMYFUNCTION("""COMPUTED_VALUE"""),42369.6666666666)</f>
        <v>42369.666666666599</v>
      </c>
      <c r="B65" s="1">
        <f ca="1">IFERROR(__xludf.DUMMYFUNCTION("""COMPUTED_VALUE"""),15.9)</f>
        <v>15.9</v>
      </c>
      <c r="C65" s="1">
        <f ca="1">IFERROR(__xludf.DUMMYFUNCTION("""COMPUTED_VALUE"""),16.23)</f>
        <v>16.23</v>
      </c>
      <c r="D65" s="1">
        <f ca="1">IFERROR(__xludf.DUMMYFUNCTION("""COMPUTED_VALUE"""),15.89)</f>
        <v>15.89</v>
      </c>
      <c r="E65" s="1">
        <f ca="1">IFERROR(__xludf.DUMMYFUNCTION("""COMPUTED_VALUE"""),16)</f>
        <v>16</v>
      </c>
      <c r="F65" s="1">
        <f ca="1">IFERROR(__xludf.DUMMYFUNCTION("""COMPUTED_VALUE"""),2715038)</f>
        <v>2715038</v>
      </c>
    </row>
    <row r="66" spans="1:6" x14ac:dyDescent="0.2">
      <c r="A66" s="2">
        <f ca="1">IFERROR(__xludf.DUMMYFUNCTION("""COMPUTED_VALUE"""),42373.6666666666)</f>
        <v>42373.666666666599</v>
      </c>
      <c r="B66" s="1">
        <f ca="1">IFERROR(__xludf.DUMMYFUNCTION("""COMPUTED_VALUE"""),15.38)</f>
        <v>15.38</v>
      </c>
      <c r="C66" s="1">
        <f ca="1">IFERROR(__xludf.DUMMYFUNCTION("""COMPUTED_VALUE"""),15.43)</f>
        <v>15.43</v>
      </c>
      <c r="D66" s="1">
        <f ca="1">IFERROR(__xludf.DUMMYFUNCTION("""COMPUTED_VALUE"""),14.6)</f>
        <v>14.6</v>
      </c>
      <c r="E66" s="1">
        <f ca="1">IFERROR(__xludf.DUMMYFUNCTION("""COMPUTED_VALUE"""),14.89)</f>
        <v>14.89</v>
      </c>
      <c r="F66" s="1">
        <f ca="1">IFERROR(__xludf.DUMMYFUNCTION("""COMPUTED_VALUE"""),6827146)</f>
        <v>6827146</v>
      </c>
    </row>
    <row r="67" spans="1:6" x14ac:dyDescent="0.2">
      <c r="A67" s="2">
        <f ca="1">IFERROR(__xludf.DUMMYFUNCTION("""COMPUTED_VALUE"""),42374.6666666666)</f>
        <v>42374.666666666599</v>
      </c>
      <c r="B67" s="1">
        <f ca="1">IFERROR(__xludf.DUMMYFUNCTION("""COMPUTED_VALUE"""),15.09)</f>
        <v>15.09</v>
      </c>
      <c r="C67" s="1">
        <f ca="1">IFERROR(__xludf.DUMMYFUNCTION("""COMPUTED_VALUE"""),15.13)</f>
        <v>15.13</v>
      </c>
      <c r="D67" s="1">
        <f ca="1">IFERROR(__xludf.DUMMYFUNCTION("""COMPUTED_VALUE"""),14.67)</f>
        <v>14.67</v>
      </c>
      <c r="E67" s="1">
        <f ca="1">IFERROR(__xludf.DUMMYFUNCTION("""COMPUTED_VALUE"""),14.9)</f>
        <v>14.9</v>
      </c>
      <c r="F67" s="1">
        <f ca="1">IFERROR(__xludf.DUMMYFUNCTION("""COMPUTED_VALUE"""),3186752)</f>
        <v>3186752</v>
      </c>
    </row>
    <row r="68" spans="1:6" x14ac:dyDescent="0.2">
      <c r="A68" s="2">
        <f ca="1">IFERROR(__xludf.DUMMYFUNCTION("""COMPUTED_VALUE"""),42375.6666666666)</f>
        <v>42375.666666666599</v>
      </c>
      <c r="B68" s="1">
        <f ca="1">IFERROR(__xludf.DUMMYFUNCTION("""COMPUTED_VALUE"""),14.67)</f>
        <v>14.67</v>
      </c>
      <c r="C68" s="1">
        <f ca="1">IFERROR(__xludf.DUMMYFUNCTION("""COMPUTED_VALUE"""),14.67)</f>
        <v>14.67</v>
      </c>
      <c r="D68" s="1">
        <f ca="1">IFERROR(__xludf.DUMMYFUNCTION("""COMPUTED_VALUE"""),14.4)</f>
        <v>14.4</v>
      </c>
      <c r="E68" s="1">
        <f ca="1">IFERROR(__xludf.DUMMYFUNCTION("""COMPUTED_VALUE"""),14.6)</f>
        <v>14.6</v>
      </c>
      <c r="F68" s="1">
        <f ca="1">IFERROR(__xludf.DUMMYFUNCTION("""COMPUTED_VALUE"""),3779128)</f>
        <v>3779128</v>
      </c>
    </row>
    <row r="69" spans="1:6" x14ac:dyDescent="0.2">
      <c r="A69" s="2">
        <f ca="1">IFERROR(__xludf.DUMMYFUNCTION("""COMPUTED_VALUE"""),42376.6666666666)</f>
        <v>42376.666666666599</v>
      </c>
      <c r="B69" s="1">
        <f ca="1">IFERROR(__xludf.DUMMYFUNCTION("""COMPUTED_VALUE"""),14.28)</f>
        <v>14.28</v>
      </c>
      <c r="C69" s="1">
        <f ca="1">IFERROR(__xludf.DUMMYFUNCTION("""COMPUTED_VALUE"""),14.56)</f>
        <v>14.56</v>
      </c>
      <c r="D69" s="1">
        <f ca="1">IFERROR(__xludf.DUMMYFUNCTION("""COMPUTED_VALUE"""),14.24)</f>
        <v>14.24</v>
      </c>
      <c r="E69" s="1">
        <f ca="1">IFERROR(__xludf.DUMMYFUNCTION("""COMPUTED_VALUE"""),14.38)</f>
        <v>14.38</v>
      </c>
      <c r="F69" s="1">
        <f ca="1">IFERROR(__xludf.DUMMYFUNCTION("""COMPUTED_VALUE"""),3554251)</f>
        <v>3554251</v>
      </c>
    </row>
    <row r="70" spans="1:6" x14ac:dyDescent="0.2">
      <c r="A70" s="2">
        <f ca="1">IFERROR(__xludf.DUMMYFUNCTION("""COMPUTED_VALUE"""),42377.6666666666)</f>
        <v>42377.666666666599</v>
      </c>
      <c r="B70" s="1">
        <f ca="1">IFERROR(__xludf.DUMMYFUNCTION("""COMPUTED_VALUE"""),14.52)</f>
        <v>14.52</v>
      </c>
      <c r="C70" s="1">
        <f ca="1">IFERROR(__xludf.DUMMYFUNCTION("""COMPUTED_VALUE"""),14.7)</f>
        <v>14.7</v>
      </c>
      <c r="D70" s="1">
        <f ca="1">IFERROR(__xludf.DUMMYFUNCTION("""COMPUTED_VALUE"""),14.05)</f>
        <v>14.05</v>
      </c>
      <c r="E70" s="1">
        <f ca="1">IFERROR(__xludf.DUMMYFUNCTION("""COMPUTED_VALUE"""),14.07)</f>
        <v>14.07</v>
      </c>
      <c r="F70" s="1">
        <f ca="1">IFERROR(__xludf.DUMMYFUNCTION("""COMPUTED_VALUE"""),3628058)</f>
        <v>3628058</v>
      </c>
    </row>
    <row r="71" spans="1:6" x14ac:dyDescent="0.2">
      <c r="A71" s="2">
        <f ca="1">IFERROR(__xludf.DUMMYFUNCTION("""COMPUTED_VALUE"""),42380.6666666666)</f>
        <v>42380.666666666599</v>
      </c>
      <c r="B71" s="1">
        <f ca="1">IFERROR(__xludf.DUMMYFUNCTION("""COMPUTED_VALUE"""),14.27)</f>
        <v>14.27</v>
      </c>
      <c r="C71" s="1">
        <f ca="1">IFERROR(__xludf.DUMMYFUNCTION("""COMPUTED_VALUE"""),14.3)</f>
        <v>14.3</v>
      </c>
      <c r="D71" s="1">
        <f ca="1">IFERROR(__xludf.DUMMYFUNCTION("""COMPUTED_VALUE"""),13.53)</f>
        <v>13.53</v>
      </c>
      <c r="E71" s="1">
        <f ca="1">IFERROR(__xludf.DUMMYFUNCTION("""COMPUTED_VALUE"""),13.86)</f>
        <v>13.86</v>
      </c>
      <c r="F71" s="1">
        <f ca="1">IFERROR(__xludf.DUMMYFUNCTION("""COMPUTED_VALUE"""),4091422)</f>
        <v>4091422</v>
      </c>
    </row>
    <row r="72" spans="1:6" x14ac:dyDescent="0.2">
      <c r="A72" s="2">
        <f ca="1">IFERROR(__xludf.DUMMYFUNCTION("""COMPUTED_VALUE"""),42381.6666666666)</f>
        <v>42381.666666666599</v>
      </c>
      <c r="B72" s="1">
        <f ca="1">IFERROR(__xludf.DUMMYFUNCTION("""COMPUTED_VALUE"""),14.11)</f>
        <v>14.11</v>
      </c>
      <c r="C72" s="1">
        <f ca="1">IFERROR(__xludf.DUMMYFUNCTION("""COMPUTED_VALUE"""),14.25)</f>
        <v>14.25</v>
      </c>
      <c r="D72" s="1">
        <f ca="1">IFERROR(__xludf.DUMMYFUNCTION("""COMPUTED_VALUE"""),13.69)</f>
        <v>13.69</v>
      </c>
      <c r="E72" s="1">
        <f ca="1">IFERROR(__xludf.DUMMYFUNCTION("""COMPUTED_VALUE"""),14)</f>
        <v>14</v>
      </c>
      <c r="F72" s="1">
        <f ca="1">IFERROR(__xludf.DUMMYFUNCTION("""COMPUTED_VALUE"""),3091917)</f>
        <v>3091917</v>
      </c>
    </row>
    <row r="73" spans="1:6" x14ac:dyDescent="0.2">
      <c r="A73" s="2">
        <f ca="1">IFERROR(__xludf.DUMMYFUNCTION("""COMPUTED_VALUE"""),42382.6666666666)</f>
        <v>42382.666666666599</v>
      </c>
      <c r="B73" s="1">
        <f ca="1">IFERROR(__xludf.DUMMYFUNCTION("""COMPUTED_VALUE"""),14.13)</f>
        <v>14.13</v>
      </c>
      <c r="C73" s="1">
        <f ca="1">IFERROR(__xludf.DUMMYFUNCTION("""COMPUTED_VALUE"""),14.18)</f>
        <v>14.18</v>
      </c>
      <c r="D73" s="1">
        <f ca="1">IFERROR(__xludf.DUMMYFUNCTION("""COMPUTED_VALUE"""),13.33)</f>
        <v>13.33</v>
      </c>
      <c r="E73" s="1">
        <f ca="1">IFERROR(__xludf.DUMMYFUNCTION("""COMPUTED_VALUE"""),13.35)</f>
        <v>13.35</v>
      </c>
      <c r="F73" s="1">
        <f ca="1">IFERROR(__xludf.DUMMYFUNCTION("""COMPUTED_VALUE"""),4126416)</f>
        <v>4126416</v>
      </c>
    </row>
    <row r="74" spans="1:6" x14ac:dyDescent="0.2">
      <c r="A74" s="2">
        <f ca="1">IFERROR(__xludf.DUMMYFUNCTION("""COMPUTED_VALUE"""),42383.6666666666)</f>
        <v>42383.666666666599</v>
      </c>
      <c r="B74" s="1">
        <f ca="1">IFERROR(__xludf.DUMMYFUNCTION("""COMPUTED_VALUE"""),13.48)</f>
        <v>13.48</v>
      </c>
      <c r="C74" s="1">
        <f ca="1">IFERROR(__xludf.DUMMYFUNCTION("""COMPUTED_VALUE"""),14)</f>
        <v>14</v>
      </c>
      <c r="D74" s="1">
        <f ca="1">IFERROR(__xludf.DUMMYFUNCTION("""COMPUTED_VALUE"""),12.89)</f>
        <v>12.89</v>
      </c>
      <c r="E74" s="1">
        <f ca="1">IFERROR(__xludf.DUMMYFUNCTION("""COMPUTED_VALUE"""),13.75)</f>
        <v>13.75</v>
      </c>
      <c r="F74" s="1">
        <f ca="1">IFERROR(__xludf.DUMMYFUNCTION("""COMPUTED_VALUE"""),6490741)</f>
        <v>6490741</v>
      </c>
    </row>
    <row r="75" spans="1:6" x14ac:dyDescent="0.2">
      <c r="A75" s="2">
        <f ca="1">IFERROR(__xludf.DUMMYFUNCTION("""COMPUTED_VALUE"""),42384.6666666666)</f>
        <v>42384.666666666599</v>
      </c>
      <c r="B75" s="1">
        <f ca="1">IFERROR(__xludf.DUMMYFUNCTION("""COMPUTED_VALUE"""),13.26)</f>
        <v>13.26</v>
      </c>
      <c r="C75" s="1">
        <f ca="1">IFERROR(__xludf.DUMMYFUNCTION("""COMPUTED_VALUE"""),13.67)</f>
        <v>13.67</v>
      </c>
      <c r="D75" s="1">
        <f ca="1">IFERROR(__xludf.DUMMYFUNCTION("""COMPUTED_VALUE"""),13.15)</f>
        <v>13.15</v>
      </c>
      <c r="E75" s="1">
        <f ca="1">IFERROR(__xludf.DUMMYFUNCTION("""COMPUTED_VALUE"""),13.67)</f>
        <v>13.67</v>
      </c>
      <c r="F75" s="1">
        <f ca="1">IFERROR(__xludf.DUMMYFUNCTION("""COMPUTED_VALUE"""),5578640)</f>
        <v>5578640</v>
      </c>
    </row>
    <row r="76" spans="1:6" x14ac:dyDescent="0.2">
      <c r="A76" s="2">
        <f ca="1">IFERROR(__xludf.DUMMYFUNCTION("""COMPUTED_VALUE"""),42388.6666666666)</f>
        <v>42388.666666666599</v>
      </c>
      <c r="B76" s="1">
        <f ca="1">IFERROR(__xludf.DUMMYFUNCTION("""COMPUTED_VALUE"""),13.91)</f>
        <v>13.91</v>
      </c>
      <c r="C76" s="1">
        <f ca="1">IFERROR(__xludf.DUMMYFUNCTION("""COMPUTED_VALUE"""),14.03)</f>
        <v>14.03</v>
      </c>
      <c r="D76" s="1">
        <f ca="1">IFERROR(__xludf.DUMMYFUNCTION("""COMPUTED_VALUE"""),13.39)</f>
        <v>13.39</v>
      </c>
      <c r="E76" s="1">
        <f ca="1">IFERROR(__xludf.DUMMYFUNCTION("""COMPUTED_VALUE"""),13.65)</f>
        <v>13.65</v>
      </c>
      <c r="F76" s="1">
        <f ca="1">IFERROR(__xludf.DUMMYFUNCTION("""COMPUTED_VALUE"""),4038676)</f>
        <v>4038676</v>
      </c>
    </row>
    <row r="77" spans="1:6" x14ac:dyDescent="0.2">
      <c r="A77" s="2">
        <f ca="1">IFERROR(__xludf.DUMMYFUNCTION("""COMPUTED_VALUE"""),42389.6666666666)</f>
        <v>42389.666666666599</v>
      </c>
      <c r="B77" s="1">
        <f ca="1">IFERROR(__xludf.DUMMYFUNCTION("""COMPUTED_VALUE"""),13.29)</f>
        <v>13.29</v>
      </c>
      <c r="C77" s="1">
        <f ca="1">IFERROR(__xludf.DUMMYFUNCTION("""COMPUTED_VALUE"""),13.42)</f>
        <v>13.42</v>
      </c>
      <c r="D77" s="1">
        <f ca="1">IFERROR(__xludf.DUMMYFUNCTION("""COMPUTED_VALUE"""),12.75)</f>
        <v>12.75</v>
      </c>
      <c r="E77" s="1">
        <f ca="1">IFERROR(__xludf.DUMMYFUNCTION("""COMPUTED_VALUE"""),13.25)</f>
        <v>13.25</v>
      </c>
      <c r="F77" s="1">
        <f ca="1">IFERROR(__xludf.DUMMYFUNCTION("""COMPUTED_VALUE"""),5838608)</f>
        <v>5838608</v>
      </c>
    </row>
    <row r="78" spans="1:6" x14ac:dyDescent="0.2">
      <c r="A78" s="2">
        <f ca="1">IFERROR(__xludf.DUMMYFUNCTION("""COMPUTED_VALUE"""),42390.6666666666)</f>
        <v>42390.666666666599</v>
      </c>
      <c r="B78" s="1">
        <f ca="1">IFERROR(__xludf.DUMMYFUNCTION("""COMPUTED_VALUE"""),13.44)</f>
        <v>13.44</v>
      </c>
      <c r="C78" s="1">
        <f ca="1">IFERROR(__xludf.DUMMYFUNCTION("""COMPUTED_VALUE"""),13.55)</f>
        <v>13.55</v>
      </c>
      <c r="D78" s="1">
        <f ca="1">IFERROR(__xludf.DUMMYFUNCTION("""COMPUTED_VALUE"""),13)</f>
        <v>13</v>
      </c>
      <c r="E78" s="1">
        <f ca="1">IFERROR(__xludf.DUMMYFUNCTION("""COMPUTED_VALUE"""),13.33)</f>
        <v>13.33</v>
      </c>
      <c r="F78" s="1">
        <f ca="1">IFERROR(__xludf.DUMMYFUNCTION("""COMPUTED_VALUE"""),3166159)</f>
        <v>3166159</v>
      </c>
    </row>
    <row r="79" spans="1:6" x14ac:dyDescent="0.2">
      <c r="A79" s="2">
        <f ca="1">IFERROR(__xludf.DUMMYFUNCTION("""COMPUTED_VALUE"""),42391.6666666666)</f>
        <v>42391.666666666599</v>
      </c>
      <c r="B79" s="1">
        <f ca="1">IFERROR(__xludf.DUMMYFUNCTION("""COMPUTED_VALUE"""),13.65)</f>
        <v>13.65</v>
      </c>
      <c r="C79" s="1">
        <f ca="1">IFERROR(__xludf.DUMMYFUNCTION("""COMPUTED_VALUE"""),13.7)</f>
        <v>13.7</v>
      </c>
      <c r="D79" s="1">
        <f ca="1">IFERROR(__xludf.DUMMYFUNCTION("""COMPUTED_VALUE"""),13.27)</f>
        <v>13.27</v>
      </c>
      <c r="E79" s="1">
        <f ca="1">IFERROR(__xludf.DUMMYFUNCTION("""COMPUTED_VALUE"""),13.5)</f>
        <v>13.5</v>
      </c>
      <c r="F79" s="1">
        <f ca="1">IFERROR(__xludf.DUMMYFUNCTION("""COMPUTED_VALUE"""),3124055)</f>
        <v>3124055</v>
      </c>
    </row>
    <row r="80" spans="1:6" x14ac:dyDescent="0.2">
      <c r="A80" s="2">
        <f ca="1">IFERROR(__xludf.DUMMYFUNCTION("""COMPUTED_VALUE"""),42394.6666666666)</f>
        <v>42394.666666666599</v>
      </c>
      <c r="B80" s="1">
        <f ca="1">IFERROR(__xludf.DUMMYFUNCTION("""COMPUTED_VALUE"""),13.34)</f>
        <v>13.34</v>
      </c>
      <c r="C80" s="1">
        <f ca="1">IFERROR(__xludf.DUMMYFUNCTION("""COMPUTED_VALUE"""),13.57)</f>
        <v>13.57</v>
      </c>
      <c r="D80" s="1">
        <f ca="1">IFERROR(__xludf.DUMMYFUNCTION("""COMPUTED_VALUE"""),13.06)</f>
        <v>13.06</v>
      </c>
      <c r="E80" s="1">
        <f ca="1">IFERROR(__xludf.DUMMYFUNCTION("""COMPUTED_VALUE"""),13.09)</f>
        <v>13.09</v>
      </c>
      <c r="F80" s="1">
        <f ca="1">IFERROR(__xludf.DUMMYFUNCTION("""COMPUTED_VALUE"""),2698739)</f>
        <v>2698739</v>
      </c>
    </row>
    <row r="81" spans="1:6" x14ac:dyDescent="0.2">
      <c r="A81" s="2">
        <f ca="1">IFERROR(__xludf.DUMMYFUNCTION("""COMPUTED_VALUE"""),42395.6666666666)</f>
        <v>42395.666666666599</v>
      </c>
      <c r="B81" s="1">
        <f ca="1">IFERROR(__xludf.DUMMYFUNCTION("""COMPUTED_VALUE"""),13.11)</f>
        <v>13.11</v>
      </c>
      <c r="C81" s="1">
        <f ca="1">IFERROR(__xludf.DUMMYFUNCTION("""COMPUTED_VALUE"""),13.19)</f>
        <v>13.19</v>
      </c>
      <c r="D81" s="1">
        <f ca="1">IFERROR(__xludf.DUMMYFUNCTION("""COMPUTED_VALUE"""),12.59)</f>
        <v>12.59</v>
      </c>
      <c r="E81" s="1">
        <f ca="1">IFERROR(__xludf.DUMMYFUNCTION("""COMPUTED_VALUE"""),12.9)</f>
        <v>12.9</v>
      </c>
      <c r="F81" s="1">
        <f ca="1">IFERROR(__xludf.DUMMYFUNCTION("""COMPUTED_VALUE"""),4964180)</f>
        <v>4964180</v>
      </c>
    </row>
    <row r="82" spans="1:6" x14ac:dyDescent="0.2">
      <c r="A82" s="2">
        <f ca="1">IFERROR(__xludf.DUMMYFUNCTION("""COMPUTED_VALUE"""),42396.6666666666)</f>
        <v>42396.666666666599</v>
      </c>
      <c r="B82" s="1">
        <f ca="1">IFERROR(__xludf.DUMMYFUNCTION("""COMPUTED_VALUE"""),12.83)</f>
        <v>12.83</v>
      </c>
      <c r="C82" s="1">
        <f ca="1">IFERROR(__xludf.DUMMYFUNCTION("""COMPUTED_VALUE"""),12.88)</f>
        <v>12.88</v>
      </c>
      <c r="D82" s="1">
        <f ca="1">IFERROR(__xludf.DUMMYFUNCTION("""COMPUTED_VALUE"""),12.38)</f>
        <v>12.38</v>
      </c>
      <c r="E82" s="1">
        <f ca="1">IFERROR(__xludf.DUMMYFUNCTION("""COMPUTED_VALUE"""),12.54)</f>
        <v>12.54</v>
      </c>
      <c r="F82" s="1">
        <f ca="1">IFERROR(__xludf.DUMMYFUNCTION("""COMPUTED_VALUE"""),3617221)</f>
        <v>3617221</v>
      </c>
    </row>
    <row r="83" spans="1:6" x14ac:dyDescent="0.2">
      <c r="A83" s="2">
        <f ca="1">IFERROR(__xludf.DUMMYFUNCTION("""COMPUTED_VALUE"""),42397.6666666666)</f>
        <v>42397.666666666599</v>
      </c>
      <c r="B83" s="1">
        <f ca="1">IFERROR(__xludf.DUMMYFUNCTION("""COMPUTED_VALUE"""),12.72)</f>
        <v>12.72</v>
      </c>
      <c r="C83" s="1">
        <f ca="1">IFERROR(__xludf.DUMMYFUNCTION("""COMPUTED_VALUE"""),12.75)</f>
        <v>12.75</v>
      </c>
      <c r="D83" s="1">
        <f ca="1">IFERROR(__xludf.DUMMYFUNCTION("""COMPUTED_VALUE"""),12.16)</f>
        <v>12.16</v>
      </c>
      <c r="E83" s="1">
        <f ca="1">IFERROR(__xludf.DUMMYFUNCTION("""COMPUTED_VALUE"""),12.65)</f>
        <v>12.65</v>
      </c>
      <c r="F83" s="1">
        <f ca="1">IFERROR(__xludf.DUMMYFUNCTION("""COMPUTED_VALUE"""),4592754)</f>
        <v>4592754</v>
      </c>
    </row>
    <row r="84" spans="1:6" x14ac:dyDescent="0.2">
      <c r="A84" s="2">
        <f ca="1">IFERROR(__xludf.DUMMYFUNCTION("""COMPUTED_VALUE"""),42398.6666666666)</f>
        <v>42398.666666666599</v>
      </c>
      <c r="B84" s="1">
        <f ca="1">IFERROR(__xludf.DUMMYFUNCTION("""COMPUTED_VALUE"""),12.66)</f>
        <v>12.66</v>
      </c>
      <c r="C84" s="1">
        <f ca="1">IFERROR(__xludf.DUMMYFUNCTION("""COMPUTED_VALUE"""),12.92)</f>
        <v>12.92</v>
      </c>
      <c r="D84" s="1">
        <f ca="1">IFERROR(__xludf.DUMMYFUNCTION("""COMPUTED_VALUE"""),12.54)</f>
        <v>12.54</v>
      </c>
      <c r="E84" s="1">
        <f ca="1">IFERROR(__xludf.DUMMYFUNCTION("""COMPUTED_VALUE"""),12.75)</f>
        <v>12.75</v>
      </c>
      <c r="F84" s="1">
        <f ca="1">IFERROR(__xludf.DUMMYFUNCTION("""COMPUTED_VALUE"""),2852289)</f>
        <v>2852289</v>
      </c>
    </row>
    <row r="85" spans="1:6" x14ac:dyDescent="0.2">
      <c r="A85" s="2">
        <f ca="1">IFERROR(__xludf.DUMMYFUNCTION("""COMPUTED_VALUE"""),42401.6666666666)</f>
        <v>42401.666666666599</v>
      </c>
      <c r="B85" s="1">
        <f ca="1">IFERROR(__xludf.DUMMYFUNCTION("""COMPUTED_VALUE"""),12.58)</f>
        <v>12.58</v>
      </c>
      <c r="C85" s="1">
        <f ca="1">IFERROR(__xludf.DUMMYFUNCTION("""COMPUTED_VALUE"""),13.3)</f>
        <v>13.3</v>
      </c>
      <c r="D85" s="1">
        <f ca="1">IFERROR(__xludf.DUMMYFUNCTION("""COMPUTED_VALUE"""),12.18)</f>
        <v>12.18</v>
      </c>
      <c r="E85" s="1">
        <f ca="1">IFERROR(__xludf.DUMMYFUNCTION("""COMPUTED_VALUE"""),13.13)</f>
        <v>13.13</v>
      </c>
      <c r="F85" s="1">
        <f ca="1">IFERROR(__xludf.DUMMYFUNCTION("""COMPUTED_VALUE"""),5297639)</f>
        <v>5297639</v>
      </c>
    </row>
    <row r="86" spans="1:6" x14ac:dyDescent="0.2">
      <c r="A86" s="2">
        <f ca="1">IFERROR(__xludf.DUMMYFUNCTION("""COMPUTED_VALUE"""),42402.6666666666)</f>
        <v>42402.666666666599</v>
      </c>
      <c r="B86" s="1">
        <f ca="1">IFERROR(__xludf.DUMMYFUNCTION("""COMPUTED_VALUE"""),12.83)</f>
        <v>12.83</v>
      </c>
      <c r="C86" s="1">
        <f ca="1">IFERROR(__xludf.DUMMYFUNCTION("""COMPUTED_VALUE"""),12.87)</f>
        <v>12.87</v>
      </c>
      <c r="D86" s="1">
        <f ca="1">IFERROR(__xludf.DUMMYFUNCTION("""COMPUTED_VALUE"""),12.02)</f>
        <v>12.02</v>
      </c>
      <c r="E86" s="1">
        <f ca="1">IFERROR(__xludf.DUMMYFUNCTION("""COMPUTED_VALUE"""),12.19)</f>
        <v>12.19</v>
      </c>
      <c r="F86" s="1">
        <f ca="1">IFERROR(__xludf.DUMMYFUNCTION("""COMPUTED_VALUE"""),5773637)</f>
        <v>5773637</v>
      </c>
    </row>
    <row r="87" spans="1:6" x14ac:dyDescent="0.2">
      <c r="A87" s="2">
        <f ca="1">IFERROR(__xludf.DUMMYFUNCTION("""COMPUTED_VALUE"""),42403.6666666666)</f>
        <v>42403.666666666599</v>
      </c>
      <c r="B87" s="1">
        <f ca="1">IFERROR(__xludf.DUMMYFUNCTION("""COMPUTED_VALUE"""),12.24)</f>
        <v>12.24</v>
      </c>
      <c r="C87" s="1">
        <f ca="1">IFERROR(__xludf.DUMMYFUNCTION("""COMPUTED_VALUE"""),12.26)</f>
        <v>12.26</v>
      </c>
      <c r="D87" s="1">
        <f ca="1">IFERROR(__xludf.DUMMYFUNCTION("""COMPUTED_VALUE"""),11.35)</f>
        <v>11.35</v>
      </c>
      <c r="E87" s="1">
        <f ca="1">IFERROR(__xludf.DUMMYFUNCTION("""COMPUTED_VALUE"""),11.57)</f>
        <v>11.57</v>
      </c>
      <c r="F87" s="1">
        <f ca="1">IFERROR(__xludf.DUMMYFUNCTION("""COMPUTED_VALUE"""),7931362)</f>
        <v>7931362</v>
      </c>
    </row>
    <row r="88" spans="1:6" x14ac:dyDescent="0.2">
      <c r="A88" s="2">
        <f ca="1">IFERROR(__xludf.DUMMYFUNCTION("""COMPUTED_VALUE"""),42404.6666666666)</f>
        <v>42404.666666666599</v>
      </c>
      <c r="B88" s="1">
        <f ca="1">IFERROR(__xludf.DUMMYFUNCTION("""COMPUTED_VALUE"""),11.38)</f>
        <v>11.38</v>
      </c>
      <c r="C88" s="1">
        <f ca="1">IFERROR(__xludf.DUMMYFUNCTION("""COMPUTED_VALUE"""),11.73)</f>
        <v>11.73</v>
      </c>
      <c r="D88" s="1">
        <f ca="1">IFERROR(__xludf.DUMMYFUNCTION("""COMPUTED_VALUE"""),11.13)</f>
        <v>11.13</v>
      </c>
      <c r="E88" s="1">
        <f ca="1">IFERROR(__xludf.DUMMYFUNCTION("""COMPUTED_VALUE"""),11.69)</f>
        <v>11.69</v>
      </c>
      <c r="F88" s="1">
        <f ca="1">IFERROR(__xludf.DUMMYFUNCTION("""COMPUTED_VALUE"""),4385366)</f>
        <v>4385366</v>
      </c>
    </row>
    <row r="89" spans="1:6" x14ac:dyDescent="0.2">
      <c r="A89" s="2">
        <f ca="1">IFERROR(__xludf.DUMMYFUNCTION("""COMPUTED_VALUE"""),42405.6666666666)</f>
        <v>42405.666666666599</v>
      </c>
      <c r="B89" s="1">
        <f ca="1">IFERROR(__xludf.DUMMYFUNCTION("""COMPUTED_VALUE"""),11.42)</f>
        <v>11.42</v>
      </c>
      <c r="C89" s="1">
        <f ca="1">IFERROR(__xludf.DUMMYFUNCTION("""COMPUTED_VALUE"""),11.53)</f>
        <v>11.53</v>
      </c>
      <c r="D89" s="1">
        <f ca="1">IFERROR(__xludf.DUMMYFUNCTION("""COMPUTED_VALUE"""),10.52)</f>
        <v>10.52</v>
      </c>
      <c r="E89" s="1">
        <f ca="1">IFERROR(__xludf.DUMMYFUNCTION("""COMPUTED_VALUE"""),10.84)</f>
        <v>10.84</v>
      </c>
      <c r="F89" s="1">
        <f ca="1">IFERROR(__xludf.DUMMYFUNCTION("""COMPUTED_VALUE"""),9437591)</f>
        <v>9437591</v>
      </c>
    </row>
    <row r="90" spans="1:6" x14ac:dyDescent="0.2">
      <c r="A90" s="2">
        <f ca="1">IFERROR(__xludf.DUMMYFUNCTION("""COMPUTED_VALUE"""),42408.6666666666)</f>
        <v>42408.666666666599</v>
      </c>
      <c r="B90" s="1">
        <f ca="1">IFERROR(__xludf.DUMMYFUNCTION("""COMPUTED_VALUE"""),10.47)</f>
        <v>10.47</v>
      </c>
      <c r="C90" s="1">
        <f ca="1">IFERROR(__xludf.DUMMYFUNCTION("""COMPUTED_VALUE"""),10.48)</f>
        <v>10.48</v>
      </c>
      <c r="D90" s="1">
        <f ca="1">IFERROR(__xludf.DUMMYFUNCTION("""COMPUTED_VALUE"""),9.73)</f>
        <v>9.73</v>
      </c>
      <c r="E90" s="1">
        <f ca="1">IFERROR(__xludf.DUMMYFUNCTION("""COMPUTED_VALUE"""),9.87)</f>
        <v>9.8699999999999992</v>
      </c>
      <c r="F90" s="1">
        <f ca="1">IFERROR(__xludf.DUMMYFUNCTION("""COMPUTED_VALUE"""),9312988)</f>
        <v>9312988</v>
      </c>
    </row>
    <row r="91" spans="1:6" x14ac:dyDescent="0.2">
      <c r="A91" s="2">
        <f ca="1">IFERROR(__xludf.DUMMYFUNCTION("""COMPUTED_VALUE"""),42409.6666666666)</f>
        <v>42409.666666666599</v>
      </c>
      <c r="B91" s="1">
        <f ca="1">IFERROR(__xludf.DUMMYFUNCTION("""COMPUTED_VALUE"""),9.49)</f>
        <v>9.49</v>
      </c>
      <c r="C91" s="1">
        <f ca="1">IFERROR(__xludf.DUMMYFUNCTION("""COMPUTED_VALUE"""),10.65)</f>
        <v>10.65</v>
      </c>
      <c r="D91" s="1">
        <f ca="1">IFERROR(__xludf.DUMMYFUNCTION("""COMPUTED_VALUE"""),9.4)</f>
        <v>9.4</v>
      </c>
      <c r="E91" s="1">
        <f ca="1">IFERROR(__xludf.DUMMYFUNCTION("""COMPUTED_VALUE"""),9.88)</f>
        <v>9.8800000000000008</v>
      </c>
      <c r="F91" s="1">
        <f ca="1">IFERROR(__xludf.DUMMYFUNCTION("""COMPUTED_VALUE"""),8651648)</f>
        <v>8651648</v>
      </c>
    </row>
    <row r="92" spans="1:6" x14ac:dyDescent="0.2">
      <c r="A92" s="2">
        <f ca="1">IFERROR(__xludf.DUMMYFUNCTION("""COMPUTED_VALUE"""),42410.6666666666)</f>
        <v>42410.666666666599</v>
      </c>
      <c r="B92" s="1">
        <f ca="1">IFERROR(__xludf.DUMMYFUNCTION("""COMPUTED_VALUE"""),10.03)</f>
        <v>10.029999999999999</v>
      </c>
      <c r="C92" s="1">
        <f ca="1">IFERROR(__xludf.DUMMYFUNCTION("""COMPUTED_VALUE"""),10.33)</f>
        <v>10.33</v>
      </c>
      <c r="D92" s="1">
        <f ca="1">IFERROR(__xludf.DUMMYFUNCTION("""COMPUTED_VALUE"""),9.45)</f>
        <v>9.4499999999999993</v>
      </c>
      <c r="E92" s="1">
        <f ca="1">IFERROR(__xludf.DUMMYFUNCTION("""COMPUTED_VALUE"""),9.58)</f>
        <v>9.58</v>
      </c>
      <c r="F92" s="1">
        <f ca="1">IFERROR(__xludf.DUMMYFUNCTION("""COMPUTED_VALUE"""),10406513)</f>
        <v>10406513</v>
      </c>
    </row>
    <row r="93" spans="1:6" x14ac:dyDescent="0.2">
      <c r="A93" s="2">
        <f ca="1">IFERROR(__xludf.DUMMYFUNCTION("""COMPUTED_VALUE"""),42411.6666666666)</f>
        <v>42411.666666666599</v>
      </c>
      <c r="B93" s="1">
        <f ca="1">IFERROR(__xludf.DUMMYFUNCTION("""COMPUTED_VALUE"""),10.13)</f>
        <v>10.130000000000001</v>
      </c>
      <c r="C93" s="1">
        <f ca="1">IFERROR(__xludf.DUMMYFUNCTION("""COMPUTED_VALUE"""),10.88)</f>
        <v>10.88</v>
      </c>
      <c r="D93" s="1">
        <f ca="1">IFERROR(__xludf.DUMMYFUNCTION("""COMPUTED_VALUE"""),9.8)</f>
        <v>9.8000000000000007</v>
      </c>
      <c r="E93" s="1">
        <f ca="1">IFERROR(__xludf.DUMMYFUNCTION("""COMPUTED_VALUE"""),10.03)</f>
        <v>10.029999999999999</v>
      </c>
      <c r="F93" s="1">
        <f ca="1">IFERROR(__xludf.DUMMYFUNCTION("""COMPUTED_VALUE"""),14252364)</f>
        <v>14252364</v>
      </c>
    </row>
    <row r="94" spans="1:6" x14ac:dyDescent="0.2">
      <c r="A94" s="2">
        <f ca="1">IFERROR(__xludf.DUMMYFUNCTION("""COMPUTED_VALUE"""),42412.6666666666)</f>
        <v>42412.666666666599</v>
      </c>
      <c r="B94" s="1">
        <f ca="1">IFERROR(__xludf.DUMMYFUNCTION("""COMPUTED_VALUE"""),10.33)</f>
        <v>10.33</v>
      </c>
      <c r="C94" s="1">
        <f ca="1">IFERROR(__xludf.DUMMYFUNCTION("""COMPUTED_VALUE"""),10.47)</f>
        <v>10.47</v>
      </c>
      <c r="D94" s="1">
        <f ca="1">IFERROR(__xludf.DUMMYFUNCTION("""COMPUTED_VALUE"""),9.58)</f>
        <v>9.58</v>
      </c>
      <c r="E94" s="1">
        <f ca="1">IFERROR(__xludf.DUMMYFUNCTION("""COMPUTED_VALUE"""),10.07)</f>
        <v>10.07</v>
      </c>
      <c r="F94" s="1">
        <f ca="1">IFERROR(__xludf.DUMMYFUNCTION("""COMPUTED_VALUE"""),7235783)</f>
        <v>7235783</v>
      </c>
    </row>
    <row r="95" spans="1:6" x14ac:dyDescent="0.2">
      <c r="A95" s="2">
        <f ca="1">IFERROR(__xludf.DUMMYFUNCTION("""COMPUTED_VALUE"""),42416.6666666666)</f>
        <v>42416.666666666599</v>
      </c>
      <c r="B95" s="1">
        <f ca="1">IFERROR(__xludf.DUMMYFUNCTION("""COMPUTED_VALUE"""),10.58)</f>
        <v>10.58</v>
      </c>
      <c r="C95" s="1">
        <f ca="1">IFERROR(__xludf.DUMMYFUNCTION("""COMPUTED_VALUE"""),10.86)</f>
        <v>10.86</v>
      </c>
      <c r="D95" s="1">
        <f ca="1">IFERROR(__xludf.DUMMYFUNCTION("""COMPUTED_VALUE"""),10.27)</f>
        <v>10.27</v>
      </c>
      <c r="E95" s="1">
        <f ca="1">IFERROR(__xludf.DUMMYFUNCTION("""COMPUTED_VALUE"""),10.34)</f>
        <v>10.34</v>
      </c>
      <c r="F95" s="1">
        <f ca="1">IFERROR(__xludf.DUMMYFUNCTION("""COMPUTED_VALUE"""),5593794)</f>
        <v>5593794</v>
      </c>
    </row>
    <row r="96" spans="1:6" x14ac:dyDescent="0.2">
      <c r="A96" s="2">
        <f ca="1">IFERROR(__xludf.DUMMYFUNCTION("""COMPUTED_VALUE"""),42417.6666666666)</f>
        <v>42417.666666666599</v>
      </c>
      <c r="B96" s="1">
        <f ca="1">IFERROR(__xludf.DUMMYFUNCTION("""COMPUTED_VALUE"""),10.6)</f>
        <v>10.6</v>
      </c>
      <c r="C96" s="1">
        <f ca="1">IFERROR(__xludf.DUMMYFUNCTION("""COMPUTED_VALUE"""),11.29)</f>
        <v>11.29</v>
      </c>
      <c r="D96" s="1">
        <f ca="1">IFERROR(__xludf.DUMMYFUNCTION("""COMPUTED_VALUE"""),10.45)</f>
        <v>10.45</v>
      </c>
      <c r="E96" s="1">
        <f ca="1">IFERROR(__xludf.DUMMYFUNCTION("""COMPUTED_VALUE"""),11.25)</f>
        <v>11.25</v>
      </c>
      <c r="F96" s="1">
        <f ca="1">IFERROR(__xludf.DUMMYFUNCTION("""COMPUTED_VALUE"""),5825159)</f>
        <v>5825159</v>
      </c>
    </row>
    <row r="97" spans="1:6" x14ac:dyDescent="0.2">
      <c r="A97" s="2">
        <f ca="1">IFERROR(__xludf.DUMMYFUNCTION("""COMPUTED_VALUE"""),42418.6666666666)</f>
        <v>42418.666666666599</v>
      </c>
      <c r="B97" s="1">
        <f ca="1">IFERROR(__xludf.DUMMYFUNCTION("""COMPUTED_VALUE"""),11.49)</f>
        <v>11.49</v>
      </c>
      <c r="C97" s="1">
        <f ca="1">IFERROR(__xludf.DUMMYFUNCTION("""COMPUTED_VALUE"""),11.53)</f>
        <v>11.53</v>
      </c>
      <c r="D97" s="1">
        <f ca="1">IFERROR(__xludf.DUMMYFUNCTION("""COMPUTED_VALUE"""),10.98)</f>
        <v>10.98</v>
      </c>
      <c r="E97" s="1">
        <f ca="1">IFERROR(__xludf.DUMMYFUNCTION("""COMPUTED_VALUE"""),11.12)</f>
        <v>11.12</v>
      </c>
      <c r="F97" s="1">
        <f ca="1">IFERROR(__xludf.DUMMYFUNCTION("""COMPUTED_VALUE"""),3887574)</f>
        <v>3887574</v>
      </c>
    </row>
    <row r="98" spans="1:6" x14ac:dyDescent="0.2">
      <c r="A98" s="2">
        <f ca="1">IFERROR(__xludf.DUMMYFUNCTION("""COMPUTED_VALUE"""),42419.6666666666)</f>
        <v>42419.666666666599</v>
      </c>
      <c r="B98" s="1">
        <f ca="1">IFERROR(__xludf.DUMMYFUNCTION("""COMPUTED_VALUE"""),10.91)</f>
        <v>10.91</v>
      </c>
      <c r="C98" s="1">
        <f ca="1">IFERROR(__xludf.DUMMYFUNCTION("""COMPUTED_VALUE"""),11.17)</f>
        <v>11.17</v>
      </c>
      <c r="D98" s="1">
        <f ca="1">IFERROR(__xludf.DUMMYFUNCTION("""COMPUTED_VALUE"""),10.83)</f>
        <v>10.83</v>
      </c>
      <c r="E98" s="1">
        <f ca="1">IFERROR(__xludf.DUMMYFUNCTION("""COMPUTED_VALUE"""),11.11)</f>
        <v>11.11</v>
      </c>
      <c r="F98" s="1">
        <f ca="1">IFERROR(__xludf.DUMMYFUNCTION("""COMPUTED_VALUE"""),2959390)</f>
        <v>2959390</v>
      </c>
    </row>
    <row r="99" spans="1:6" x14ac:dyDescent="0.2">
      <c r="A99" s="2">
        <f ca="1">IFERROR(__xludf.DUMMYFUNCTION("""COMPUTED_VALUE"""),42422.6666666666)</f>
        <v>42422.666666666599</v>
      </c>
      <c r="B99" s="1">
        <f ca="1">IFERROR(__xludf.DUMMYFUNCTION("""COMPUTED_VALUE"""),11.34)</f>
        <v>11.34</v>
      </c>
      <c r="C99" s="1">
        <f ca="1">IFERROR(__xludf.DUMMYFUNCTION("""COMPUTED_VALUE"""),11.93)</f>
        <v>11.93</v>
      </c>
      <c r="D99" s="1">
        <f ca="1">IFERROR(__xludf.DUMMYFUNCTION("""COMPUTED_VALUE"""),11.32)</f>
        <v>11.32</v>
      </c>
      <c r="E99" s="1">
        <f ca="1">IFERROR(__xludf.DUMMYFUNCTION("""COMPUTED_VALUE"""),11.85)</f>
        <v>11.85</v>
      </c>
      <c r="F99" s="1">
        <f ca="1">IFERROR(__xludf.DUMMYFUNCTION("""COMPUTED_VALUE"""),5060051)</f>
        <v>5060051</v>
      </c>
    </row>
    <row r="100" spans="1:6" x14ac:dyDescent="0.2">
      <c r="A100" s="2">
        <f ca="1">IFERROR(__xludf.DUMMYFUNCTION("""COMPUTED_VALUE"""),42423.6666666666)</f>
        <v>42423.666666666599</v>
      </c>
      <c r="B100" s="1">
        <f ca="1">IFERROR(__xludf.DUMMYFUNCTION("""COMPUTED_VALUE"""),11.74)</f>
        <v>11.74</v>
      </c>
      <c r="C100" s="1">
        <f ca="1">IFERROR(__xludf.DUMMYFUNCTION("""COMPUTED_VALUE"""),12.12)</f>
        <v>12.12</v>
      </c>
      <c r="D100" s="1">
        <f ca="1">IFERROR(__xludf.DUMMYFUNCTION("""COMPUTED_VALUE"""),11.58)</f>
        <v>11.58</v>
      </c>
      <c r="E100" s="1">
        <f ca="1">IFERROR(__xludf.DUMMYFUNCTION("""COMPUTED_VALUE"""),11.81)</f>
        <v>11.81</v>
      </c>
      <c r="F100" s="1">
        <f ca="1">IFERROR(__xludf.DUMMYFUNCTION("""COMPUTED_VALUE"""),5984374)</f>
        <v>5984374</v>
      </c>
    </row>
    <row r="101" spans="1:6" x14ac:dyDescent="0.2">
      <c r="A101" s="2">
        <f ca="1">IFERROR(__xludf.DUMMYFUNCTION("""COMPUTED_VALUE"""),42424.6666666666)</f>
        <v>42424.666666666599</v>
      </c>
      <c r="B101" s="1">
        <f ca="1">IFERROR(__xludf.DUMMYFUNCTION("""COMPUTED_VALUE"""),11.52)</f>
        <v>11.52</v>
      </c>
      <c r="C101" s="1">
        <f ca="1">IFERROR(__xludf.DUMMYFUNCTION("""COMPUTED_VALUE"""),11.97)</f>
        <v>11.97</v>
      </c>
      <c r="D101" s="1">
        <f ca="1">IFERROR(__xludf.DUMMYFUNCTION("""COMPUTED_VALUE"""),11.19)</f>
        <v>11.19</v>
      </c>
      <c r="E101" s="1">
        <f ca="1">IFERROR(__xludf.DUMMYFUNCTION("""COMPUTED_VALUE"""),11.93)</f>
        <v>11.93</v>
      </c>
      <c r="F101" s="1">
        <f ca="1">IFERROR(__xludf.DUMMYFUNCTION("""COMPUTED_VALUE"""),5395609)</f>
        <v>5395609</v>
      </c>
    </row>
    <row r="102" spans="1:6" x14ac:dyDescent="0.2">
      <c r="A102" s="2">
        <f ca="1">IFERROR(__xludf.DUMMYFUNCTION("""COMPUTED_VALUE"""),42425.6666666666)</f>
        <v>42425.666666666599</v>
      </c>
      <c r="B102" s="1">
        <f ca="1">IFERROR(__xludf.DUMMYFUNCTION("""COMPUTED_VALUE"""),11.91)</f>
        <v>11.91</v>
      </c>
      <c r="C102" s="1">
        <f ca="1">IFERROR(__xludf.DUMMYFUNCTION("""COMPUTED_VALUE"""),12.57)</f>
        <v>12.57</v>
      </c>
      <c r="D102" s="1">
        <f ca="1">IFERROR(__xludf.DUMMYFUNCTION("""COMPUTED_VALUE"""),11.68)</f>
        <v>11.68</v>
      </c>
      <c r="E102" s="1">
        <f ca="1">IFERROR(__xludf.DUMMYFUNCTION("""COMPUTED_VALUE"""),12.5)</f>
        <v>12.5</v>
      </c>
      <c r="F102" s="1">
        <f ca="1">IFERROR(__xludf.DUMMYFUNCTION("""COMPUTED_VALUE"""),5750741)</f>
        <v>5750741</v>
      </c>
    </row>
    <row r="103" spans="1:6" x14ac:dyDescent="0.2">
      <c r="A103" s="2">
        <f ca="1">IFERROR(__xludf.DUMMYFUNCTION("""COMPUTED_VALUE"""),42426.6666666666)</f>
        <v>42426.666666666599</v>
      </c>
      <c r="B103" s="1">
        <f ca="1">IFERROR(__xludf.DUMMYFUNCTION("""COMPUTED_VALUE"""),12.58)</f>
        <v>12.58</v>
      </c>
      <c r="C103" s="1">
        <f ca="1">IFERROR(__xludf.DUMMYFUNCTION("""COMPUTED_VALUE"""),12.8)</f>
        <v>12.8</v>
      </c>
      <c r="D103" s="1">
        <f ca="1">IFERROR(__xludf.DUMMYFUNCTION("""COMPUTED_VALUE"""),12.33)</f>
        <v>12.33</v>
      </c>
      <c r="E103" s="1">
        <f ca="1">IFERROR(__xludf.DUMMYFUNCTION("""COMPUTED_VALUE"""),12.69)</f>
        <v>12.69</v>
      </c>
      <c r="F103" s="1">
        <f ca="1">IFERROR(__xludf.DUMMYFUNCTION("""COMPUTED_VALUE"""),6065117)</f>
        <v>6065117</v>
      </c>
    </row>
    <row r="104" spans="1:6" x14ac:dyDescent="0.2">
      <c r="A104" s="2">
        <f ca="1">IFERROR(__xludf.DUMMYFUNCTION("""COMPUTED_VALUE"""),42429.6666666666)</f>
        <v>42429.666666666599</v>
      </c>
      <c r="B104" s="1">
        <f ca="1">IFERROR(__xludf.DUMMYFUNCTION("""COMPUTED_VALUE"""),12.83)</f>
        <v>12.83</v>
      </c>
      <c r="C104" s="1">
        <f ca="1">IFERROR(__xludf.DUMMYFUNCTION("""COMPUTED_VALUE"""),13.09)</f>
        <v>13.09</v>
      </c>
      <c r="D104" s="1">
        <f ca="1">IFERROR(__xludf.DUMMYFUNCTION("""COMPUTED_VALUE"""),12.61)</f>
        <v>12.61</v>
      </c>
      <c r="E104" s="1">
        <f ca="1">IFERROR(__xludf.DUMMYFUNCTION("""COMPUTED_VALUE"""),12.8)</f>
        <v>12.8</v>
      </c>
      <c r="F104" s="1">
        <f ca="1">IFERROR(__xludf.DUMMYFUNCTION("""COMPUTED_VALUE"""),4498997)</f>
        <v>4498997</v>
      </c>
    </row>
    <row r="105" spans="1:6" x14ac:dyDescent="0.2">
      <c r="A105" s="2">
        <f ca="1">IFERROR(__xludf.DUMMYFUNCTION("""COMPUTED_VALUE"""),42430.6666666666)</f>
        <v>42430.666666666599</v>
      </c>
      <c r="B105" s="1">
        <f ca="1">IFERROR(__xludf.DUMMYFUNCTION("""COMPUTED_VALUE"""),12.95)</f>
        <v>12.95</v>
      </c>
      <c r="C105" s="1">
        <f ca="1">IFERROR(__xludf.DUMMYFUNCTION("""COMPUTED_VALUE"""),13.06)</f>
        <v>13.06</v>
      </c>
      <c r="D105" s="1">
        <f ca="1">IFERROR(__xludf.DUMMYFUNCTION("""COMPUTED_VALUE"""),12.18)</f>
        <v>12.18</v>
      </c>
      <c r="E105" s="1">
        <f ca="1">IFERROR(__xludf.DUMMYFUNCTION("""COMPUTED_VALUE"""),12.42)</f>
        <v>12.42</v>
      </c>
      <c r="F105" s="1">
        <f ca="1">IFERROR(__xludf.DUMMYFUNCTION("""COMPUTED_VALUE"""),6712159)</f>
        <v>6712159</v>
      </c>
    </row>
    <row r="106" spans="1:6" x14ac:dyDescent="0.2">
      <c r="A106" s="2">
        <f ca="1">IFERROR(__xludf.DUMMYFUNCTION("""COMPUTED_VALUE"""),42431.6666666666)</f>
        <v>42431.666666666599</v>
      </c>
      <c r="B106" s="1">
        <f ca="1">IFERROR(__xludf.DUMMYFUNCTION("""COMPUTED_VALUE"""),12.25)</f>
        <v>12.25</v>
      </c>
      <c r="C106" s="1">
        <f ca="1">IFERROR(__xludf.DUMMYFUNCTION("""COMPUTED_VALUE"""),12.57)</f>
        <v>12.57</v>
      </c>
      <c r="D106" s="1">
        <f ca="1">IFERROR(__xludf.DUMMYFUNCTION("""COMPUTED_VALUE"""),12.1)</f>
        <v>12.1</v>
      </c>
      <c r="E106" s="1">
        <f ca="1">IFERROR(__xludf.DUMMYFUNCTION("""COMPUTED_VALUE"""),12.56)</f>
        <v>12.56</v>
      </c>
      <c r="F106" s="1">
        <f ca="1">IFERROR(__xludf.DUMMYFUNCTION("""COMPUTED_VALUE"""),4862396)</f>
        <v>4862396</v>
      </c>
    </row>
    <row r="107" spans="1:6" x14ac:dyDescent="0.2">
      <c r="A107" s="2">
        <f ca="1">IFERROR(__xludf.DUMMYFUNCTION("""COMPUTED_VALUE"""),42432.6666666666)</f>
        <v>42432.666666666599</v>
      </c>
      <c r="B107" s="1">
        <f ca="1">IFERROR(__xludf.DUMMYFUNCTION("""COMPUTED_VALUE"""),12.55)</f>
        <v>12.55</v>
      </c>
      <c r="C107" s="1">
        <f ca="1">IFERROR(__xludf.DUMMYFUNCTION("""COMPUTED_VALUE"""),13.16)</f>
        <v>13.16</v>
      </c>
      <c r="D107" s="1">
        <f ca="1">IFERROR(__xludf.DUMMYFUNCTION("""COMPUTED_VALUE"""),12.28)</f>
        <v>12.28</v>
      </c>
      <c r="E107" s="1">
        <f ca="1">IFERROR(__xludf.DUMMYFUNCTION("""COMPUTED_VALUE"""),13.05)</f>
        <v>13.05</v>
      </c>
      <c r="F107" s="1">
        <f ca="1">IFERROR(__xludf.DUMMYFUNCTION("""COMPUTED_VALUE"""),4829018)</f>
        <v>4829018</v>
      </c>
    </row>
    <row r="108" spans="1:6" x14ac:dyDescent="0.2">
      <c r="A108" s="2">
        <f ca="1">IFERROR(__xludf.DUMMYFUNCTION("""COMPUTED_VALUE"""),42433.6666666666)</f>
        <v>42433.666666666599</v>
      </c>
      <c r="B108" s="1">
        <f ca="1">IFERROR(__xludf.DUMMYFUNCTION("""COMPUTED_VALUE"""),13.2)</f>
        <v>13.2</v>
      </c>
      <c r="C108" s="1">
        <f ca="1">IFERROR(__xludf.DUMMYFUNCTION("""COMPUTED_VALUE"""),13.6)</f>
        <v>13.6</v>
      </c>
      <c r="D108" s="1">
        <f ca="1">IFERROR(__xludf.DUMMYFUNCTION("""COMPUTED_VALUE"""),13.17)</f>
        <v>13.17</v>
      </c>
      <c r="E108" s="1">
        <f ca="1">IFERROR(__xludf.DUMMYFUNCTION("""COMPUTED_VALUE"""),13.4)</f>
        <v>13.4</v>
      </c>
      <c r="F108" s="1">
        <f ca="1">IFERROR(__xludf.DUMMYFUNCTION("""COMPUTED_VALUE"""),6489058)</f>
        <v>6489058</v>
      </c>
    </row>
    <row r="109" spans="1:6" x14ac:dyDescent="0.2">
      <c r="A109" s="2">
        <f ca="1">IFERROR(__xludf.DUMMYFUNCTION("""COMPUTED_VALUE"""),42436.6666666666)</f>
        <v>42436.666666666599</v>
      </c>
      <c r="B109" s="1">
        <f ca="1">IFERROR(__xludf.DUMMYFUNCTION("""COMPUTED_VALUE"""),13.18)</f>
        <v>13.18</v>
      </c>
      <c r="C109" s="1">
        <f ca="1">IFERROR(__xludf.DUMMYFUNCTION("""COMPUTED_VALUE"""),13.98)</f>
        <v>13.98</v>
      </c>
      <c r="D109" s="1">
        <f ca="1">IFERROR(__xludf.DUMMYFUNCTION("""COMPUTED_VALUE"""),13.16)</f>
        <v>13.16</v>
      </c>
      <c r="E109" s="1">
        <f ca="1">IFERROR(__xludf.DUMMYFUNCTION("""COMPUTED_VALUE"""),13.69)</f>
        <v>13.69</v>
      </c>
      <c r="F109" s="1">
        <f ca="1">IFERROR(__xludf.DUMMYFUNCTION("""COMPUTED_VALUE"""),5337072)</f>
        <v>5337072</v>
      </c>
    </row>
    <row r="110" spans="1:6" x14ac:dyDescent="0.2">
      <c r="A110" s="2">
        <f ca="1">IFERROR(__xludf.DUMMYFUNCTION("""COMPUTED_VALUE"""),42437.6666666666)</f>
        <v>42437.666666666599</v>
      </c>
      <c r="B110" s="1">
        <f ca="1">IFERROR(__xludf.DUMMYFUNCTION("""COMPUTED_VALUE"""),13.57)</f>
        <v>13.57</v>
      </c>
      <c r="C110" s="1">
        <f ca="1">IFERROR(__xludf.DUMMYFUNCTION("""COMPUTED_VALUE"""),13.83)</f>
        <v>13.83</v>
      </c>
      <c r="D110" s="1">
        <f ca="1">IFERROR(__xludf.DUMMYFUNCTION("""COMPUTED_VALUE"""),13.48)</f>
        <v>13.48</v>
      </c>
      <c r="E110" s="1">
        <f ca="1">IFERROR(__xludf.DUMMYFUNCTION("""COMPUTED_VALUE"""),13.51)</f>
        <v>13.51</v>
      </c>
      <c r="F110" s="1">
        <f ca="1">IFERROR(__xludf.DUMMYFUNCTION("""COMPUTED_VALUE"""),4178693)</f>
        <v>4178693</v>
      </c>
    </row>
    <row r="111" spans="1:6" x14ac:dyDescent="0.2">
      <c r="A111" s="2">
        <f ca="1">IFERROR(__xludf.DUMMYFUNCTION("""COMPUTED_VALUE"""),42438.6666666666)</f>
        <v>42438.666666666599</v>
      </c>
      <c r="B111" s="1">
        <f ca="1">IFERROR(__xludf.DUMMYFUNCTION("""COMPUTED_VALUE"""),13.63)</f>
        <v>13.63</v>
      </c>
      <c r="C111" s="1">
        <f ca="1">IFERROR(__xludf.DUMMYFUNCTION("""COMPUTED_VALUE"""),13.96)</f>
        <v>13.96</v>
      </c>
      <c r="D111" s="1">
        <f ca="1">IFERROR(__xludf.DUMMYFUNCTION("""COMPUTED_VALUE"""),13.52)</f>
        <v>13.52</v>
      </c>
      <c r="E111" s="1">
        <f ca="1">IFERROR(__xludf.DUMMYFUNCTION("""COMPUTED_VALUE"""),13.91)</f>
        <v>13.91</v>
      </c>
      <c r="F111" s="1">
        <f ca="1">IFERROR(__xludf.DUMMYFUNCTION("""COMPUTED_VALUE"""),3208554)</f>
        <v>3208554</v>
      </c>
    </row>
    <row r="112" spans="1:6" x14ac:dyDescent="0.2">
      <c r="A112" s="2">
        <f ca="1">IFERROR(__xludf.DUMMYFUNCTION("""COMPUTED_VALUE"""),42439.6666666666)</f>
        <v>42439.666666666599</v>
      </c>
      <c r="B112" s="1">
        <f ca="1">IFERROR(__xludf.DUMMYFUNCTION("""COMPUTED_VALUE"""),14)</f>
        <v>14</v>
      </c>
      <c r="C112" s="1">
        <f ca="1">IFERROR(__xludf.DUMMYFUNCTION("""COMPUTED_VALUE"""),14.22)</f>
        <v>14.22</v>
      </c>
      <c r="D112" s="1">
        <f ca="1">IFERROR(__xludf.DUMMYFUNCTION("""COMPUTED_VALUE"""),13.38)</f>
        <v>13.38</v>
      </c>
      <c r="E112" s="1">
        <f ca="1">IFERROR(__xludf.DUMMYFUNCTION("""COMPUTED_VALUE"""),13.68)</f>
        <v>13.68</v>
      </c>
      <c r="F112" s="1">
        <f ca="1">IFERROR(__xludf.DUMMYFUNCTION("""COMPUTED_VALUE"""),5192523)</f>
        <v>5192523</v>
      </c>
    </row>
    <row r="113" spans="1:6" x14ac:dyDescent="0.2">
      <c r="A113" s="2">
        <f ca="1">IFERROR(__xludf.DUMMYFUNCTION("""COMPUTED_VALUE"""),42440.6666666666)</f>
        <v>42440.666666666599</v>
      </c>
      <c r="B113" s="1">
        <f ca="1">IFERROR(__xludf.DUMMYFUNCTION("""COMPUTED_VALUE"""),13.86)</f>
        <v>13.86</v>
      </c>
      <c r="C113" s="1">
        <f ca="1">IFERROR(__xludf.DUMMYFUNCTION("""COMPUTED_VALUE"""),13.96)</f>
        <v>13.96</v>
      </c>
      <c r="D113" s="1">
        <f ca="1">IFERROR(__xludf.DUMMYFUNCTION("""COMPUTED_VALUE"""),13.69)</f>
        <v>13.69</v>
      </c>
      <c r="E113" s="1">
        <f ca="1">IFERROR(__xludf.DUMMYFUNCTION("""COMPUTED_VALUE"""),13.83)</f>
        <v>13.83</v>
      </c>
      <c r="F113" s="1">
        <f ca="1">IFERROR(__xludf.DUMMYFUNCTION("""COMPUTED_VALUE"""),3343077)</f>
        <v>3343077</v>
      </c>
    </row>
    <row r="114" spans="1:6" x14ac:dyDescent="0.2">
      <c r="A114" s="2">
        <f ca="1">IFERROR(__xludf.DUMMYFUNCTION("""COMPUTED_VALUE"""),42443.6666666666)</f>
        <v>42443.666666666599</v>
      </c>
      <c r="B114" s="1">
        <f ca="1">IFERROR(__xludf.DUMMYFUNCTION("""COMPUTED_VALUE"""),14.18)</f>
        <v>14.18</v>
      </c>
      <c r="C114" s="1">
        <f ca="1">IFERROR(__xludf.DUMMYFUNCTION("""COMPUTED_VALUE"""),14.45)</f>
        <v>14.45</v>
      </c>
      <c r="D114" s="1">
        <f ca="1">IFERROR(__xludf.DUMMYFUNCTION("""COMPUTED_VALUE"""),14.04)</f>
        <v>14.04</v>
      </c>
      <c r="E114" s="1">
        <f ca="1">IFERROR(__xludf.DUMMYFUNCTION("""COMPUTED_VALUE"""),14.34)</f>
        <v>14.34</v>
      </c>
      <c r="F114" s="1">
        <f ca="1">IFERROR(__xludf.DUMMYFUNCTION("""COMPUTED_VALUE"""),4065706)</f>
        <v>4065706</v>
      </c>
    </row>
    <row r="115" spans="1:6" x14ac:dyDescent="0.2">
      <c r="A115" s="2">
        <f ca="1">IFERROR(__xludf.DUMMYFUNCTION("""COMPUTED_VALUE"""),42444.6666666666)</f>
        <v>42444.666666666599</v>
      </c>
      <c r="B115" s="1">
        <f ca="1">IFERROR(__xludf.DUMMYFUNCTION("""COMPUTED_VALUE"""),14.28)</f>
        <v>14.28</v>
      </c>
      <c r="C115" s="1">
        <f ca="1">IFERROR(__xludf.DUMMYFUNCTION("""COMPUTED_VALUE"""),14.6)</f>
        <v>14.6</v>
      </c>
      <c r="D115" s="1">
        <f ca="1">IFERROR(__xludf.DUMMYFUNCTION("""COMPUTED_VALUE"""),14.1)</f>
        <v>14.1</v>
      </c>
      <c r="E115" s="1">
        <f ca="1">IFERROR(__xludf.DUMMYFUNCTION("""COMPUTED_VALUE"""),14.56)</f>
        <v>14.56</v>
      </c>
      <c r="F115" s="1">
        <f ca="1">IFERROR(__xludf.DUMMYFUNCTION("""COMPUTED_VALUE"""),3180452)</f>
        <v>3180452</v>
      </c>
    </row>
    <row r="116" spans="1:6" x14ac:dyDescent="0.2">
      <c r="A116" s="2">
        <f ca="1">IFERROR(__xludf.DUMMYFUNCTION("""COMPUTED_VALUE"""),42445.6666666666)</f>
        <v>42445.666666666599</v>
      </c>
      <c r="B116" s="1">
        <f ca="1">IFERROR(__xludf.DUMMYFUNCTION("""COMPUTED_VALUE"""),14.53)</f>
        <v>14.53</v>
      </c>
      <c r="C116" s="1">
        <f ca="1">IFERROR(__xludf.DUMMYFUNCTION("""COMPUTED_VALUE"""),14.84)</f>
        <v>14.84</v>
      </c>
      <c r="D116" s="1">
        <f ca="1">IFERROR(__xludf.DUMMYFUNCTION("""COMPUTED_VALUE"""),14.47)</f>
        <v>14.47</v>
      </c>
      <c r="E116" s="1">
        <f ca="1">IFERROR(__xludf.DUMMYFUNCTION("""COMPUTED_VALUE"""),14.8)</f>
        <v>14.8</v>
      </c>
      <c r="F116" s="1">
        <f ca="1">IFERROR(__xludf.DUMMYFUNCTION("""COMPUTED_VALUE"""),3516703)</f>
        <v>3516703</v>
      </c>
    </row>
    <row r="117" spans="1:6" x14ac:dyDescent="0.2">
      <c r="A117" s="2">
        <f ca="1">IFERROR(__xludf.DUMMYFUNCTION("""COMPUTED_VALUE"""),42446.6666666666)</f>
        <v>42446.666666666599</v>
      </c>
      <c r="B117" s="1">
        <f ca="1">IFERROR(__xludf.DUMMYFUNCTION("""COMPUTED_VALUE"""),14.76)</f>
        <v>14.76</v>
      </c>
      <c r="C117" s="1">
        <f ca="1">IFERROR(__xludf.DUMMYFUNCTION("""COMPUTED_VALUE"""),15.23)</f>
        <v>15.23</v>
      </c>
      <c r="D117" s="1">
        <f ca="1">IFERROR(__xludf.DUMMYFUNCTION("""COMPUTED_VALUE"""),14.67)</f>
        <v>14.67</v>
      </c>
      <c r="E117" s="1">
        <f ca="1">IFERROR(__xludf.DUMMYFUNCTION("""COMPUTED_VALUE"""),15.09)</f>
        <v>15.09</v>
      </c>
      <c r="F117" s="1">
        <f ca="1">IFERROR(__xludf.DUMMYFUNCTION("""COMPUTED_VALUE"""),1094018)</f>
        <v>1094018</v>
      </c>
    </row>
    <row r="118" spans="1:6" x14ac:dyDescent="0.2">
      <c r="A118" s="2">
        <f ca="1">IFERROR(__xludf.DUMMYFUNCTION("""COMPUTED_VALUE"""),42447.6666666666)</f>
        <v>42447.666666666599</v>
      </c>
      <c r="B118" s="1">
        <f ca="1">IFERROR(__xludf.DUMMYFUNCTION("""COMPUTED_VALUE"""),15.27)</f>
        <v>15.27</v>
      </c>
      <c r="C118" s="1">
        <f ca="1">IFERROR(__xludf.DUMMYFUNCTION("""COMPUTED_VALUE"""),15.63)</f>
        <v>15.63</v>
      </c>
      <c r="D118" s="1">
        <f ca="1">IFERROR(__xludf.DUMMYFUNCTION("""COMPUTED_VALUE"""),15.2)</f>
        <v>15.2</v>
      </c>
      <c r="E118" s="1">
        <f ca="1">IFERROR(__xludf.DUMMYFUNCTION("""COMPUTED_VALUE"""),15.52)</f>
        <v>15.52</v>
      </c>
      <c r="F118" s="1">
        <f ca="1">IFERROR(__xludf.DUMMYFUNCTION("""COMPUTED_VALUE"""),4711793)</f>
        <v>4711793</v>
      </c>
    </row>
    <row r="119" spans="1:6" x14ac:dyDescent="0.2">
      <c r="A119" s="2">
        <f ca="1">IFERROR(__xludf.DUMMYFUNCTION("""COMPUTED_VALUE"""),42450.6666666666)</f>
        <v>42450.666666666599</v>
      </c>
      <c r="B119" s="1">
        <f ca="1">IFERROR(__xludf.DUMMYFUNCTION("""COMPUTED_VALUE"""),15.69)</f>
        <v>15.69</v>
      </c>
      <c r="C119" s="1">
        <f ca="1">IFERROR(__xludf.DUMMYFUNCTION("""COMPUTED_VALUE"""),15.99)</f>
        <v>15.99</v>
      </c>
      <c r="D119" s="1">
        <f ca="1">IFERROR(__xludf.DUMMYFUNCTION("""COMPUTED_VALUE"""),15.67)</f>
        <v>15.67</v>
      </c>
      <c r="E119" s="1">
        <f ca="1">IFERROR(__xludf.DUMMYFUNCTION("""COMPUTED_VALUE"""),15.89)</f>
        <v>15.89</v>
      </c>
      <c r="F119" s="1">
        <f ca="1">IFERROR(__xludf.DUMMYFUNCTION("""COMPUTED_VALUE"""),5307822)</f>
        <v>5307822</v>
      </c>
    </row>
    <row r="120" spans="1:6" x14ac:dyDescent="0.2">
      <c r="A120" s="2">
        <f ca="1">IFERROR(__xludf.DUMMYFUNCTION("""COMPUTED_VALUE"""),42451.6666666666)</f>
        <v>42451.666666666599</v>
      </c>
      <c r="B120" s="1">
        <f ca="1">IFERROR(__xludf.DUMMYFUNCTION("""COMPUTED_VALUE"""),15.81)</f>
        <v>15.81</v>
      </c>
      <c r="C120" s="1">
        <f ca="1">IFERROR(__xludf.DUMMYFUNCTION("""COMPUTED_VALUE"""),15.93)</f>
        <v>15.93</v>
      </c>
      <c r="D120" s="1">
        <f ca="1">IFERROR(__xludf.DUMMYFUNCTION("""COMPUTED_VALUE"""),15.5)</f>
        <v>15.5</v>
      </c>
      <c r="E120" s="1">
        <f ca="1">IFERROR(__xludf.DUMMYFUNCTION("""COMPUTED_VALUE"""),15.62)</f>
        <v>15.62</v>
      </c>
      <c r="F120" s="1">
        <f ca="1">IFERROR(__xludf.DUMMYFUNCTION("""COMPUTED_VALUE"""),4315988)</f>
        <v>4315988</v>
      </c>
    </row>
    <row r="121" spans="1:6" x14ac:dyDescent="0.2">
      <c r="A121" s="2">
        <f ca="1">IFERROR(__xludf.DUMMYFUNCTION("""COMPUTED_VALUE"""),42452.6666666666)</f>
        <v>42452.666666666599</v>
      </c>
      <c r="B121" s="1">
        <f ca="1">IFERROR(__xludf.DUMMYFUNCTION("""COMPUTED_VALUE"""),15.49)</f>
        <v>15.49</v>
      </c>
      <c r="C121" s="1">
        <f ca="1">IFERROR(__xludf.DUMMYFUNCTION("""COMPUTED_VALUE"""),15.65)</f>
        <v>15.65</v>
      </c>
      <c r="D121" s="1">
        <f ca="1">IFERROR(__xludf.DUMMYFUNCTION("""COMPUTED_VALUE"""),14.8)</f>
        <v>14.8</v>
      </c>
      <c r="E121" s="1">
        <f ca="1">IFERROR(__xludf.DUMMYFUNCTION("""COMPUTED_VALUE"""),14.84)</f>
        <v>14.84</v>
      </c>
      <c r="F121" s="1">
        <f ca="1">IFERROR(__xludf.DUMMYFUNCTION("""COMPUTED_VALUE"""),4948841)</f>
        <v>4948841</v>
      </c>
    </row>
    <row r="122" spans="1:6" x14ac:dyDescent="0.2">
      <c r="A122" s="2">
        <f ca="1">IFERROR(__xludf.DUMMYFUNCTION("""COMPUTED_VALUE"""),42453.6666666666)</f>
        <v>42453.666666666599</v>
      </c>
      <c r="B122" s="1">
        <f ca="1">IFERROR(__xludf.DUMMYFUNCTION("""COMPUTED_VALUE"""),14.39)</f>
        <v>14.39</v>
      </c>
      <c r="C122" s="1">
        <f ca="1">IFERROR(__xludf.DUMMYFUNCTION("""COMPUTED_VALUE"""),15.26)</f>
        <v>15.26</v>
      </c>
      <c r="D122" s="1">
        <f ca="1">IFERROR(__xludf.DUMMYFUNCTION("""COMPUTED_VALUE"""),14.33)</f>
        <v>14.33</v>
      </c>
      <c r="E122" s="1">
        <f ca="1">IFERROR(__xludf.DUMMYFUNCTION("""COMPUTED_VALUE"""),15.18)</f>
        <v>15.18</v>
      </c>
      <c r="F122" s="1">
        <f ca="1">IFERROR(__xludf.DUMMYFUNCTION("""COMPUTED_VALUE"""),4960900)</f>
        <v>4960900</v>
      </c>
    </row>
    <row r="123" spans="1:6" x14ac:dyDescent="0.2">
      <c r="A123" s="2">
        <f ca="1">IFERROR(__xludf.DUMMYFUNCTION("""COMPUTED_VALUE"""),42457.6666666666)</f>
        <v>42457.666666666599</v>
      </c>
      <c r="B123" s="1">
        <f ca="1">IFERROR(__xludf.DUMMYFUNCTION("""COMPUTED_VALUE"""),15.44)</f>
        <v>15.44</v>
      </c>
      <c r="C123" s="1">
        <f ca="1">IFERROR(__xludf.DUMMYFUNCTION("""COMPUTED_VALUE"""),15.65)</f>
        <v>15.65</v>
      </c>
      <c r="D123" s="1">
        <f ca="1">IFERROR(__xludf.DUMMYFUNCTION("""COMPUTED_VALUE"""),15)</f>
        <v>15</v>
      </c>
      <c r="E123" s="1">
        <f ca="1">IFERROR(__xludf.DUMMYFUNCTION("""COMPUTED_VALUE"""),15.35)</f>
        <v>15.35</v>
      </c>
      <c r="F123" s="1">
        <f ca="1">IFERROR(__xludf.DUMMYFUNCTION("""COMPUTED_VALUE"""),3925685)</f>
        <v>3925685</v>
      </c>
    </row>
    <row r="124" spans="1:6" x14ac:dyDescent="0.2">
      <c r="A124" s="2">
        <f ca="1">IFERROR(__xludf.DUMMYFUNCTION("""COMPUTED_VALUE"""),42458.6666666666)</f>
        <v>42458.666666666599</v>
      </c>
      <c r="B124" s="1">
        <f ca="1">IFERROR(__xludf.DUMMYFUNCTION("""COMPUTED_VALUE"""),15.33)</f>
        <v>15.33</v>
      </c>
      <c r="C124" s="1">
        <f ca="1">IFERROR(__xludf.DUMMYFUNCTION("""COMPUTED_VALUE"""),15.49)</f>
        <v>15.49</v>
      </c>
      <c r="D124" s="1">
        <f ca="1">IFERROR(__xludf.DUMMYFUNCTION("""COMPUTED_VALUE"""),15.02)</f>
        <v>15.02</v>
      </c>
      <c r="E124" s="1">
        <f ca="1">IFERROR(__xludf.DUMMYFUNCTION("""COMPUTED_VALUE"""),15.34)</f>
        <v>15.34</v>
      </c>
      <c r="F124" s="1">
        <f ca="1">IFERROR(__xludf.DUMMYFUNCTION("""COMPUTED_VALUE"""),4014330)</f>
        <v>4014330</v>
      </c>
    </row>
    <row r="125" spans="1:6" x14ac:dyDescent="0.2">
      <c r="A125" s="2">
        <f ca="1">IFERROR(__xludf.DUMMYFUNCTION("""COMPUTED_VALUE"""),42459.6666666666)</f>
        <v>42459.666666666599</v>
      </c>
      <c r="B125" s="1">
        <f ca="1">IFERROR(__xludf.DUMMYFUNCTION("""COMPUTED_VALUE"""),15.67)</f>
        <v>15.67</v>
      </c>
      <c r="C125" s="1">
        <f ca="1">IFERROR(__xludf.DUMMYFUNCTION("""COMPUTED_VALUE"""),15.7)</f>
        <v>15.7</v>
      </c>
      <c r="D125" s="1">
        <f ca="1">IFERROR(__xludf.DUMMYFUNCTION("""COMPUTED_VALUE"""),15.1)</f>
        <v>15.1</v>
      </c>
      <c r="E125" s="1">
        <f ca="1">IFERROR(__xludf.DUMMYFUNCTION("""COMPUTED_VALUE"""),15.13)</f>
        <v>15.13</v>
      </c>
      <c r="F125" s="1">
        <f ca="1">IFERROR(__xludf.DUMMYFUNCTION("""COMPUTED_VALUE"""),4032982)</f>
        <v>4032982</v>
      </c>
    </row>
    <row r="126" spans="1:6" x14ac:dyDescent="0.2">
      <c r="A126" s="2">
        <f ca="1">IFERROR(__xludf.DUMMYFUNCTION("""COMPUTED_VALUE"""),42460.6666666666)</f>
        <v>42460.666666666599</v>
      </c>
      <c r="B126" s="1">
        <f ca="1">IFERROR(__xludf.DUMMYFUNCTION("""COMPUTED_VALUE"""),15.29)</f>
        <v>15.29</v>
      </c>
      <c r="C126" s="1">
        <f ca="1">IFERROR(__xludf.DUMMYFUNCTION("""COMPUTED_VALUE"""),15.83)</f>
        <v>15.83</v>
      </c>
      <c r="D126" s="1">
        <f ca="1">IFERROR(__xludf.DUMMYFUNCTION("""COMPUTED_VALUE"""),15)</f>
        <v>15</v>
      </c>
      <c r="E126" s="1">
        <f ca="1">IFERROR(__xludf.DUMMYFUNCTION("""COMPUTED_VALUE"""),15.32)</f>
        <v>15.32</v>
      </c>
      <c r="F126" s="1">
        <f ca="1">IFERROR(__xludf.DUMMYFUNCTION("""COMPUTED_VALUE"""),8012872)</f>
        <v>8012872</v>
      </c>
    </row>
    <row r="127" spans="1:6" x14ac:dyDescent="0.2">
      <c r="A127" s="2">
        <f ca="1">IFERROR(__xludf.DUMMYFUNCTION("""COMPUTED_VALUE"""),42461.6666666666)</f>
        <v>42461.666666666599</v>
      </c>
      <c r="B127" s="1">
        <f ca="1">IFERROR(__xludf.DUMMYFUNCTION("""COMPUTED_VALUE"""),16.32)</f>
        <v>16.32</v>
      </c>
      <c r="C127" s="1">
        <f ca="1">IFERROR(__xludf.DUMMYFUNCTION("""COMPUTED_VALUE"""),16.53)</f>
        <v>16.53</v>
      </c>
      <c r="D127" s="1">
        <f ca="1">IFERROR(__xludf.DUMMYFUNCTION("""COMPUTED_VALUE"""),15.55)</f>
        <v>15.55</v>
      </c>
      <c r="E127" s="1">
        <f ca="1">IFERROR(__xludf.DUMMYFUNCTION("""COMPUTED_VALUE"""),15.84)</f>
        <v>15.84</v>
      </c>
      <c r="F127" s="1">
        <f ca="1">IFERROR(__xludf.DUMMYFUNCTION("""COMPUTED_VALUE"""),15997509)</f>
        <v>15997509</v>
      </c>
    </row>
    <row r="128" spans="1:6" x14ac:dyDescent="0.2">
      <c r="A128" s="2">
        <f ca="1">IFERROR(__xludf.DUMMYFUNCTION("""COMPUTED_VALUE"""),42464.6666666666)</f>
        <v>42464.666666666599</v>
      </c>
      <c r="B128" s="1">
        <f ca="1">IFERROR(__xludf.DUMMYFUNCTION("""COMPUTED_VALUE"""),16.61)</f>
        <v>16.61</v>
      </c>
      <c r="C128" s="1">
        <f ca="1">IFERROR(__xludf.DUMMYFUNCTION("""COMPUTED_VALUE"""),16.81)</f>
        <v>16.809999999999999</v>
      </c>
      <c r="D128" s="1">
        <f ca="1">IFERROR(__xludf.DUMMYFUNCTION("""COMPUTED_VALUE"""),16.24)</f>
        <v>16.239999999999998</v>
      </c>
      <c r="E128" s="1">
        <f ca="1">IFERROR(__xludf.DUMMYFUNCTION("""COMPUTED_VALUE"""),16.47)</f>
        <v>16.47</v>
      </c>
      <c r="F128" s="1">
        <f ca="1">IFERROR(__xludf.DUMMYFUNCTION("""COMPUTED_VALUE"""),13475327)</f>
        <v>13475327</v>
      </c>
    </row>
    <row r="129" spans="1:6" x14ac:dyDescent="0.2">
      <c r="A129" s="2">
        <f ca="1">IFERROR(__xludf.DUMMYFUNCTION("""COMPUTED_VALUE"""),42465.6666666666)</f>
        <v>42465.666666666599</v>
      </c>
      <c r="B129" s="1">
        <f ca="1">IFERROR(__xludf.DUMMYFUNCTION("""COMPUTED_VALUE"""),16.03)</f>
        <v>16.03</v>
      </c>
      <c r="C129" s="1">
        <f ca="1">IFERROR(__xludf.DUMMYFUNCTION("""COMPUTED_VALUE"""),17.1)</f>
        <v>17.100000000000001</v>
      </c>
      <c r="D129" s="1">
        <f ca="1">IFERROR(__xludf.DUMMYFUNCTION("""COMPUTED_VALUE"""),16)</f>
        <v>16</v>
      </c>
      <c r="E129" s="1">
        <f ca="1">IFERROR(__xludf.DUMMYFUNCTION("""COMPUTED_VALUE"""),17.03)</f>
        <v>17.03</v>
      </c>
      <c r="F129" s="1">
        <f ca="1">IFERROR(__xludf.DUMMYFUNCTION("""COMPUTED_VALUE"""),9948699)</f>
        <v>9948699</v>
      </c>
    </row>
    <row r="130" spans="1:6" x14ac:dyDescent="0.2">
      <c r="A130" s="2">
        <f ca="1">IFERROR(__xludf.DUMMYFUNCTION("""COMPUTED_VALUE"""),42466.6666666666)</f>
        <v>42466.666666666599</v>
      </c>
      <c r="B130" s="1">
        <f ca="1">IFERROR(__xludf.DUMMYFUNCTION("""COMPUTED_VALUE"""),16.93)</f>
        <v>16.93</v>
      </c>
      <c r="C130" s="1">
        <f ca="1">IFERROR(__xludf.DUMMYFUNCTION("""COMPUTED_VALUE"""),17.85)</f>
        <v>17.850000000000001</v>
      </c>
      <c r="D130" s="1">
        <f ca="1">IFERROR(__xludf.DUMMYFUNCTION("""COMPUTED_VALUE"""),16.9)</f>
        <v>16.899999999999999</v>
      </c>
      <c r="E130" s="1">
        <f ca="1">IFERROR(__xludf.DUMMYFUNCTION("""COMPUTED_VALUE"""),17.69)</f>
        <v>17.690000000000001</v>
      </c>
      <c r="F130" s="1">
        <f ca="1">IFERROR(__xludf.DUMMYFUNCTION("""COMPUTED_VALUE"""),11705479)</f>
        <v>11705479</v>
      </c>
    </row>
    <row r="131" spans="1:6" x14ac:dyDescent="0.2">
      <c r="A131" s="2">
        <f ca="1">IFERROR(__xludf.DUMMYFUNCTION("""COMPUTED_VALUE"""),42467.6666666666)</f>
        <v>42467.666666666599</v>
      </c>
      <c r="B131" s="1">
        <f ca="1">IFERROR(__xludf.DUMMYFUNCTION("""COMPUTED_VALUE"""),17.76)</f>
        <v>17.760000000000002</v>
      </c>
      <c r="C131" s="1">
        <f ca="1">IFERROR(__xludf.DUMMYFUNCTION("""COMPUTED_VALUE"""),17.96)</f>
        <v>17.96</v>
      </c>
      <c r="D131" s="1">
        <f ca="1">IFERROR(__xludf.DUMMYFUNCTION("""COMPUTED_VALUE"""),16.97)</f>
        <v>16.97</v>
      </c>
      <c r="E131" s="1">
        <f ca="1">IFERROR(__xludf.DUMMYFUNCTION("""COMPUTED_VALUE"""),17.15)</f>
        <v>17.149999999999999</v>
      </c>
      <c r="F131" s="1">
        <f ca="1">IFERROR(__xludf.DUMMYFUNCTION("""COMPUTED_VALUE"""),8856171)</f>
        <v>8856171</v>
      </c>
    </row>
    <row r="132" spans="1:6" x14ac:dyDescent="0.2">
      <c r="A132" s="2">
        <f ca="1">IFERROR(__xludf.DUMMYFUNCTION("""COMPUTED_VALUE"""),42468.6666666666)</f>
        <v>42468.666666666599</v>
      </c>
      <c r="B132" s="1">
        <f ca="1">IFERROR(__xludf.DUMMYFUNCTION("""COMPUTED_VALUE"""),17.37)</f>
        <v>17.37</v>
      </c>
      <c r="C132" s="1">
        <f ca="1">IFERROR(__xludf.DUMMYFUNCTION("""COMPUTED_VALUE"""),17.39)</f>
        <v>17.39</v>
      </c>
      <c r="D132" s="1">
        <f ca="1">IFERROR(__xludf.DUMMYFUNCTION("""COMPUTED_VALUE"""),16.53)</f>
        <v>16.53</v>
      </c>
      <c r="E132" s="1">
        <f ca="1">IFERROR(__xludf.DUMMYFUNCTION("""COMPUTED_VALUE"""),16.67)</f>
        <v>16.670000000000002</v>
      </c>
      <c r="F132" s="1">
        <f ca="1">IFERROR(__xludf.DUMMYFUNCTION("""COMPUTED_VALUE"""),7363935)</f>
        <v>7363935</v>
      </c>
    </row>
    <row r="133" spans="1:6" x14ac:dyDescent="0.2">
      <c r="A133" s="2">
        <f ca="1">IFERROR(__xludf.DUMMYFUNCTION("""COMPUTED_VALUE"""),42471.6666666666)</f>
        <v>42471.666666666599</v>
      </c>
      <c r="B133" s="1">
        <f ca="1">IFERROR(__xludf.DUMMYFUNCTION("""COMPUTED_VALUE"""),16.73)</f>
        <v>16.73</v>
      </c>
      <c r="C133" s="1">
        <f ca="1">IFERROR(__xludf.DUMMYFUNCTION("""COMPUTED_VALUE"""),17.27)</f>
        <v>17.27</v>
      </c>
      <c r="D133" s="1">
        <f ca="1">IFERROR(__xludf.DUMMYFUNCTION("""COMPUTED_VALUE"""),16.35)</f>
        <v>16.350000000000001</v>
      </c>
      <c r="E133" s="1">
        <f ca="1">IFERROR(__xludf.DUMMYFUNCTION("""COMPUTED_VALUE"""),16.66)</f>
        <v>16.66</v>
      </c>
      <c r="F133" s="1">
        <f ca="1">IFERROR(__xludf.DUMMYFUNCTION("""COMPUTED_VALUE"""),9161693)</f>
        <v>9161693</v>
      </c>
    </row>
    <row r="134" spans="1:6" x14ac:dyDescent="0.2">
      <c r="A134" s="2">
        <f ca="1">IFERROR(__xludf.DUMMYFUNCTION("""COMPUTED_VALUE"""),42472.6666666666)</f>
        <v>42472.666666666599</v>
      </c>
      <c r="B134" s="1">
        <f ca="1">IFERROR(__xludf.DUMMYFUNCTION("""COMPUTED_VALUE"""),16.63)</f>
        <v>16.63</v>
      </c>
      <c r="C134" s="1">
        <f ca="1">IFERROR(__xludf.DUMMYFUNCTION("""COMPUTED_VALUE"""),16.79)</f>
        <v>16.79</v>
      </c>
      <c r="D134" s="1">
        <f ca="1">IFERROR(__xludf.DUMMYFUNCTION("""COMPUTED_VALUE"""),16.24)</f>
        <v>16.239999999999998</v>
      </c>
      <c r="E134" s="1">
        <f ca="1">IFERROR(__xludf.DUMMYFUNCTION("""COMPUTED_VALUE"""),16.52)</f>
        <v>16.52</v>
      </c>
      <c r="F134" s="1">
        <f ca="1">IFERROR(__xludf.DUMMYFUNCTION("""COMPUTED_VALUE"""),5763208)</f>
        <v>5763208</v>
      </c>
    </row>
    <row r="135" spans="1:6" x14ac:dyDescent="0.2">
      <c r="A135" s="2">
        <f ca="1">IFERROR(__xludf.DUMMYFUNCTION("""COMPUTED_VALUE"""),42473.6666666666)</f>
        <v>42473.666666666599</v>
      </c>
      <c r="B135" s="1">
        <f ca="1">IFERROR(__xludf.DUMMYFUNCTION("""COMPUTED_VALUE"""),16.57)</f>
        <v>16.57</v>
      </c>
      <c r="C135" s="1">
        <f ca="1">IFERROR(__xludf.DUMMYFUNCTION("""COMPUTED_VALUE"""),17.03)</f>
        <v>17.03</v>
      </c>
      <c r="D135" s="1">
        <f ca="1">IFERROR(__xludf.DUMMYFUNCTION("""COMPUTED_VALUE"""),16.49)</f>
        <v>16.489999999999998</v>
      </c>
      <c r="E135" s="1">
        <f ca="1">IFERROR(__xludf.DUMMYFUNCTION("""COMPUTED_VALUE"""),16.97)</f>
        <v>16.97</v>
      </c>
      <c r="F135" s="1">
        <f ca="1">IFERROR(__xludf.DUMMYFUNCTION("""COMPUTED_VALUE"""),4925595)</f>
        <v>4925595</v>
      </c>
    </row>
    <row r="136" spans="1:6" x14ac:dyDescent="0.2">
      <c r="A136" s="2">
        <f ca="1">IFERROR(__xludf.DUMMYFUNCTION("""COMPUTED_VALUE"""),42474.6666666666)</f>
        <v>42474.666666666599</v>
      </c>
      <c r="B136" s="1">
        <f ca="1">IFERROR(__xludf.DUMMYFUNCTION("""COMPUTED_VALUE"""),16.87)</f>
        <v>16.87</v>
      </c>
      <c r="C136" s="1">
        <f ca="1">IFERROR(__xludf.DUMMYFUNCTION("""COMPUTED_VALUE"""),17.12)</f>
        <v>17.12</v>
      </c>
      <c r="D136" s="1">
        <f ca="1">IFERROR(__xludf.DUMMYFUNCTION("""COMPUTED_VALUE"""),16.74)</f>
        <v>16.739999999999998</v>
      </c>
      <c r="E136" s="1">
        <f ca="1">IFERROR(__xludf.DUMMYFUNCTION("""COMPUTED_VALUE"""),16.79)</f>
        <v>16.79</v>
      </c>
      <c r="F136" s="1">
        <f ca="1">IFERROR(__xludf.DUMMYFUNCTION("""COMPUTED_VALUE"""),4132185)</f>
        <v>4132185</v>
      </c>
    </row>
    <row r="137" spans="1:6" x14ac:dyDescent="0.2">
      <c r="A137" s="2">
        <f ca="1">IFERROR(__xludf.DUMMYFUNCTION("""COMPUTED_VALUE"""),42475.6666666666)</f>
        <v>42475.666666666599</v>
      </c>
      <c r="B137" s="1">
        <f ca="1">IFERROR(__xludf.DUMMYFUNCTION("""COMPUTED_VALUE"""),16.75)</f>
        <v>16.75</v>
      </c>
      <c r="C137" s="1">
        <f ca="1">IFERROR(__xludf.DUMMYFUNCTION("""COMPUTED_VALUE"""),16.97)</f>
        <v>16.97</v>
      </c>
      <c r="D137" s="1">
        <f ca="1">IFERROR(__xludf.DUMMYFUNCTION("""COMPUTED_VALUE"""),16.61)</f>
        <v>16.61</v>
      </c>
      <c r="E137" s="1">
        <f ca="1">IFERROR(__xludf.DUMMYFUNCTION("""COMPUTED_VALUE"""),16.97)</f>
        <v>16.97</v>
      </c>
      <c r="F137" s="1">
        <f ca="1">IFERROR(__xludf.DUMMYFUNCTION("""COMPUTED_VALUE"""),3752366)</f>
        <v>3752366</v>
      </c>
    </row>
    <row r="138" spans="1:6" x14ac:dyDescent="0.2">
      <c r="A138" s="2">
        <f ca="1">IFERROR(__xludf.DUMMYFUNCTION("""COMPUTED_VALUE"""),42478.6666666666)</f>
        <v>42478.666666666599</v>
      </c>
      <c r="B138" s="1">
        <f ca="1">IFERROR(__xludf.DUMMYFUNCTION("""COMPUTED_VALUE"""),16.82)</f>
        <v>16.82</v>
      </c>
      <c r="C138" s="1">
        <f ca="1">IFERROR(__xludf.DUMMYFUNCTION("""COMPUTED_VALUE"""),17.22)</f>
        <v>17.22</v>
      </c>
      <c r="D138" s="1">
        <f ca="1">IFERROR(__xludf.DUMMYFUNCTION("""COMPUTED_VALUE"""),16.78)</f>
        <v>16.78</v>
      </c>
      <c r="E138" s="1">
        <f ca="1">IFERROR(__xludf.DUMMYFUNCTION("""COMPUTED_VALUE"""),16.93)</f>
        <v>16.93</v>
      </c>
      <c r="F138" s="1">
        <f ca="1">IFERROR(__xludf.DUMMYFUNCTION("""COMPUTED_VALUE"""),4271362)</f>
        <v>4271362</v>
      </c>
    </row>
    <row r="139" spans="1:6" x14ac:dyDescent="0.2">
      <c r="A139" s="2">
        <f ca="1">IFERROR(__xludf.DUMMYFUNCTION("""COMPUTED_VALUE"""),42479.6666666666)</f>
        <v>42479.666666666599</v>
      </c>
      <c r="B139" s="1">
        <f ca="1">IFERROR(__xludf.DUMMYFUNCTION("""COMPUTED_VALUE"""),16.87)</f>
        <v>16.87</v>
      </c>
      <c r="C139" s="1">
        <f ca="1">IFERROR(__xludf.DUMMYFUNCTION("""COMPUTED_VALUE"""),16.96)</f>
        <v>16.96</v>
      </c>
      <c r="D139" s="1">
        <f ca="1">IFERROR(__xludf.DUMMYFUNCTION("""COMPUTED_VALUE"""),16.08)</f>
        <v>16.079999999999998</v>
      </c>
      <c r="E139" s="1">
        <f ca="1">IFERROR(__xludf.DUMMYFUNCTION("""COMPUTED_VALUE"""),16.49)</f>
        <v>16.489999999999998</v>
      </c>
      <c r="F139" s="1">
        <f ca="1">IFERROR(__xludf.DUMMYFUNCTION("""COMPUTED_VALUE"""),6357526)</f>
        <v>6357526</v>
      </c>
    </row>
    <row r="140" spans="1:6" x14ac:dyDescent="0.2">
      <c r="A140" s="2">
        <f ca="1">IFERROR(__xludf.DUMMYFUNCTION("""COMPUTED_VALUE"""),42480.6666666666)</f>
        <v>42480.666666666599</v>
      </c>
      <c r="B140" s="1">
        <f ca="1">IFERROR(__xludf.DUMMYFUNCTION("""COMPUTED_VALUE"""),16.42)</f>
        <v>16.420000000000002</v>
      </c>
      <c r="C140" s="1">
        <f ca="1">IFERROR(__xludf.DUMMYFUNCTION("""COMPUTED_VALUE"""),16.91)</f>
        <v>16.91</v>
      </c>
      <c r="D140" s="1">
        <f ca="1">IFERROR(__xludf.DUMMYFUNCTION("""COMPUTED_VALUE"""),16.1)</f>
        <v>16.100000000000001</v>
      </c>
      <c r="E140" s="1">
        <f ca="1">IFERROR(__xludf.DUMMYFUNCTION("""COMPUTED_VALUE"""),16.66)</f>
        <v>16.66</v>
      </c>
      <c r="F140" s="1">
        <f ca="1">IFERROR(__xludf.DUMMYFUNCTION("""COMPUTED_VALUE"""),5194051)</f>
        <v>5194051</v>
      </c>
    </row>
    <row r="141" spans="1:6" x14ac:dyDescent="0.2">
      <c r="A141" s="2">
        <f ca="1">IFERROR(__xludf.DUMMYFUNCTION("""COMPUTED_VALUE"""),42481.6666666666)</f>
        <v>42481.666666666599</v>
      </c>
      <c r="B141" s="1">
        <f ca="1">IFERROR(__xludf.DUMMYFUNCTION("""COMPUTED_VALUE"""),16.6)</f>
        <v>16.600000000000001</v>
      </c>
      <c r="C141" s="1">
        <f ca="1">IFERROR(__xludf.DUMMYFUNCTION("""COMPUTED_VALUE"""),16.73)</f>
        <v>16.73</v>
      </c>
      <c r="D141" s="1">
        <f ca="1">IFERROR(__xludf.DUMMYFUNCTION("""COMPUTED_VALUE"""),16.46)</f>
        <v>16.46</v>
      </c>
      <c r="E141" s="1">
        <f ca="1">IFERROR(__xludf.DUMMYFUNCTION("""COMPUTED_VALUE"""),16.55)</f>
        <v>16.55</v>
      </c>
      <c r="F141" s="1">
        <f ca="1">IFERROR(__xludf.DUMMYFUNCTION("""COMPUTED_VALUE"""),2783059)</f>
        <v>2783059</v>
      </c>
    </row>
    <row r="142" spans="1:6" x14ac:dyDescent="0.2">
      <c r="A142" s="2">
        <f ca="1">IFERROR(__xludf.DUMMYFUNCTION("""COMPUTED_VALUE"""),42482.6666666666)</f>
        <v>42482.666666666599</v>
      </c>
      <c r="B142" s="1">
        <f ca="1">IFERROR(__xludf.DUMMYFUNCTION("""COMPUTED_VALUE"""),16.59)</f>
        <v>16.59</v>
      </c>
      <c r="C142" s="1">
        <f ca="1">IFERROR(__xludf.DUMMYFUNCTION("""COMPUTED_VALUE"""),16.93)</f>
        <v>16.93</v>
      </c>
      <c r="D142" s="1">
        <f ca="1">IFERROR(__xludf.DUMMYFUNCTION("""COMPUTED_VALUE"""),16.38)</f>
        <v>16.38</v>
      </c>
      <c r="E142" s="1">
        <f ca="1">IFERROR(__xludf.DUMMYFUNCTION("""COMPUTED_VALUE"""),16.92)</f>
        <v>16.920000000000002</v>
      </c>
      <c r="F142" s="1">
        <f ca="1">IFERROR(__xludf.DUMMYFUNCTION("""COMPUTED_VALUE"""),3786327)</f>
        <v>3786327</v>
      </c>
    </row>
    <row r="143" spans="1:6" x14ac:dyDescent="0.2">
      <c r="A143" s="2">
        <f ca="1">IFERROR(__xludf.DUMMYFUNCTION("""COMPUTED_VALUE"""),42485.6666666666)</f>
        <v>42485.666666666599</v>
      </c>
      <c r="B143" s="1">
        <f ca="1">IFERROR(__xludf.DUMMYFUNCTION("""COMPUTED_VALUE"""),16.87)</f>
        <v>16.87</v>
      </c>
      <c r="C143" s="1">
        <f ca="1">IFERROR(__xludf.DUMMYFUNCTION("""COMPUTED_VALUE"""),17.16)</f>
        <v>17.16</v>
      </c>
      <c r="D143" s="1">
        <f ca="1">IFERROR(__xludf.DUMMYFUNCTION("""COMPUTED_VALUE"""),16.72)</f>
        <v>16.72</v>
      </c>
      <c r="E143" s="1">
        <f ca="1">IFERROR(__xludf.DUMMYFUNCTION("""COMPUTED_VALUE"""),16.79)</f>
        <v>16.79</v>
      </c>
      <c r="F143" s="1">
        <f ca="1">IFERROR(__xludf.DUMMYFUNCTION("""COMPUTED_VALUE"""),3670348)</f>
        <v>3670348</v>
      </c>
    </row>
    <row r="144" spans="1:6" x14ac:dyDescent="0.2">
      <c r="A144" s="2">
        <f ca="1">IFERROR(__xludf.DUMMYFUNCTION("""COMPUTED_VALUE"""),42486.6666666666)</f>
        <v>42486.666666666599</v>
      </c>
      <c r="B144" s="1">
        <f ca="1">IFERROR(__xludf.DUMMYFUNCTION("""COMPUTED_VALUE"""),16.8)</f>
        <v>16.8</v>
      </c>
      <c r="C144" s="1">
        <f ca="1">IFERROR(__xludf.DUMMYFUNCTION("""COMPUTED_VALUE"""),17.05)</f>
        <v>17.05</v>
      </c>
      <c r="D144" s="1">
        <f ca="1">IFERROR(__xludf.DUMMYFUNCTION("""COMPUTED_VALUE"""),16.63)</f>
        <v>16.63</v>
      </c>
      <c r="E144" s="1">
        <f ca="1">IFERROR(__xludf.DUMMYFUNCTION("""COMPUTED_VALUE"""),16.92)</f>
        <v>16.920000000000002</v>
      </c>
      <c r="F144" s="1">
        <f ca="1">IFERROR(__xludf.DUMMYFUNCTION("""COMPUTED_VALUE"""),3223839)</f>
        <v>3223839</v>
      </c>
    </row>
    <row r="145" spans="1:6" x14ac:dyDescent="0.2">
      <c r="A145" s="2">
        <f ca="1">IFERROR(__xludf.DUMMYFUNCTION("""COMPUTED_VALUE"""),42487.6666666666)</f>
        <v>42487.666666666599</v>
      </c>
      <c r="B145" s="1">
        <f ca="1">IFERROR(__xludf.DUMMYFUNCTION("""COMPUTED_VALUE"""),16.85)</f>
        <v>16.850000000000001</v>
      </c>
      <c r="C145" s="1">
        <f ca="1">IFERROR(__xludf.DUMMYFUNCTION("""COMPUTED_VALUE"""),17)</f>
        <v>17</v>
      </c>
      <c r="D145" s="1">
        <f ca="1">IFERROR(__xludf.DUMMYFUNCTION("""COMPUTED_VALUE"""),16.63)</f>
        <v>16.63</v>
      </c>
      <c r="E145" s="1">
        <f ca="1">IFERROR(__xludf.DUMMYFUNCTION("""COMPUTED_VALUE"""),16.76)</f>
        <v>16.760000000000002</v>
      </c>
      <c r="F145" s="1">
        <f ca="1">IFERROR(__xludf.DUMMYFUNCTION("""COMPUTED_VALUE"""),3205808)</f>
        <v>3205808</v>
      </c>
    </row>
    <row r="146" spans="1:6" x14ac:dyDescent="0.2">
      <c r="A146" s="2">
        <f ca="1">IFERROR(__xludf.DUMMYFUNCTION("""COMPUTED_VALUE"""),42488.6666666666)</f>
        <v>42488.666666666599</v>
      </c>
      <c r="B146" s="1">
        <f ca="1">IFERROR(__xludf.DUMMYFUNCTION("""COMPUTED_VALUE"""),16.66)</f>
        <v>16.66</v>
      </c>
      <c r="C146" s="1">
        <f ca="1">IFERROR(__xludf.DUMMYFUNCTION("""COMPUTED_VALUE"""),16.9)</f>
        <v>16.899999999999999</v>
      </c>
      <c r="D146" s="1">
        <f ca="1">IFERROR(__xludf.DUMMYFUNCTION("""COMPUTED_VALUE"""),16.5)</f>
        <v>16.5</v>
      </c>
      <c r="E146" s="1">
        <f ca="1">IFERROR(__xludf.DUMMYFUNCTION("""COMPUTED_VALUE"""),16.51)</f>
        <v>16.510000000000002</v>
      </c>
      <c r="F146" s="1">
        <f ca="1">IFERROR(__xludf.DUMMYFUNCTION("""COMPUTED_VALUE"""),2518990)</f>
        <v>2518990</v>
      </c>
    </row>
    <row r="147" spans="1:6" x14ac:dyDescent="0.2">
      <c r="A147" s="2">
        <f ca="1">IFERROR(__xludf.DUMMYFUNCTION("""COMPUTED_VALUE"""),42489.6666666666)</f>
        <v>42489.666666666599</v>
      </c>
      <c r="B147" s="1">
        <f ca="1">IFERROR(__xludf.DUMMYFUNCTION("""COMPUTED_VALUE"""),16.54)</f>
        <v>16.54</v>
      </c>
      <c r="C147" s="1">
        <f ca="1">IFERROR(__xludf.DUMMYFUNCTION("""COMPUTED_VALUE"""),16.56)</f>
        <v>16.559999999999999</v>
      </c>
      <c r="D147" s="1">
        <f ca="1">IFERROR(__xludf.DUMMYFUNCTION("""COMPUTED_VALUE"""),15.85)</f>
        <v>15.85</v>
      </c>
      <c r="E147" s="1">
        <f ca="1">IFERROR(__xludf.DUMMYFUNCTION("""COMPUTED_VALUE"""),16.05)</f>
        <v>16.05</v>
      </c>
      <c r="F147" s="1">
        <f ca="1">IFERROR(__xludf.DUMMYFUNCTION("""COMPUTED_VALUE"""),5413787)</f>
        <v>5413787</v>
      </c>
    </row>
    <row r="148" spans="1:6" x14ac:dyDescent="0.2">
      <c r="A148" s="2">
        <f ca="1">IFERROR(__xludf.DUMMYFUNCTION("""COMPUTED_VALUE"""),42492.6666666666)</f>
        <v>42492.666666666599</v>
      </c>
      <c r="B148" s="1">
        <f ca="1">IFERROR(__xludf.DUMMYFUNCTION("""COMPUTED_VALUE"""),16.1)</f>
        <v>16.100000000000001</v>
      </c>
      <c r="C148" s="1">
        <f ca="1">IFERROR(__xludf.DUMMYFUNCTION("""COMPUTED_VALUE"""),16.21)</f>
        <v>16.21</v>
      </c>
      <c r="D148" s="1">
        <f ca="1">IFERROR(__xludf.DUMMYFUNCTION("""COMPUTED_VALUE"""),15.65)</f>
        <v>15.65</v>
      </c>
      <c r="E148" s="1">
        <f ca="1">IFERROR(__xludf.DUMMYFUNCTION("""COMPUTED_VALUE"""),16.12)</f>
        <v>16.12</v>
      </c>
      <c r="F148" s="1">
        <f ca="1">IFERROR(__xludf.DUMMYFUNCTION("""COMPUTED_VALUE"""),3843935)</f>
        <v>3843935</v>
      </c>
    </row>
    <row r="149" spans="1:6" x14ac:dyDescent="0.2">
      <c r="A149" s="2">
        <f ca="1">IFERROR(__xludf.DUMMYFUNCTION("""COMPUTED_VALUE"""),42493.6666666666)</f>
        <v>42493.666666666599</v>
      </c>
      <c r="B149" s="1">
        <f ca="1">IFERROR(__xludf.DUMMYFUNCTION("""COMPUTED_VALUE"""),15.82)</f>
        <v>15.82</v>
      </c>
      <c r="C149" s="1">
        <f ca="1">IFERROR(__xludf.DUMMYFUNCTION("""COMPUTED_VALUE"""),15.93)</f>
        <v>15.93</v>
      </c>
      <c r="D149" s="1">
        <f ca="1">IFERROR(__xludf.DUMMYFUNCTION("""COMPUTED_VALUE"""),15.44)</f>
        <v>15.44</v>
      </c>
      <c r="E149" s="1">
        <f ca="1">IFERROR(__xludf.DUMMYFUNCTION("""COMPUTED_VALUE"""),15.49)</f>
        <v>15.49</v>
      </c>
      <c r="F149" s="1">
        <f ca="1">IFERROR(__xludf.DUMMYFUNCTION("""COMPUTED_VALUE"""),4302222)</f>
        <v>4302222</v>
      </c>
    </row>
    <row r="150" spans="1:6" x14ac:dyDescent="0.2">
      <c r="A150" s="2">
        <f ca="1">IFERROR(__xludf.DUMMYFUNCTION("""COMPUTED_VALUE"""),42494.6666666666)</f>
        <v>42494.666666666599</v>
      </c>
      <c r="B150" s="1">
        <f ca="1">IFERROR(__xludf.DUMMYFUNCTION("""COMPUTED_VALUE"""),15.35)</f>
        <v>15.35</v>
      </c>
      <c r="C150" s="1">
        <f ca="1">IFERROR(__xludf.DUMMYFUNCTION("""COMPUTED_VALUE"""),15.63)</f>
        <v>15.63</v>
      </c>
      <c r="D150" s="1">
        <f ca="1">IFERROR(__xludf.DUMMYFUNCTION("""COMPUTED_VALUE"""),14.69)</f>
        <v>14.69</v>
      </c>
      <c r="E150" s="1">
        <f ca="1">IFERROR(__xludf.DUMMYFUNCTION("""COMPUTED_VALUE"""),14.84)</f>
        <v>14.84</v>
      </c>
      <c r="F150" s="1">
        <f ca="1">IFERROR(__xludf.DUMMYFUNCTION("""COMPUTED_VALUE"""),8700459)</f>
        <v>8700459</v>
      </c>
    </row>
    <row r="151" spans="1:6" x14ac:dyDescent="0.2">
      <c r="A151" s="2">
        <f ca="1">IFERROR(__xludf.DUMMYFUNCTION("""COMPUTED_VALUE"""),42495.6666666666)</f>
        <v>42495.666666666599</v>
      </c>
      <c r="B151" s="1">
        <f ca="1">IFERROR(__xludf.DUMMYFUNCTION("""COMPUTED_VALUE"""),15.23)</f>
        <v>15.23</v>
      </c>
      <c r="C151" s="1">
        <f ca="1">IFERROR(__xludf.DUMMYFUNCTION("""COMPUTED_VALUE"""),15.24)</f>
        <v>15.24</v>
      </c>
      <c r="D151" s="1">
        <f ca="1">IFERROR(__xludf.DUMMYFUNCTION("""COMPUTED_VALUE"""),13.99)</f>
        <v>13.99</v>
      </c>
      <c r="E151" s="1">
        <f ca="1">IFERROR(__xludf.DUMMYFUNCTION("""COMPUTED_VALUE"""),14.1)</f>
        <v>14.1</v>
      </c>
      <c r="F151" s="1">
        <f ca="1">IFERROR(__xludf.DUMMYFUNCTION("""COMPUTED_VALUE"""),11254827)</f>
        <v>11254827</v>
      </c>
    </row>
    <row r="152" spans="1:6" x14ac:dyDescent="0.2">
      <c r="A152" s="2">
        <f ca="1">IFERROR(__xludf.DUMMYFUNCTION("""COMPUTED_VALUE"""),42496.6666666666)</f>
        <v>42496.666666666599</v>
      </c>
      <c r="B152" s="1">
        <f ca="1">IFERROR(__xludf.DUMMYFUNCTION("""COMPUTED_VALUE"""),14.06)</f>
        <v>14.06</v>
      </c>
      <c r="C152" s="1">
        <f ca="1">IFERROR(__xludf.DUMMYFUNCTION("""COMPUTED_VALUE"""),14.42)</f>
        <v>14.42</v>
      </c>
      <c r="D152" s="1">
        <f ca="1">IFERROR(__xludf.DUMMYFUNCTION("""COMPUTED_VALUE"""),13.87)</f>
        <v>13.87</v>
      </c>
      <c r="E152" s="1">
        <f ca="1">IFERROR(__xludf.DUMMYFUNCTION("""COMPUTED_VALUE"""),14.33)</f>
        <v>14.33</v>
      </c>
      <c r="F152" s="1">
        <f ca="1">IFERROR(__xludf.DUMMYFUNCTION("""COMPUTED_VALUE"""),5685237)</f>
        <v>5685237</v>
      </c>
    </row>
    <row r="153" spans="1:6" x14ac:dyDescent="0.2">
      <c r="A153" s="2">
        <f ca="1">IFERROR(__xludf.DUMMYFUNCTION("""COMPUTED_VALUE"""),42499.6666666666)</f>
        <v>42499.666666666599</v>
      </c>
      <c r="B153" s="1">
        <f ca="1">IFERROR(__xludf.DUMMYFUNCTION("""COMPUTED_VALUE"""),14.38)</f>
        <v>14.38</v>
      </c>
      <c r="C153" s="1">
        <f ca="1">IFERROR(__xludf.DUMMYFUNCTION("""COMPUTED_VALUE"""),14.41)</f>
        <v>14.41</v>
      </c>
      <c r="D153" s="1">
        <f ca="1">IFERROR(__xludf.DUMMYFUNCTION("""COMPUTED_VALUE"""),13.79)</f>
        <v>13.79</v>
      </c>
      <c r="E153" s="1">
        <f ca="1">IFERROR(__xludf.DUMMYFUNCTION("""COMPUTED_VALUE"""),13.93)</f>
        <v>13.93</v>
      </c>
      <c r="F153" s="1">
        <f ca="1">IFERROR(__xludf.DUMMYFUNCTION("""COMPUTED_VALUE"""),4776383)</f>
        <v>4776383</v>
      </c>
    </row>
    <row r="154" spans="1:6" x14ac:dyDescent="0.2">
      <c r="A154" s="2">
        <f ca="1">IFERROR(__xludf.DUMMYFUNCTION("""COMPUTED_VALUE"""),42500.6666666666)</f>
        <v>42500.666666666599</v>
      </c>
      <c r="B154" s="1">
        <f ca="1">IFERROR(__xludf.DUMMYFUNCTION("""COMPUTED_VALUE"""),13.84)</f>
        <v>13.84</v>
      </c>
      <c r="C154" s="1">
        <f ca="1">IFERROR(__xludf.DUMMYFUNCTION("""COMPUTED_VALUE"""),13.96)</f>
        <v>13.96</v>
      </c>
      <c r="D154" s="1">
        <f ca="1">IFERROR(__xludf.DUMMYFUNCTION("""COMPUTED_VALUE"""),13.67)</f>
        <v>13.67</v>
      </c>
      <c r="E154" s="1">
        <f ca="1">IFERROR(__xludf.DUMMYFUNCTION("""COMPUTED_VALUE"""),13.91)</f>
        <v>13.91</v>
      </c>
      <c r="F154" s="1">
        <f ca="1">IFERROR(__xludf.DUMMYFUNCTION("""COMPUTED_VALUE"""),4070617)</f>
        <v>4070617</v>
      </c>
    </row>
    <row r="155" spans="1:6" x14ac:dyDescent="0.2">
      <c r="A155" s="2">
        <f ca="1">IFERROR(__xludf.DUMMYFUNCTION("""COMPUTED_VALUE"""),42501.6666666666)</f>
        <v>42501.666666666599</v>
      </c>
      <c r="B155" s="1">
        <f ca="1">IFERROR(__xludf.DUMMYFUNCTION("""COMPUTED_VALUE"""),13.84)</f>
        <v>13.84</v>
      </c>
      <c r="C155" s="1">
        <f ca="1">IFERROR(__xludf.DUMMYFUNCTION("""COMPUTED_VALUE"""),14.37)</f>
        <v>14.37</v>
      </c>
      <c r="D155" s="1">
        <f ca="1">IFERROR(__xludf.DUMMYFUNCTION("""COMPUTED_VALUE"""),13.74)</f>
        <v>13.74</v>
      </c>
      <c r="E155" s="1">
        <f ca="1">IFERROR(__xludf.DUMMYFUNCTION("""COMPUTED_VALUE"""),13.93)</f>
        <v>13.93</v>
      </c>
      <c r="F155" s="1">
        <f ca="1">IFERROR(__xludf.DUMMYFUNCTION("""COMPUTED_VALUE"""),5161864)</f>
        <v>5161864</v>
      </c>
    </row>
    <row r="156" spans="1:6" x14ac:dyDescent="0.2">
      <c r="A156" s="2">
        <f ca="1">IFERROR(__xludf.DUMMYFUNCTION("""COMPUTED_VALUE"""),42502.6666666666)</f>
        <v>42502.666666666599</v>
      </c>
      <c r="B156" s="1">
        <f ca="1">IFERROR(__xludf.DUMMYFUNCTION("""COMPUTED_VALUE"""),14.1)</f>
        <v>14.1</v>
      </c>
      <c r="C156" s="1">
        <f ca="1">IFERROR(__xludf.DUMMYFUNCTION("""COMPUTED_VALUE"""),14.11)</f>
        <v>14.11</v>
      </c>
      <c r="D156" s="1">
        <f ca="1">IFERROR(__xludf.DUMMYFUNCTION("""COMPUTED_VALUE"""),13.58)</f>
        <v>13.58</v>
      </c>
      <c r="E156" s="1">
        <f ca="1">IFERROR(__xludf.DUMMYFUNCTION("""COMPUTED_VALUE"""),13.82)</f>
        <v>13.82</v>
      </c>
      <c r="F156" s="1">
        <f ca="1">IFERROR(__xludf.DUMMYFUNCTION("""COMPUTED_VALUE"""),3650475)</f>
        <v>3650475</v>
      </c>
    </row>
    <row r="157" spans="1:6" x14ac:dyDescent="0.2">
      <c r="A157" s="2">
        <f ca="1">IFERROR(__xludf.DUMMYFUNCTION("""COMPUTED_VALUE"""),42503.6666666666)</f>
        <v>42503.666666666599</v>
      </c>
      <c r="B157" s="1">
        <f ca="1">IFERROR(__xludf.DUMMYFUNCTION("""COMPUTED_VALUE"""),13.85)</f>
        <v>13.85</v>
      </c>
      <c r="C157" s="1">
        <f ca="1">IFERROR(__xludf.DUMMYFUNCTION("""COMPUTED_VALUE"""),14.08)</f>
        <v>14.08</v>
      </c>
      <c r="D157" s="1">
        <f ca="1">IFERROR(__xludf.DUMMYFUNCTION("""COMPUTED_VALUE"""),13.78)</f>
        <v>13.78</v>
      </c>
      <c r="E157" s="1">
        <f ca="1">IFERROR(__xludf.DUMMYFUNCTION("""COMPUTED_VALUE"""),13.84)</f>
        <v>13.84</v>
      </c>
      <c r="F157" s="1">
        <f ca="1">IFERROR(__xludf.DUMMYFUNCTION("""COMPUTED_VALUE"""),2822781)</f>
        <v>2822781</v>
      </c>
    </row>
    <row r="158" spans="1:6" x14ac:dyDescent="0.2">
      <c r="A158" s="2">
        <f ca="1">IFERROR(__xludf.DUMMYFUNCTION("""COMPUTED_VALUE"""),42506.6666666666)</f>
        <v>42506.666666666599</v>
      </c>
      <c r="B158" s="1">
        <f ca="1">IFERROR(__xludf.DUMMYFUNCTION("""COMPUTED_VALUE"""),13.88)</f>
        <v>13.88</v>
      </c>
      <c r="C158" s="1">
        <f ca="1">IFERROR(__xludf.DUMMYFUNCTION("""COMPUTED_VALUE"""),14.21)</f>
        <v>14.21</v>
      </c>
      <c r="D158" s="1">
        <f ca="1">IFERROR(__xludf.DUMMYFUNCTION("""COMPUTED_VALUE"""),13.86)</f>
        <v>13.86</v>
      </c>
      <c r="E158" s="1">
        <f ca="1">IFERROR(__xludf.DUMMYFUNCTION("""COMPUTED_VALUE"""),13.89)</f>
        <v>13.89</v>
      </c>
      <c r="F158" s="1">
        <f ca="1">IFERROR(__xludf.DUMMYFUNCTION("""COMPUTED_VALUE"""),2949396)</f>
        <v>2949396</v>
      </c>
    </row>
    <row r="159" spans="1:6" x14ac:dyDescent="0.2">
      <c r="A159" s="2">
        <f ca="1">IFERROR(__xludf.DUMMYFUNCTION("""COMPUTED_VALUE"""),42507.6666666666)</f>
        <v>42507.666666666599</v>
      </c>
      <c r="B159" s="1">
        <f ca="1">IFERROR(__xludf.DUMMYFUNCTION("""COMPUTED_VALUE"""),13.94)</f>
        <v>13.94</v>
      </c>
      <c r="C159" s="1">
        <f ca="1">IFERROR(__xludf.DUMMYFUNCTION("""COMPUTED_VALUE"""),13.99)</f>
        <v>13.99</v>
      </c>
      <c r="D159" s="1">
        <f ca="1">IFERROR(__xludf.DUMMYFUNCTION("""COMPUTED_VALUE"""),13.6)</f>
        <v>13.6</v>
      </c>
      <c r="E159" s="1">
        <f ca="1">IFERROR(__xludf.DUMMYFUNCTION("""COMPUTED_VALUE"""),13.64)</f>
        <v>13.64</v>
      </c>
      <c r="F159" s="1">
        <f ca="1">IFERROR(__xludf.DUMMYFUNCTION("""COMPUTED_VALUE"""),2843597)</f>
        <v>2843597</v>
      </c>
    </row>
    <row r="160" spans="1:6" x14ac:dyDescent="0.2">
      <c r="A160" s="2">
        <f ca="1">IFERROR(__xludf.DUMMYFUNCTION("""COMPUTED_VALUE"""),42508.6666666666)</f>
        <v>42508.666666666599</v>
      </c>
      <c r="B160" s="1">
        <f ca="1">IFERROR(__xludf.DUMMYFUNCTION("""COMPUTED_VALUE"""),13.94)</f>
        <v>13.94</v>
      </c>
      <c r="C160" s="1">
        <f ca="1">IFERROR(__xludf.DUMMYFUNCTION("""COMPUTED_VALUE"""),14.35)</f>
        <v>14.35</v>
      </c>
      <c r="D160" s="1">
        <f ca="1">IFERROR(__xludf.DUMMYFUNCTION("""COMPUTED_VALUE"""),13.85)</f>
        <v>13.85</v>
      </c>
      <c r="E160" s="1">
        <f ca="1">IFERROR(__xludf.DUMMYFUNCTION("""COMPUTED_VALUE"""),14.08)</f>
        <v>14.08</v>
      </c>
      <c r="F160" s="1">
        <f ca="1">IFERROR(__xludf.DUMMYFUNCTION("""COMPUTED_VALUE"""),5617519)</f>
        <v>5617519</v>
      </c>
    </row>
    <row r="161" spans="1:6" x14ac:dyDescent="0.2">
      <c r="A161" s="2">
        <f ca="1">IFERROR(__xludf.DUMMYFUNCTION("""COMPUTED_VALUE"""),42509.6666666666)</f>
        <v>42509.666666666599</v>
      </c>
      <c r="B161" s="1">
        <f ca="1">IFERROR(__xludf.DUMMYFUNCTION("""COMPUTED_VALUE"""),14.24)</f>
        <v>14.24</v>
      </c>
      <c r="C161" s="1">
        <f ca="1">IFERROR(__xludf.DUMMYFUNCTION("""COMPUTED_VALUE"""),14.45)</f>
        <v>14.45</v>
      </c>
      <c r="D161" s="1">
        <f ca="1">IFERROR(__xludf.DUMMYFUNCTION("""COMPUTED_VALUE"""),13.82)</f>
        <v>13.82</v>
      </c>
      <c r="E161" s="1">
        <f ca="1">IFERROR(__xludf.DUMMYFUNCTION("""COMPUTED_VALUE"""),14.35)</f>
        <v>14.35</v>
      </c>
      <c r="F161" s="1">
        <f ca="1">IFERROR(__xludf.DUMMYFUNCTION("""COMPUTED_VALUE"""),6866321)</f>
        <v>6866321</v>
      </c>
    </row>
    <row r="162" spans="1:6" x14ac:dyDescent="0.2">
      <c r="A162" s="2">
        <f ca="1">IFERROR(__xludf.DUMMYFUNCTION("""COMPUTED_VALUE"""),42510.6666666666)</f>
        <v>42510.666666666599</v>
      </c>
      <c r="B162" s="1">
        <f ca="1">IFERROR(__xludf.DUMMYFUNCTION("""COMPUTED_VALUE"""),14.47)</f>
        <v>14.47</v>
      </c>
      <c r="C162" s="1">
        <f ca="1">IFERROR(__xludf.DUMMYFUNCTION("""COMPUTED_VALUE"""),14.7)</f>
        <v>14.7</v>
      </c>
      <c r="D162" s="1">
        <f ca="1">IFERROR(__xludf.DUMMYFUNCTION("""COMPUTED_VALUE"""),14.42)</f>
        <v>14.42</v>
      </c>
      <c r="E162" s="1">
        <f ca="1">IFERROR(__xludf.DUMMYFUNCTION("""COMPUTED_VALUE"""),14.69)</f>
        <v>14.69</v>
      </c>
      <c r="F162" s="1">
        <f ca="1">IFERROR(__xludf.DUMMYFUNCTION("""COMPUTED_VALUE"""),9007076)</f>
        <v>9007076</v>
      </c>
    </row>
    <row r="163" spans="1:6" x14ac:dyDescent="0.2">
      <c r="A163" s="2">
        <f ca="1">IFERROR(__xludf.DUMMYFUNCTION("""COMPUTED_VALUE"""),42513.6666666666)</f>
        <v>42513.666666666599</v>
      </c>
      <c r="B163" s="1">
        <f ca="1">IFERROR(__xludf.DUMMYFUNCTION("""COMPUTED_VALUE"""),14.66)</f>
        <v>14.66</v>
      </c>
      <c r="C163" s="1">
        <f ca="1">IFERROR(__xludf.DUMMYFUNCTION("""COMPUTED_VALUE"""),14.84)</f>
        <v>14.84</v>
      </c>
      <c r="D163" s="1">
        <f ca="1">IFERROR(__xludf.DUMMYFUNCTION("""COMPUTED_VALUE"""),14.39)</f>
        <v>14.39</v>
      </c>
      <c r="E163" s="1">
        <f ca="1">IFERROR(__xludf.DUMMYFUNCTION("""COMPUTED_VALUE"""),14.41)</f>
        <v>14.41</v>
      </c>
      <c r="F163" s="1">
        <f ca="1">IFERROR(__xludf.DUMMYFUNCTION("""COMPUTED_VALUE"""),5102479)</f>
        <v>5102479</v>
      </c>
    </row>
    <row r="164" spans="1:6" x14ac:dyDescent="0.2">
      <c r="A164" s="2">
        <f ca="1">IFERROR(__xludf.DUMMYFUNCTION("""COMPUTED_VALUE"""),42514.6666666666)</f>
        <v>42514.666666666599</v>
      </c>
      <c r="B164" s="1">
        <f ca="1">IFERROR(__xludf.DUMMYFUNCTION("""COMPUTED_VALUE"""),14.44)</f>
        <v>14.44</v>
      </c>
      <c r="C164" s="1">
        <f ca="1">IFERROR(__xludf.DUMMYFUNCTION("""COMPUTED_VALUE"""),14.58)</f>
        <v>14.58</v>
      </c>
      <c r="D164" s="1">
        <f ca="1">IFERROR(__xludf.DUMMYFUNCTION("""COMPUTED_VALUE"""),14.35)</f>
        <v>14.35</v>
      </c>
      <c r="E164" s="1">
        <f ca="1">IFERROR(__xludf.DUMMYFUNCTION("""COMPUTED_VALUE"""),14.53)</f>
        <v>14.53</v>
      </c>
      <c r="F164" s="1">
        <f ca="1">IFERROR(__xludf.DUMMYFUNCTION("""COMPUTED_VALUE"""),3013843)</f>
        <v>3013843</v>
      </c>
    </row>
    <row r="165" spans="1:6" x14ac:dyDescent="0.2">
      <c r="A165" s="2">
        <f ca="1">IFERROR(__xludf.DUMMYFUNCTION("""COMPUTED_VALUE"""),42515.6666666666)</f>
        <v>42515.666666666599</v>
      </c>
      <c r="B165" s="1">
        <f ca="1">IFERROR(__xludf.DUMMYFUNCTION("""COMPUTED_VALUE"""),14.53)</f>
        <v>14.53</v>
      </c>
      <c r="C165" s="1">
        <f ca="1">IFERROR(__xludf.DUMMYFUNCTION("""COMPUTED_VALUE"""),14.76)</f>
        <v>14.76</v>
      </c>
      <c r="D165" s="1">
        <f ca="1">IFERROR(__xludf.DUMMYFUNCTION("""COMPUTED_VALUE"""),14.43)</f>
        <v>14.43</v>
      </c>
      <c r="E165" s="1">
        <f ca="1">IFERROR(__xludf.DUMMYFUNCTION("""COMPUTED_VALUE"""),14.64)</f>
        <v>14.64</v>
      </c>
      <c r="F165" s="1">
        <f ca="1">IFERROR(__xludf.DUMMYFUNCTION("""COMPUTED_VALUE"""),3132615)</f>
        <v>3132615</v>
      </c>
    </row>
    <row r="166" spans="1:6" x14ac:dyDescent="0.2">
      <c r="A166" s="2">
        <f ca="1">IFERROR(__xludf.DUMMYFUNCTION("""COMPUTED_VALUE"""),42516.6666666666)</f>
        <v>42516.666666666599</v>
      </c>
      <c r="B166" s="1">
        <f ca="1">IFERROR(__xludf.DUMMYFUNCTION("""COMPUTED_VALUE"""),14.7)</f>
        <v>14.7</v>
      </c>
      <c r="C166" s="1">
        <f ca="1">IFERROR(__xludf.DUMMYFUNCTION("""COMPUTED_VALUE"""),15.02)</f>
        <v>15.02</v>
      </c>
      <c r="D166" s="1">
        <f ca="1">IFERROR(__xludf.DUMMYFUNCTION("""COMPUTED_VALUE"""),14.6)</f>
        <v>14.6</v>
      </c>
      <c r="E166" s="1">
        <f ca="1">IFERROR(__xludf.DUMMYFUNCTION("""COMPUTED_VALUE"""),15.01)</f>
        <v>15.01</v>
      </c>
      <c r="F166" s="1">
        <f ca="1">IFERROR(__xludf.DUMMYFUNCTION("""COMPUTED_VALUE"""),4072424)</f>
        <v>4072424</v>
      </c>
    </row>
    <row r="167" spans="1:6" x14ac:dyDescent="0.2">
      <c r="A167" s="2">
        <f ca="1">IFERROR(__xludf.DUMMYFUNCTION("""COMPUTED_VALUE"""),42517.6666666666)</f>
        <v>42517.666666666599</v>
      </c>
      <c r="B167" s="1">
        <f ca="1">IFERROR(__xludf.DUMMYFUNCTION("""COMPUTED_VALUE"""),15)</f>
        <v>15</v>
      </c>
      <c r="C167" s="1">
        <f ca="1">IFERROR(__xludf.DUMMYFUNCTION("""COMPUTED_VALUE"""),15.06)</f>
        <v>15.06</v>
      </c>
      <c r="D167" s="1">
        <f ca="1">IFERROR(__xludf.DUMMYFUNCTION("""COMPUTED_VALUE"""),14.72)</f>
        <v>14.72</v>
      </c>
      <c r="E167" s="1">
        <f ca="1">IFERROR(__xludf.DUMMYFUNCTION("""COMPUTED_VALUE"""),14.87)</f>
        <v>14.87</v>
      </c>
      <c r="F167" s="1">
        <f ca="1">IFERROR(__xludf.DUMMYFUNCTION("""COMPUTED_VALUE"""),3650272)</f>
        <v>3650272</v>
      </c>
    </row>
    <row r="168" spans="1:6" x14ac:dyDescent="0.2">
      <c r="A168" s="2">
        <f ca="1">IFERROR(__xludf.DUMMYFUNCTION("""COMPUTED_VALUE"""),42521.6666666666)</f>
        <v>42521.666666666599</v>
      </c>
      <c r="B168" s="1">
        <f ca="1">IFERROR(__xludf.DUMMYFUNCTION("""COMPUTED_VALUE"""),14.87)</f>
        <v>14.87</v>
      </c>
      <c r="C168" s="1">
        <f ca="1">IFERROR(__xludf.DUMMYFUNCTION("""COMPUTED_VALUE"""),14.98)</f>
        <v>14.98</v>
      </c>
      <c r="D168" s="1">
        <f ca="1">IFERROR(__xludf.DUMMYFUNCTION("""COMPUTED_VALUE"""),14.77)</f>
        <v>14.77</v>
      </c>
      <c r="E168" s="1">
        <f ca="1">IFERROR(__xludf.DUMMYFUNCTION("""COMPUTED_VALUE"""),14.88)</f>
        <v>14.88</v>
      </c>
      <c r="F168" s="1">
        <f ca="1">IFERROR(__xludf.DUMMYFUNCTION("""COMPUTED_VALUE"""),2789002)</f>
        <v>2789002</v>
      </c>
    </row>
    <row r="169" spans="1:6" x14ac:dyDescent="0.2">
      <c r="A169" s="2">
        <f ca="1">IFERROR(__xludf.DUMMYFUNCTION("""COMPUTED_VALUE"""),42522.6666666666)</f>
        <v>42522.666666666599</v>
      </c>
      <c r="B169" s="1">
        <f ca="1">IFERROR(__xludf.DUMMYFUNCTION("""COMPUTED_VALUE"""),14.77)</f>
        <v>14.77</v>
      </c>
      <c r="C169" s="1">
        <f ca="1">IFERROR(__xludf.DUMMYFUNCTION("""COMPUTED_VALUE"""),14.83)</f>
        <v>14.83</v>
      </c>
      <c r="D169" s="1">
        <f ca="1">IFERROR(__xludf.DUMMYFUNCTION("""COMPUTED_VALUE"""),14.46)</f>
        <v>14.46</v>
      </c>
      <c r="E169" s="1">
        <f ca="1">IFERROR(__xludf.DUMMYFUNCTION("""COMPUTED_VALUE"""),14.64)</f>
        <v>14.64</v>
      </c>
      <c r="F169" s="1">
        <f ca="1">IFERROR(__xludf.DUMMYFUNCTION("""COMPUTED_VALUE"""),2982695)</f>
        <v>2982695</v>
      </c>
    </row>
    <row r="170" spans="1:6" x14ac:dyDescent="0.2">
      <c r="A170" s="2">
        <f ca="1">IFERROR(__xludf.DUMMYFUNCTION("""COMPUTED_VALUE"""),42523.6666666666)</f>
        <v>42523.666666666599</v>
      </c>
      <c r="B170" s="1">
        <f ca="1">IFERROR(__xludf.DUMMYFUNCTION("""COMPUTED_VALUE"""),14.64)</f>
        <v>14.64</v>
      </c>
      <c r="C170" s="1">
        <f ca="1">IFERROR(__xludf.DUMMYFUNCTION("""COMPUTED_VALUE"""),14.66)</f>
        <v>14.66</v>
      </c>
      <c r="D170" s="1">
        <f ca="1">IFERROR(__xludf.DUMMYFUNCTION("""COMPUTED_VALUE"""),14.47)</f>
        <v>14.47</v>
      </c>
      <c r="E170" s="1">
        <f ca="1">IFERROR(__xludf.DUMMYFUNCTION("""COMPUTED_VALUE"""),14.6)</f>
        <v>14.6</v>
      </c>
      <c r="F170" s="1">
        <f ca="1">IFERROR(__xludf.DUMMYFUNCTION("""COMPUTED_VALUE"""),2032832)</f>
        <v>2032832</v>
      </c>
    </row>
    <row r="171" spans="1:6" x14ac:dyDescent="0.2">
      <c r="A171" s="2">
        <f ca="1">IFERROR(__xludf.DUMMYFUNCTION("""COMPUTED_VALUE"""),42524.6666666666)</f>
        <v>42524.666666666599</v>
      </c>
      <c r="B171" s="1">
        <f ca="1">IFERROR(__xludf.DUMMYFUNCTION("""COMPUTED_VALUE"""),14.67)</f>
        <v>14.67</v>
      </c>
      <c r="C171" s="1">
        <f ca="1">IFERROR(__xludf.DUMMYFUNCTION("""COMPUTED_VALUE"""),14.8)</f>
        <v>14.8</v>
      </c>
      <c r="D171" s="1">
        <f ca="1">IFERROR(__xludf.DUMMYFUNCTION("""COMPUTED_VALUE"""),14.53)</f>
        <v>14.53</v>
      </c>
      <c r="E171" s="1">
        <f ca="1">IFERROR(__xludf.DUMMYFUNCTION("""COMPUTED_VALUE"""),14.6)</f>
        <v>14.6</v>
      </c>
      <c r="F171" s="1">
        <f ca="1">IFERROR(__xludf.DUMMYFUNCTION("""COMPUTED_VALUE"""),2228970)</f>
        <v>2228970</v>
      </c>
    </row>
    <row r="172" spans="1:6" x14ac:dyDescent="0.2">
      <c r="A172" s="2">
        <f ca="1">IFERROR(__xludf.DUMMYFUNCTION("""COMPUTED_VALUE"""),42527.6666666666)</f>
        <v>42527.666666666599</v>
      </c>
      <c r="B172" s="1">
        <f ca="1">IFERROR(__xludf.DUMMYFUNCTION("""COMPUTED_VALUE"""),14.53)</f>
        <v>14.53</v>
      </c>
      <c r="C172" s="1">
        <f ca="1">IFERROR(__xludf.DUMMYFUNCTION("""COMPUTED_VALUE"""),14.73)</f>
        <v>14.73</v>
      </c>
      <c r="D172" s="1">
        <f ca="1">IFERROR(__xludf.DUMMYFUNCTION("""COMPUTED_VALUE"""),14.36)</f>
        <v>14.36</v>
      </c>
      <c r="E172" s="1">
        <f ca="1">IFERROR(__xludf.DUMMYFUNCTION("""COMPUTED_VALUE"""),14.71)</f>
        <v>14.71</v>
      </c>
      <c r="F172" s="1">
        <f ca="1">IFERROR(__xludf.DUMMYFUNCTION("""COMPUTED_VALUE"""),2249508)</f>
        <v>2249508</v>
      </c>
    </row>
    <row r="173" spans="1:6" x14ac:dyDescent="0.2">
      <c r="A173" s="2">
        <f ca="1">IFERROR(__xludf.DUMMYFUNCTION("""COMPUTED_VALUE"""),42528.6666666666)</f>
        <v>42528.666666666599</v>
      </c>
      <c r="B173" s="1">
        <f ca="1">IFERROR(__xludf.DUMMYFUNCTION("""COMPUTED_VALUE"""),14.82)</f>
        <v>14.82</v>
      </c>
      <c r="C173" s="1">
        <f ca="1">IFERROR(__xludf.DUMMYFUNCTION("""COMPUTED_VALUE"""),15.63)</f>
        <v>15.63</v>
      </c>
      <c r="D173" s="1">
        <f ca="1">IFERROR(__xludf.DUMMYFUNCTION("""COMPUTED_VALUE"""),14.77)</f>
        <v>14.77</v>
      </c>
      <c r="E173" s="1">
        <f ca="1">IFERROR(__xludf.DUMMYFUNCTION("""COMPUTED_VALUE"""),15.49)</f>
        <v>15.49</v>
      </c>
      <c r="F173" s="1">
        <f ca="1">IFERROR(__xludf.DUMMYFUNCTION("""COMPUTED_VALUE"""),6213573)</f>
        <v>6213573</v>
      </c>
    </row>
    <row r="174" spans="1:6" x14ac:dyDescent="0.2">
      <c r="A174" s="2">
        <f ca="1">IFERROR(__xludf.DUMMYFUNCTION("""COMPUTED_VALUE"""),42529.6666666666)</f>
        <v>42529.666666666599</v>
      </c>
      <c r="B174" s="1">
        <f ca="1">IFERROR(__xludf.DUMMYFUNCTION("""COMPUTED_VALUE"""),15.59)</f>
        <v>15.59</v>
      </c>
      <c r="C174" s="1">
        <f ca="1">IFERROR(__xludf.DUMMYFUNCTION("""COMPUTED_VALUE"""),16.06)</f>
        <v>16.059999999999999</v>
      </c>
      <c r="D174" s="1">
        <f ca="1">IFERROR(__xludf.DUMMYFUNCTION("""COMPUTED_VALUE"""),15.51)</f>
        <v>15.51</v>
      </c>
      <c r="E174" s="1">
        <f ca="1">IFERROR(__xludf.DUMMYFUNCTION("""COMPUTED_VALUE"""),15.7)</f>
        <v>15.7</v>
      </c>
      <c r="F174" s="1">
        <f ca="1">IFERROR(__xludf.DUMMYFUNCTION("""COMPUTED_VALUE"""),5971995)</f>
        <v>5971995</v>
      </c>
    </row>
    <row r="175" spans="1:6" x14ac:dyDescent="0.2">
      <c r="A175" s="2">
        <f ca="1">IFERROR(__xludf.DUMMYFUNCTION("""COMPUTED_VALUE"""),42530.6666666666)</f>
        <v>42530.666666666599</v>
      </c>
      <c r="B175" s="1">
        <f ca="1">IFERROR(__xludf.DUMMYFUNCTION("""COMPUTED_VALUE"""),15.67)</f>
        <v>15.67</v>
      </c>
      <c r="C175" s="1">
        <f ca="1">IFERROR(__xludf.DUMMYFUNCTION("""COMPUTED_VALUE"""),15.69)</f>
        <v>15.69</v>
      </c>
      <c r="D175" s="1">
        <f ca="1">IFERROR(__xludf.DUMMYFUNCTION("""COMPUTED_VALUE"""),15.14)</f>
        <v>15.14</v>
      </c>
      <c r="E175" s="1">
        <f ca="1">IFERROR(__xludf.DUMMYFUNCTION("""COMPUTED_VALUE"""),15.29)</f>
        <v>15.29</v>
      </c>
      <c r="F175" s="1">
        <f ca="1">IFERROR(__xludf.DUMMYFUNCTION("""COMPUTED_VALUE"""),4492075)</f>
        <v>4492075</v>
      </c>
    </row>
    <row r="176" spans="1:6" x14ac:dyDescent="0.2">
      <c r="A176" s="2">
        <f ca="1">IFERROR(__xludf.DUMMYFUNCTION("""COMPUTED_VALUE"""),42531.6666666666)</f>
        <v>42531.666666666599</v>
      </c>
      <c r="B176" s="1">
        <f ca="1">IFERROR(__xludf.DUMMYFUNCTION("""COMPUTED_VALUE"""),15.16)</f>
        <v>15.16</v>
      </c>
      <c r="C176" s="1">
        <f ca="1">IFERROR(__xludf.DUMMYFUNCTION("""COMPUTED_VALUE"""),15.2)</f>
        <v>15.2</v>
      </c>
      <c r="D176" s="1">
        <f ca="1">IFERROR(__xludf.DUMMYFUNCTION("""COMPUTED_VALUE"""),14.56)</f>
        <v>14.56</v>
      </c>
      <c r="E176" s="1">
        <f ca="1">IFERROR(__xludf.DUMMYFUNCTION("""COMPUTED_VALUE"""),14.59)</f>
        <v>14.59</v>
      </c>
      <c r="F176" s="1">
        <f ca="1">IFERROR(__xludf.DUMMYFUNCTION("""COMPUTED_VALUE"""),6026603)</f>
        <v>6026603</v>
      </c>
    </row>
    <row r="177" spans="1:6" x14ac:dyDescent="0.2">
      <c r="A177" s="2">
        <f ca="1">IFERROR(__xludf.DUMMYFUNCTION("""COMPUTED_VALUE"""),42534.6666666666)</f>
        <v>42534.666666666599</v>
      </c>
      <c r="B177" s="1">
        <f ca="1">IFERROR(__xludf.DUMMYFUNCTION("""COMPUTED_VALUE"""),14.63)</f>
        <v>14.63</v>
      </c>
      <c r="C177" s="1">
        <f ca="1">IFERROR(__xludf.DUMMYFUNCTION("""COMPUTED_VALUE"""),15.05)</f>
        <v>15.05</v>
      </c>
      <c r="D177" s="1">
        <f ca="1">IFERROR(__xludf.DUMMYFUNCTION("""COMPUTED_VALUE"""),14.51)</f>
        <v>14.51</v>
      </c>
      <c r="E177" s="1">
        <f ca="1">IFERROR(__xludf.DUMMYFUNCTION("""COMPUTED_VALUE"""),14.52)</f>
        <v>14.52</v>
      </c>
      <c r="F177" s="1">
        <f ca="1">IFERROR(__xludf.DUMMYFUNCTION("""COMPUTED_VALUE"""),4193022)</f>
        <v>4193022</v>
      </c>
    </row>
    <row r="178" spans="1:6" x14ac:dyDescent="0.2">
      <c r="A178" s="2">
        <f ca="1">IFERROR(__xludf.DUMMYFUNCTION("""COMPUTED_VALUE"""),42535.6666666666)</f>
        <v>42535.666666666599</v>
      </c>
      <c r="B178" s="1">
        <f ca="1">IFERROR(__xludf.DUMMYFUNCTION("""COMPUTED_VALUE"""),14.59)</f>
        <v>14.59</v>
      </c>
      <c r="C178" s="1">
        <f ca="1">IFERROR(__xludf.DUMMYFUNCTION("""COMPUTED_VALUE"""),14.81)</f>
        <v>14.81</v>
      </c>
      <c r="D178" s="1">
        <f ca="1">IFERROR(__xludf.DUMMYFUNCTION("""COMPUTED_VALUE"""),14.17)</f>
        <v>14.17</v>
      </c>
      <c r="E178" s="1">
        <f ca="1">IFERROR(__xludf.DUMMYFUNCTION("""COMPUTED_VALUE"""),14.33)</f>
        <v>14.33</v>
      </c>
      <c r="F178" s="1">
        <f ca="1">IFERROR(__xludf.DUMMYFUNCTION("""COMPUTED_VALUE"""),3580167)</f>
        <v>3580167</v>
      </c>
    </row>
    <row r="179" spans="1:6" x14ac:dyDescent="0.2">
      <c r="A179" s="2">
        <f ca="1">IFERROR(__xludf.DUMMYFUNCTION("""COMPUTED_VALUE"""),42536.6666666666)</f>
        <v>42536.666666666599</v>
      </c>
      <c r="B179" s="1">
        <f ca="1">IFERROR(__xludf.DUMMYFUNCTION("""COMPUTED_VALUE"""),14.46)</f>
        <v>14.46</v>
      </c>
      <c r="C179" s="1">
        <f ca="1">IFERROR(__xludf.DUMMYFUNCTION("""COMPUTED_VALUE"""),14.79)</f>
        <v>14.79</v>
      </c>
      <c r="D179" s="1">
        <f ca="1">IFERROR(__xludf.DUMMYFUNCTION("""COMPUTED_VALUE"""),14.34)</f>
        <v>14.34</v>
      </c>
      <c r="E179" s="1">
        <f ca="1">IFERROR(__xludf.DUMMYFUNCTION("""COMPUTED_VALUE"""),14.51)</f>
        <v>14.51</v>
      </c>
      <c r="F179" s="1">
        <f ca="1">IFERROR(__xludf.DUMMYFUNCTION("""COMPUTED_VALUE"""),2908522)</f>
        <v>2908522</v>
      </c>
    </row>
    <row r="180" spans="1:6" x14ac:dyDescent="0.2">
      <c r="A180" s="2">
        <f ca="1">IFERROR(__xludf.DUMMYFUNCTION("""COMPUTED_VALUE"""),42537.6666666666)</f>
        <v>42537.666666666599</v>
      </c>
      <c r="B180" s="1">
        <f ca="1">IFERROR(__xludf.DUMMYFUNCTION("""COMPUTED_VALUE"""),14.49)</f>
        <v>14.49</v>
      </c>
      <c r="C180" s="1">
        <f ca="1">IFERROR(__xludf.DUMMYFUNCTION("""COMPUTED_VALUE"""),14.54)</f>
        <v>14.54</v>
      </c>
      <c r="D180" s="1">
        <f ca="1">IFERROR(__xludf.DUMMYFUNCTION("""COMPUTED_VALUE"""),14.23)</f>
        <v>14.23</v>
      </c>
      <c r="E180" s="1">
        <f ca="1">IFERROR(__xludf.DUMMYFUNCTION("""COMPUTED_VALUE"""),14.53)</f>
        <v>14.53</v>
      </c>
      <c r="F180" s="1">
        <f ca="1">IFERROR(__xludf.DUMMYFUNCTION("""COMPUTED_VALUE"""),2440259)</f>
        <v>2440259</v>
      </c>
    </row>
    <row r="181" spans="1:6" x14ac:dyDescent="0.2">
      <c r="A181" s="2">
        <f ca="1">IFERROR(__xludf.DUMMYFUNCTION("""COMPUTED_VALUE"""),42538.6666666666)</f>
        <v>42538.666666666599</v>
      </c>
      <c r="B181" s="1">
        <f ca="1">IFERROR(__xludf.DUMMYFUNCTION("""COMPUTED_VALUE"""),14.52)</f>
        <v>14.52</v>
      </c>
      <c r="C181" s="1">
        <f ca="1">IFERROR(__xludf.DUMMYFUNCTION("""COMPUTED_VALUE"""),14.67)</f>
        <v>14.67</v>
      </c>
      <c r="D181" s="1">
        <f ca="1">IFERROR(__xludf.DUMMYFUNCTION("""COMPUTED_VALUE"""),14.3)</f>
        <v>14.3</v>
      </c>
      <c r="E181" s="1">
        <f ca="1">IFERROR(__xludf.DUMMYFUNCTION("""COMPUTED_VALUE"""),14.36)</f>
        <v>14.36</v>
      </c>
      <c r="F181" s="1">
        <f ca="1">IFERROR(__xludf.DUMMYFUNCTION("""COMPUTED_VALUE"""),3112620)</f>
        <v>3112620</v>
      </c>
    </row>
    <row r="182" spans="1:6" x14ac:dyDescent="0.2">
      <c r="A182" s="2">
        <f ca="1">IFERROR(__xludf.DUMMYFUNCTION("""COMPUTED_VALUE"""),42541.6666666666)</f>
        <v>42541.666666666599</v>
      </c>
      <c r="B182" s="1">
        <f ca="1">IFERROR(__xludf.DUMMYFUNCTION("""COMPUTED_VALUE"""),14.63)</f>
        <v>14.63</v>
      </c>
      <c r="C182" s="1">
        <f ca="1">IFERROR(__xludf.DUMMYFUNCTION("""COMPUTED_VALUE"""),14.92)</f>
        <v>14.92</v>
      </c>
      <c r="D182" s="1">
        <f ca="1">IFERROR(__xludf.DUMMYFUNCTION("""COMPUTED_VALUE"""),14.55)</f>
        <v>14.55</v>
      </c>
      <c r="E182" s="1">
        <f ca="1">IFERROR(__xludf.DUMMYFUNCTION("""COMPUTED_VALUE"""),14.65)</f>
        <v>14.65</v>
      </c>
      <c r="F182" s="1">
        <f ca="1">IFERROR(__xludf.DUMMYFUNCTION("""COMPUTED_VALUE"""),3555471)</f>
        <v>3555471</v>
      </c>
    </row>
    <row r="183" spans="1:6" x14ac:dyDescent="0.2">
      <c r="A183" s="2">
        <f ca="1">IFERROR(__xludf.DUMMYFUNCTION("""COMPUTED_VALUE"""),42542.6666666666)</f>
        <v>42542.666666666599</v>
      </c>
      <c r="B183" s="1">
        <f ca="1">IFERROR(__xludf.DUMMYFUNCTION("""COMPUTED_VALUE"""),14.71)</f>
        <v>14.71</v>
      </c>
      <c r="C183" s="1">
        <f ca="1">IFERROR(__xludf.DUMMYFUNCTION("""COMPUTED_VALUE"""),14.84)</f>
        <v>14.84</v>
      </c>
      <c r="D183" s="1">
        <f ca="1">IFERROR(__xludf.DUMMYFUNCTION("""COMPUTED_VALUE"""),14.59)</f>
        <v>14.59</v>
      </c>
      <c r="E183" s="1">
        <f ca="1">IFERROR(__xludf.DUMMYFUNCTION("""COMPUTED_VALUE"""),14.64)</f>
        <v>14.64</v>
      </c>
      <c r="F183" s="1">
        <f ca="1">IFERROR(__xludf.DUMMYFUNCTION("""COMPUTED_VALUE"""),4529005)</f>
        <v>4529005</v>
      </c>
    </row>
    <row r="184" spans="1:6" x14ac:dyDescent="0.2">
      <c r="A184" s="2">
        <f ca="1">IFERROR(__xludf.DUMMYFUNCTION("""COMPUTED_VALUE"""),42543.6666666666)</f>
        <v>42543.666666666599</v>
      </c>
      <c r="B184" s="1">
        <f ca="1">IFERROR(__xludf.DUMMYFUNCTION("""COMPUTED_VALUE"""),13.3)</f>
        <v>13.3</v>
      </c>
      <c r="C184" s="1">
        <f ca="1">IFERROR(__xludf.DUMMYFUNCTION("""COMPUTED_VALUE"""),13.73)</f>
        <v>13.73</v>
      </c>
      <c r="D184" s="1">
        <f ca="1">IFERROR(__xludf.DUMMYFUNCTION("""COMPUTED_VALUE"""),13.05)</f>
        <v>13.05</v>
      </c>
      <c r="E184" s="1">
        <f ca="1">IFERROR(__xludf.DUMMYFUNCTION("""COMPUTED_VALUE"""),13.11)</f>
        <v>13.11</v>
      </c>
      <c r="F184" s="1">
        <f ca="1">IFERROR(__xludf.DUMMYFUNCTION("""COMPUTED_VALUE"""),23742414)</f>
        <v>23742414</v>
      </c>
    </row>
    <row r="185" spans="1:6" x14ac:dyDescent="0.2">
      <c r="A185" s="2">
        <f ca="1">IFERROR(__xludf.DUMMYFUNCTION("""COMPUTED_VALUE"""),42544.6666666666)</f>
        <v>42544.666666666599</v>
      </c>
      <c r="B185" s="1">
        <f ca="1">IFERROR(__xludf.DUMMYFUNCTION("""COMPUTED_VALUE"""),13.05)</f>
        <v>13.05</v>
      </c>
      <c r="C185" s="1">
        <f ca="1">IFERROR(__xludf.DUMMYFUNCTION("""COMPUTED_VALUE"""),13.17)</f>
        <v>13.17</v>
      </c>
      <c r="D185" s="1">
        <f ca="1">IFERROR(__xludf.DUMMYFUNCTION("""COMPUTED_VALUE"""),12.81)</f>
        <v>12.81</v>
      </c>
      <c r="E185" s="1">
        <f ca="1">IFERROR(__xludf.DUMMYFUNCTION("""COMPUTED_VALUE"""),13.09)</f>
        <v>13.09</v>
      </c>
      <c r="F185" s="1">
        <f ca="1">IFERROR(__xludf.DUMMYFUNCTION("""COMPUTED_VALUE"""),10130748)</f>
        <v>10130748</v>
      </c>
    </row>
    <row r="186" spans="1:6" x14ac:dyDescent="0.2">
      <c r="A186" s="2">
        <f ca="1">IFERROR(__xludf.DUMMYFUNCTION("""COMPUTED_VALUE"""),42545.6666666666)</f>
        <v>42545.666666666599</v>
      </c>
      <c r="B186" s="1">
        <f ca="1">IFERROR(__xludf.DUMMYFUNCTION("""COMPUTED_VALUE"""),12.67)</f>
        <v>12.67</v>
      </c>
      <c r="C186" s="1">
        <f ca="1">IFERROR(__xludf.DUMMYFUNCTION("""COMPUTED_VALUE"""),13.01)</f>
        <v>13.01</v>
      </c>
      <c r="D186" s="1">
        <f ca="1">IFERROR(__xludf.DUMMYFUNCTION("""COMPUTED_VALUE"""),12.65)</f>
        <v>12.65</v>
      </c>
      <c r="E186" s="1">
        <f ca="1">IFERROR(__xludf.DUMMYFUNCTION("""COMPUTED_VALUE"""),12.88)</f>
        <v>12.88</v>
      </c>
      <c r="F186" s="1">
        <f ca="1">IFERROR(__xludf.DUMMYFUNCTION("""COMPUTED_VALUE"""),7026516)</f>
        <v>7026516</v>
      </c>
    </row>
    <row r="187" spans="1:6" x14ac:dyDescent="0.2">
      <c r="A187" s="2">
        <f ca="1">IFERROR(__xludf.DUMMYFUNCTION("""COMPUTED_VALUE"""),42548.6666666666)</f>
        <v>42548.666666666599</v>
      </c>
      <c r="B187" s="1">
        <f ca="1">IFERROR(__xludf.DUMMYFUNCTION("""COMPUTED_VALUE"""),12.72)</f>
        <v>12.72</v>
      </c>
      <c r="C187" s="1">
        <f ca="1">IFERROR(__xludf.DUMMYFUNCTION("""COMPUTED_VALUE"""),13.25)</f>
        <v>13.25</v>
      </c>
      <c r="D187" s="1">
        <f ca="1">IFERROR(__xludf.DUMMYFUNCTION("""COMPUTED_VALUE"""),12.52)</f>
        <v>12.52</v>
      </c>
      <c r="E187" s="1">
        <f ca="1">IFERROR(__xludf.DUMMYFUNCTION("""COMPUTED_VALUE"""),13.24)</f>
        <v>13.24</v>
      </c>
      <c r="F187" s="1">
        <f ca="1">IFERROR(__xludf.DUMMYFUNCTION("""COMPUTED_VALUE"""),7220323)</f>
        <v>7220323</v>
      </c>
    </row>
    <row r="188" spans="1:6" x14ac:dyDescent="0.2">
      <c r="A188" s="2">
        <f ca="1">IFERROR(__xludf.DUMMYFUNCTION("""COMPUTED_VALUE"""),42549.6666666666)</f>
        <v>42549.666666666599</v>
      </c>
      <c r="B188" s="1">
        <f ca="1">IFERROR(__xludf.DUMMYFUNCTION("""COMPUTED_VALUE"""),13.46)</f>
        <v>13.46</v>
      </c>
      <c r="C188" s="1">
        <f ca="1">IFERROR(__xludf.DUMMYFUNCTION("""COMPUTED_VALUE"""),13.6)</f>
        <v>13.6</v>
      </c>
      <c r="D188" s="1">
        <f ca="1">IFERROR(__xludf.DUMMYFUNCTION("""COMPUTED_VALUE"""),13.29)</f>
        <v>13.29</v>
      </c>
      <c r="E188" s="1">
        <f ca="1">IFERROR(__xludf.DUMMYFUNCTION("""COMPUTED_VALUE"""),13.45)</f>
        <v>13.45</v>
      </c>
      <c r="F188" s="1">
        <f ca="1">IFERROR(__xludf.DUMMYFUNCTION("""COMPUTED_VALUE"""),6212422)</f>
        <v>6212422</v>
      </c>
    </row>
    <row r="189" spans="1:6" x14ac:dyDescent="0.2">
      <c r="A189" s="2">
        <f ca="1">IFERROR(__xludf.DUMMYFUNCTION("""COMPUTED_VALUE"""),42550.6666666666)</f>
        <v>42550.666666666599</v>
      </c>
      <c r="B189" s="1">
        <f ca="1">IFERROR(__xludf.DUMMYFUNCTION("""COMPUTED_VALUE"""),13.68)</f>
        <v>13.68</v>
      </c>
      <c r="C189" s="1">
        <f ca="1">IFERROR(__xludf.DUMMYFUNCTION("""COMPUTED_VALUE"""),14.12)</f>
        <v>14.12</v>
      </c>
      <c r="D189" s="1">
        <f ca="1">IFERROR(__xludf.DUMMYFUNCTION("""COMPUTED_VALUE"""),13.53)</f>
        <v>13.53</v>
      </c>
      <c r="E189" s="1">
        <f ca="1">IFERROR(__xludf.DUMMYFUNCTION("""COMPUTED_VALUE"""),14.01)</f>
        <v>14.01</v>
      </c>
      <c r="F189" s="1">
        <f ca="1">IFERROR(__xludf.DUMMYFUNCTION("""COMPUTED_VALUE"""),5994908)</f>
        <v>5994908</v>
      </c>
    </row>
    <row r="190" spans="1:6" x14ac:dyDescent="0.2">
      <c r="A190" s="2">
        <f ca="1">IFERROR(__xludf.DUMMYFUNCTION("""COMPUTED_VALUE"""),42551.6666666666)</f>
        <v>42551.666666666599</v>
      </c>
      <c r="B190" s="1">
        <f ca="1">IFERROR(__xludf.DUMMYFUNCTION("""COMPUTED_VALUE"""),14.2)</f>
        <v>14.2</v>
      </c>
      <c r="C190" s="1">
        <f ca="1">IFERROR(__xludf.DUMMYFUNCTION("""COMPUTED_VALUE"""),14.23)</f>
        <v>14.23</v>
      </c>
      <c r="D190" s="1">
        <f ca="1">IFERROR(__xludf.DUMMYFUNCTION("""COMPUTED_VALUE"""),13.93)</f>
        <v>13.93</v>
      </c>
      <c r="E190" s="1">
        <f ca="1">IFERROR(__xludf.DUMMYFUNCTION("""COMPUTED_VALUE"""),14.15)</f>
        <v>14.15</v>
      </c>
      <c r="F190" s="1">
        <f ca="1">IFERROR(__xludf.DUMMYFUNCTION("""COMPUTED_VALUE"""),4843111)</f>
        <v>4843111</v>
      </c>
    </row>
    <row r="191" spans="1:6" x14ac:dyDescent="0.2">
      <c r="A191" s="2">
        <f ca="1">IFERROR(__xludf.DUMMYFUNCTION("""COMPUTED_VALUE"""),42552.6666666666)</f>
        <v>42552.666666666599</v>
      </c>
      <c r="B191" s="1">
        <f ca="1">IFERROR(__xludf.DUMMYFUNCTION("""COMPUTED_VALUE"""),13.74)</f>
        <v>13.74</v>
      </c>
      <c r="C191" s="1">
        <f ca="1">IFERROR(__xludf.DUMMYFUNCTION("""COMPUTED_VALUE"""),14.55)</f>
        <v>14.55</v>
      </c>
      <c r="D191" s="1">
        <f ca="1">IFERROR(__xludf.DUMMYFUNCTION("""COMPUTED_VALUE"""),13.73)</f>
        <v>13.73</v>
      </c>
      <c r="E191" s="1">
        <f ca="1">IFERROR(__xludf.DUMMYFUNCTION("""COMPUTED_VALUE"""),14.43)</f>
        <v>14.43</v>
      </c>
      <c r="F191" s="1">
        <f ca="1">IFERROR(__xludf.DUMMYFUNCTION("""COMPUTED_VALUE"""),5399951)</f>
        <v>5399951</v>
      </c>
    </row>
    <row r="192" spans="1:6" x14ac:dyDescent="0.2">
      <c r="A192" s="2">
        <f ca="1">IFERROR(__xludf.DUMMYFUNCTION("""COMPUTED_VALUE"""),42556.6666666666)</f>
        <v>42556.666666666599</v>
      </c>
      <c r="B192" s="1">
        <f ca="1">IFERROR(__xludf.DUMMYFUNCTION("""COMPUTED_VALUE"""),13.98)</f>
        <v>13.98</v>
      </c>
      <c r="C192" s="1">
        <f ca="1">IFERROR(__xludf.DUMMYFUNCTION("""COMPUTED_VALUE"""),14.3)</f>
        <v>14.3</v>
      </c>
      <c r="D192" s="1">
        <f ca="1">IFERROR(__xludf.DUMMYFUNCTION("""COMPUTED_VALUE"""),13.87)</f>
        <v>13.87</v>
      </c>
      <c r="E192" s="1">
        <f ca="1">IFERROR(__xludf.DUMMYFUNCTION("""COMPUTED_VALUE"""),14.27)</f>
        <v>14.27</v>
      </c>
      <c r="F192" s="1">
        <f ca="1">IFERROR(__xludf.DUMMYFUNCTION("""COMPUTED_VALUE"""),5175345)</f>
        <v>5175345</v>
      </c>
    </row>
    <row r="193" spans="1:6" x14ac:dyDescent="0.2">
      <c r="A193" s="2">
        <f ca="1">IFERROR(__xludf.DUMMYFUNCTION("""COMPUTED_VALUE"""),42557.6666666666)</f>
        <v>42557.666666666599</v>
      </c>
      <c r="B193" s="1">
        <f ca="1">IFERROR(__xludf.DUMMYFUNCTION("""COMPUTED_VALUE"""),14)</f>
        <v>14</v>
      </c>
      <c r="C193" s="1">
        <f ca="1">IFERROR(__xludf.DUMMYFUNCTION("""COMPUTED_VALUE"""),14.35)</f>
        <v>14.35</v>
      </c>
      <c r="D193" s="1">
        <f ca="1">IFERROR(__xludf.DUMMYFUNCTION("""COMPUTED_VALUE"""),13.93)</f>
        <v>13.93</v>
      </c>
      <c r="E193" s="1">
        <f ca="1">IFERROR(__xludf.DUMMYFUNCTION("""COMPUTED_VALUE"""),14.3)</f>
        <v>14.3</v>
      </c>
      <c r="F193" s="1">
        <f ca="1">IFERROR(__xludf.DUMMYFUNCTION("""COMPUTED_VALUE"""),4919855)</f>
        <v>4919855</v>
      </c>
    </row>
    <row r="194" spans="1:6" x14ac:dyDescent="0.2">
      <c r="A194" s="2">
        <f ca="1">IFERROR(__xludf.DUMMYFUNCTION("""COMPUTED_VALUE"""),42558.6666666666)</f>
        <v>42558.666666666599</v>
      </c>
      <c r="B194" s="1">
        <f ca="1">IFERROR(__xludf.DUMMYFUNCTION("""COMPUTED_VALUE"""),14.21)</f>
        <v>14.21</v>
      </c>
      <c r="C194" s="1">
        <f ca="1">IFERROR(__xludf.DUMMYFUNCTION("""COMPUTED_VALUE"""),14.54)</f>
        <v>14.54</v>
      </c>
      <c r="D194" s="1">
        <f ca="1">IFERROR(__xludf.DUMMYFUNCTION("""COMPUTED_VALUE"""),14.2)</f>
        <v>14.2</v>
      </c>
      <c r="E194" s="1">
        <f ca="1">IFERROR(__xludf.DUMMYFUNCTION("""COMPUTED_VALUE"""),14.4)</f>
        <v>14.4</v>
      </c>
      <c r="F194" s="1">
        <f ca="1">IFERROR(__xludf.DUMMYFUNCTION("""COMPUTED_VALUE"""),3612022)</f>
        <v>3612022</v>
      </c>
    </row>
    <row r="195" spans="1:6" x14ac:dyDescent="0.2">
      <c r="A195" s="2">
        <f ca="1">IFERROR(__xludf.DUMMYFUNCTION("""COMPUTED_VALUE"""),42559.6666666666)</f>
        <v>42559.666666666599</v>
      </c>
      <c r="B195" s="1">
        <f ca="1">IFERROR(__xludf.DUMMYFUNCTION("""COMPUTED_VALUE"""),14.52)</f>
        <v>14.52</v>
      </c>
      <c r="C195" s="1">
        <f ca="1">IFERROR(__xludf.DUMMYFUNCTION("""COMPUTED_VALUE"""),14.65)</f>
        <v>14.65</v>
      </c>
      <c r="D195" s="1">
        <f ca="1">IFERROR(__xludf.DUMMYFUNCTION("""COMPUTED_VALUE"""),14.3)</f>
        <v>14.3</v>
      </c>
      <c r="E195" s="1">
        <f ca="1">IFERROR(__xludf.DUMMYFUNCTION("""COMPUTED_VALUE"""),14.45)</f>
        <v>14.45</v>
      </c>
      <c r="F195" s="1">
        <f ca="1">IFERROR(__xludf.DUMMYFUNCTION("""COMPUTED_VALUE"""),4074785)</f>
        <v>4074785</v>
      </c>
    </row>
    <row r="196" spans="1:6" x14ac:dyDescent="0.2">
      <c r="A196" s="2">
        <f ca="1">IFERROR(__xludf.DUMMYFUNCTION("""COMPUTED_VALUE"""),42562.6666666666)</f>
        <v>42562.666666666599</v>
      </c>
      <c r="B196" s="1">
        <f ca="1">IFERROR(__xludf.DUMMYFUNCTION("""COMPUTED_VALUE"""),14.66)</f>
        <v>14.66</v>
      </c>
      <c r="C196" s="1">
        <f ca="1">IFERROR(__xludf.DUMMYFUNCTION("""COMPUTED_VALUE"""),15.12)</f>
        <v>15.12</v>
      </c>
      <c r="D196" s="1">
        <f ca="1">IFERROR(__xludf.DUMMYFUNCTION("""COMPUTED_VALUE"""),14.63)</f>
        <v>14.63</v>
      </c>
      <c r="E196" s="1">
        <f ca="1">IFERROR(__xludf.DUMMYFUNCTION("""COMPUTED_VALUE"""),14.99)</f>
        <v>14.99</v>
      </c>
      <c r="F196" s="1">
        <f ca="1">IFERROR(__xludf.DUMMYFUNCTION("""COMPUTED_VALUE"""),5429823)</f>
        <v>5429823</v>
      </c>
    </row>
    <row r="197" spans="1:6" x14ac:dyDescent="0.2">
      <c r="A197" s="2">
        <f ca="1">IFERROR(__xludf.DUMMYFUNCTION("""COMPUTED_VALUE"""),42563.6666666666)</f>
        <v>42563.666666666599</v>
      </c>
      <c r="B197" s="1">
        <f ca="1">IFERROR(__xludf.DUMMYFUNCTION("""COMPUTED_VALUE"""),14.94)</f>
        <v>14.94</v>
      </c>
      <c r="C197" s="1">
        <f ca="1">IFERROR(__xludf.DUMMYFUNCTION("""COMPUTED_VALUE"""),15.17)</f>
        <v>15.17</v>
      </c>
      <c r="D197" s="1">
        <f ca="1">IFERROR(__xludf.DUMMYFUNCTION("""COMPUTED_VALUE"""),14.88)</f>
        <v>14.88</v>
      </c>
      <c r="E197" s="1">
        <f ca="1">IFERROR(__xludf.DUMMYFUNCTION("""COMPUTED_VALUE"""),14.98)</f>
        <v>14.98</v>
      </c>
      <c r="F197" s="1">
        <f ca="1">IFERROR(__xludf.DUMMYFUNCTION("""COMPUTED_VALUE"""),4576165)</f>
        <v>4576165</v>
      </c>
    </row>
    <row r="198" spans="1:6" x14ac:dyDescent="0.2">
      <c r="A198" s="2">
        <f ca="1">IFERROR(__xludf.DUMMYFUNCTION("""COMPUTED_VALUE"""),42564.6666666666)</f>
        <v>42564.666666666599</v>
      </c>
      <c r="B198" s="1">
        <f ca="1">IFERROR(__xludf.DUMMYFUNCTION("""COMPUTED_VALUE"""),15.03)</f>
        <v>15.03</v>
      </c>
      <c r="C198" s="1">
        <f ca="1">IFERROR(__xludf.DUMMYFUNCTION("""COMPUTED_VALUE"""),15.04)</f>
        <v>15.04</v>
      </c>
      <c r="D198" s="1">
        <f ca="1">IFERROR(__xludf.DUMMYFUNCTION("""COMPUTED_VALUE"""),14.69)</f>
        <v>14.69</v>
      </c>
      <c r="E198" s="1">
        <f ca="1">IFERROR(__xludf.DUMMYFUNCTION("""COMPUTED_VALUE"""),14.84)</f>
        <v>14.84</v>
      </c>
      <c r="F198" s="1">
        <f ca="1">IFERROR(__xludf.DUMMYFUNCTION("""COMPUTED_VALUE"""),3567062)</f>
        <v>3567062</v>
      </c>
    </row>
    <row r="199" spans="1:6" x14ac:dyDescent="0.2">
      <c r="A199" s="2">
        <f ca="1">IFERROR(__xludf.DUMMYFUNCTION("""COMPUTED_VALUE"""),42565.6666666666)</f>
        <v>42565.666666666599</v>
      </c>
      <c r="B199" s="1">
        <f ca="1">IFERROR(__xludf.DUMMYFUNCTION("""COMPUTED_VALUE"""),14.87)</f>
        <v>14.87</v>
      </c>
      <c r="C199" s="1">
        <f ca="1">IFERROR(__xludf.DUMMYFUNCTION("""COMPUTED_VALUE"""),15)</f>
        <v>15</v>
      </c>
      <c r="D199" s="1">
        <f ca="1">IFERROR(__xludf.DUMMYFUNCTION("""COMPUTED_VALUE"""),14.74)</f>
        <v>14.74</v>
      </c>
      <c r="E199" s="1">
        <f ca="1">IFERROR(__xludf.DUMMYFUNCTION("""COMPUTED_VALUE"""),14.77)</f>
        <v>14.77</v>
      </c>
      <c r="F199" s="1">
        <f ca="1">IFERROR(__xludf.DUMMYFUNCTION("""COMPUTED_VALUE"""),2675834)</f>
        <v>2675834</v>
      </c>
    </row>
    <row r="200" spans="1:6" x14ac:dyDescent="0.2">
      <c r="A200" s="2">
        <f ca="1">IFERROR(__xludf.DUMMYFUNCTION("""COMPUTED_VALUE"""),42566.6666666666)</f>
        <v>42566.666666666599</v>
      </c>
      <c r="B200" s="1">
        <f ca="1">IFERROR(__xludf.DUMMYFUNCTION("""COMPUTED_VALUE"""),14.83)</f>
        <v>14.83</v>
      </c>
      <c r="C200" s="1">
        <f ca="1">IFERROR(__xludf.DUMMYFUNCTION("""COMPUTED_VALUE"""),14.85)</f>
        <v>14.85</v>
      </c>
      <c r="D200" s="1">
        <f ca="1">IFERROR(__xludf.DUMMYFUNCTION("""COMPUTED_VALUE"""),14.64)</f>
        <v>14.64</v>
      </c>
      <c r="E200" s="1">
        <f ca="1">IFERROR(__xludf.DUMMYFUNCTION("""COMPUTED_VALUE"""),14.69)</f>
        <v>14.69</v>
      </c>
      <c r="F200" s="1">
        <f ca="1">IFERROR(__xludf.DUMMYFUNCTION("""COMPUTED_VALUE"""),2234247)</f>
        <v>2234247</v>
      </c>
    </row>
    <row r="201" spans="1:6" x14ac:dyDescent="0.2">
      <c r="A201" s="2">
        <f ca="1">IFERROR(__xludf.DUMMYFUNCTION("""COMPUTED_VALUE"""),42569.6666666666)</f>
        <v>42569.666666666599</v>
      </c>
      <c r="B201" s="1">
        <f ca="1">IFERROR(__xludf.DUMMYFUNCTION("""COMPUTED_VALUE"""),14.64)</f>
        <v>14.64</v>
      </c>
      <c r="C201" s="1">
        <f ca="1">IFERROR(__xludf.DUMMYFUNCTION("""COMPUTED_VALUE"""),15.14)</f>
        <v>15.14</v>
      </c>
      <c r="D201" s="1">
        <f ca="1">IFERROR(__xludf.DUMMYFUNCTION("""COMPUTED_VALUE"""),14.55)</f>
        <v>14.55</v>
      </c>
      <c r="E201" s="1">
        <f ca="1">IFERROR(__xludf.DUMMYFUNCTION("""COMPUTED_VALUE"""),15.08)</f>
        <v>15.08</v>
      </c>
      <c r="F201" s="1">
        <f ca="1">IFERROR(__xludf.DUMMYFUNCTION("""COMPUTED_VALUE"""),3412055)</f>
        <v>3412055</v>
      </c>
    </row>
    <row r="202" spans="1:6" x14ac:dyDescent="0.2">
      <c r="A202" s="2">
        <f ca="1">IFERROR(__xludf.DUMMYFUNCTION("""COMPUTED_VALUE"""),42570.6666666666)</f>
        <v>42570.666666666599</v>
      </c>
      <c r="B202" s="1">
        <f ca="1">IFERROR(__xludf.DUMMYFUNCTION("""COMPUTED_VALUE"""),15)</f>
        <v>15</v>
      </c>
      <c r="C202" s="1">
        <f ca="1">IFERROR(__xludf.DUMMYFUNCTION("""COMPUTED_VALUE"""),15.27)</f>
        <v>15.27</v>
      </c>
      <c r="D202" s="1">
        <f ca="1">IFERROR(__xludf.DUMMYFUNCTION("""COMPUTED_VALUE"""),14.98)</f>
        <v>14.98</v>
      </c>
      <c r="E202" s="1">
        <f ca="1">IFERROR(__xludf.DUMMYFUNCTION("""COMPUTED_VALUE"""),15.02)</f>
        <v>15.02</v>
      </c>
      <c r="F202" s="1">
        <f ca="1">IFERROR(__xludf.DUMMYFUNCTION("""COMPUTED_VALUE"""),3115065)</f>
        <v>3115065</v>
      </c>
    </row>
    <row r="203" spans="1:6" x14ac:dyDescent="0.2">
      <c r="A203" s="2">
        <f ca="1">IFERROR(__xludf.DUMMYFUNCTION("""COMPUTED_VALUE"""),42571.6666666666)</f>
        <v>42571.666666666599</v>
      </c>
      <c r="B203" s="1">
        <f ca="1">IFERROR(__xludf.DUMMYFUNCTION("""COMPUTED_VALUE"""),15.1)</f>
        <v>15.1</v>
      </c>
      <c r="C203" s="1">
        <f ca="1">IFERROR(__xludf.DUMMYFUNCTION("""COMPUTED_VALUE"""),15.32)</f>
        <v>15.32</v>
      </c>
      <c r="D203" s="1">
        <f ca="1">IFERROR(__xludf.DUMMYFUNCTION("""COMPUTED_VALUE"""),15)</f>
        <v>15</v>
      </c>
      <c r="E203" s="1">
        <f ca="1">IFERROR(__xludf.DUMMYFUNCTION("""COMPUTED_VALUE"""),15.22)</f>
        <v>15.22</v>
      </c>
      <c r="F203" s="1">
        <f ca="1">IFERROR(__xludf.DUMMYFUNCTION("""COMPUTED_VALUE"""),2568498)</f>
        <v>2568498</v>
      </c>
    </row>
    <row r="204" spans="1:6" x14ac:dyDescent="0.2">
      <c r="A204" s="2">
        <f ca="1">IFERROR(__xludf.DUMMYFUNCTION("""COMPUTED_VALUE"""),42572.6666666666)</f>
        <v>42572.666666666599</v>
      </c>
      <c r="B204" s="1">
        <f ca="1">IFERROR(__xludf.DUMMYFUNCTION("""COMPUTED_VALUE"""),15.07)</f>
        <v>15.07</v>
      </c>
      <c r="C204" s="1">
        <f ca="1">IFERROR(__xludf.DUMMYFUNCTION("""COMPUTED_VALUE"""),15.19)</f>
        <v>15.19</v>
      </c>
      <c r="D204" s="1">
        <f ca="1">IFERROR(__xludf.DUMMYFUNCTION("""COMPUTED_VALUE"""),14.61)</f>
        <v>14.61</v>
      </c>
      <c r="E204" s="1">
        <f ca="1">IFERROR(__xludf.DUMMYFUNCTION("""COMPUTED_VALUE"""),14.7)</f>
        <v>14.7</v>
      </c>
      <c r="F204" s="1">
        <f ca="1">IFERROR(__xludf.DUMMYFUNCTION("""COMPUTED_VALUE"""),4428651)</f>
        <v>4428651</v>
      </c>
    </row>
    <row r="205" spans="1:6" x14ac:dyDescent="0.2">
      <c r="A205" s="2">
        <f ca="1">IFERROR(__xludf.DUMMYFUNCTION("""COMPUTED_VALUE"""),42573.6666666666)</f>
        <v>42573.666666666599</v>
      </c>
      <c r="B205" s="1">
        <f ca="1">IFERROR(__xludf.DUMMYFUNCTION("""COMPUTED_VALUE"""),14.8)</f>
        <v>14.8</v>
      </c>
      <c r="C205" s="1">
        <f ca="1">IFERROR(__xludf.DUMMYFUNCTION("""COMPUTED_VALUE"""),14.97)</f>
        <v>14.97</v>
      </c>
      <c r="D205" s="1">
        <f ca="1">IFERROR(__xludf.DUMMYFUNCTION("""COMPUTED_VALUE"""),14.59)</f>
        <v>14.59</v>
      </c>
      <c r="E205" s="1">
        <f ca="1">IFERROR(__xludf.DUMMYFUNCTION("""COMPUTED_VALUE"""),14.82)</f>
        <v>14.82</v>
      </c>
      <c r="F205" s="1">
        <f ca="1">IFERROR(__xludf.DUMMYFUNCTION("""COMPUTED_VALUE"""),2579692)</f>
        <v>2579692</v>
      </c>
    </row>
    <row r="206" spans="1:6" x14ac:dyDescent="0.2">
      <c r="A206" s="2">
        <f ca="1">IFERROR(__xludf.DUMMYFUNCTION("""COMPUTED_VALUE"""),42576.6666666666)</f>
        <v>42576.666666666599</v>
      </c>
      <c r="B206" s="1">
        <f ca="1">IFERROR(__xludf.DUMMYFUNCTION("""COMPUTED_VALUE"""),14.82)</f>
        <v>14.82</v>
      </c>
      <c r="C206" s="1">
        <f ca="1">IFERROR(__xludf.DUMMYFUNCTION("""COMPUTED_VALUE"""),15.43)</f>
        <v>15.43</v>
      </c>
      <c r="D206" s="1">
        <f ca="1">IFERROR(__xludf.DUMMYFUNCTION("""COMPUTED_VALUE"""),14.76)</f>
        <v>14.76</v>
      </c>
      <c r="E206" s="1">
        <f ca="1">IFERROR(__xludf.DUMMYFUNCTION("""COMPUTED_VALUE"""),15.33)</f>
        <v>15.33</v>
      </c>
      <c r="F206" s="1">
        <f ca="1">IFERROR(__xludf.DUMMYFUNCTION("""COMPUTED_VALUE"""),4490683)</f>
        <v>4490683</v>
      </c>
    </row>
    <row r="207" spans="1:6" x14ac:dyDescent="0.2">
      <c r="A207" s="2">
        <f ca="1">IFERROR(__xludf.DUMMYFUNCTION("""COMPUTED_VALUE"""),42577.6666666666)</f>
        <v>42577.666666666599</v>
      </c>
      <c r="B207" s="1">
        <f ca="1">IFERROR(__xludf.DUMMYFUNCTION("""COMPUTED_VALUE"""),15.18)</f>
        <v>15.18</v>
      </c>
      <c r="C207" s="1">
        <f ca="1">IFERROR(__xludf.DUMMYFUNCTION("""COMPUTED_VALUE"""),15.33)</f>
        <v>15.33</v>
      </c>
      <c r="D207" s="1">
        <f ca="1">IFERROR(__xludf.DUMMYFUNCTION("""COMPUTED_VALUE"""),15.02)</f>
        <v>15.02</v>
      </c>
      <c r="E207" s="1">
        <f ca="1">IFERROR(__xludf.DUMMYFUNCTION("""COMPUTED_VALUE"""),15.3)</f>
        <v>15.3</v>
      </c>
      <c r="F207" s="1">
        <f ca="1">IFERROR(__xludf.DUMMYFUNCTION("""COMPUTED_VALUE"""),3430042)</f>
        <v>3430042</v>
      </c>
    </row>
    <row r="208" spans="1:6" x14ac:dyDescent="0.2">
      <c r="A208" s="2">
        <f ca="1">IFERROR(__xludf.DUMMYFUNCTION("""COMPUTED_VALUE"""),42578.6666666666)</f>
        <v>42578.666666666599</v>
      </c>
      <c r="B208" s="1">
        <f ca="1">IFERROR(__xludf.DUMMYFUNCTION("""COMPUTED_VALUE"""),15.29)</f>
        <v>15.29</v>
      </c>
      <c r="C208" s="1">
        <f ca="1">IFERROR(__xludf.DUMMYFUNCTION("""COMPUTED_VALUE"""),15.56)</f>
        <v>15.56</v>
      </c>
      <c r="D208" s="1">
        <f ca="1">IFERROR(__xludf.DUMMYFUNCTION("""COMPUTED_VALUE"""),15.13)</f>
        <v>15.13</v>
      </c>
      <c r="E208" s="1">
        <f ca="1">IFERROR(__xludf.DUMMYFUNCTION("""COMPUTED_VALUE"""),15.23)</f>
        <v>15.23</v>
      </c>
      <c r="F208" s="1">
        <f ca="1">IFERROR(__xludf.DUMMYFUNCTION("""COMPUTED_VALUE"""),2889007)</f>
        <v>2889007</v>
      </c>
    </row>
    <row r="209" spans="1:6" x14ac:dyDescent="0.2">
      <c r="A209" s="2">
        <f ca="1">IFERROR(__xludf.DUMMYFUNCTION("""COMPUTED_VALUE"""),42579.6666666666)</f>
        <v>42579.666666666599</v>
      </c>
      <c r="B209" s="1">
        <f ca="1">IFERROR(__xludf.DUMMYFUNCTION("""COMPUTED_VALUE"""),15.2)</f>
        <v>15.2</v>
      </c>
      <c r="C209" s="1">
        <f ca="1">IFERROR(__xludf.DUMMYFUNCTION("""COMPUTED_VALUE"""),15.38)</f>
        <v>15.38</v>
      </c>
      <c r="D209" s="1">
        <f ca="1">IFERROR(__xludf.DUMMYFUNCTION("""COMPUTED_VALUE"""),15.11)</f>
        <v>15.11</v>
      </c>
      <c r="E209" s="1">
        <f ca="1">IFERROR(__xludf.DUMMYFUNCTION("""COMPUTED_VALUE"""),15.37)</f>
        <v>15.37</v>
      </c>
      <c r="F209" s="1">
        <f ca="1">IFERROR(__xludf.DUMMYFUNCTION("""COMPUTED_VALUE"""),2419059)</f>
        <v>2419059</v>
      </c>
    </row>
    <row r="210" spans="1:6" x14ac:dyDescent="0.2">
      <c r="A210" s="2">
        <f ca="1">IFERROR(__xludf.DUMMYFUNCTION("""COMPUTED_VALUE"""),42580.6666666666)</f>
        <v>42580.666666666599</v>
      </c>
      <c r="B210" s="1">
        <f ca="1">IFERROR(__xludf.DUMMYFUNCTION("""COMPUTED_VALUE"""),15.38)</f>
        <v>15.38</v>
      </c>
      <c r="C210" s="1">
        <f ca="1">IFERROR(__xludf.DUMMYFUNCTION("""COMPUTED_VALUE"""),15.69)</f>
        <v>15.69</v>
      </c>
      <c r="D210" s="1">
        <f ca="1">IFERROR(__xludf.DUMMYFUNCTION("""COMPUTED_VALUE"""),15.35)</f>
        <v>15.35</v>
      </c>
      <c r="E210" s="1">
        <f ca="1">IFERROR(__xludf.DUMMYFUNCTION("""COMPUTED_VALUE"""),15.65)</f>
        <v>15.65</v>
      </c>
      <c r="F210" s="1">
        <f ca="1">IFERROR(__xludf.DUMMYFUNCTION("""COMPUTED_VALUE"""),3070813)</f>
        <v>3070813</v>
      </c>
    </row>
    <row r="211" spans="1:6" x14ac:dyDescent="0.2">
      <c r="A211" s="2">
        <f ca="1">IFERROR(__xludf.DUMMYFUNCTION("""COMPUTED_VALUE"""),42583.6666666666)</f>
        <v>42583.666666666599</v>
      </c>
      <c r="B211" s="1">
        <f ca="1">IFERROR(__xludf.DUMMYFUNCTION("""COMPUTED_VALUE"""),15.7)</f>
        <v>15.7</v>
      </c>
      <c r="C211" s="1">
        <f ca="1">IFERROR(__xludf.DUMMYFUNCTION("""COMPUTED_VALUE"""),15.78)</f>
        <v>15.78</v>
      </c>
      <c r="D211" s="1">
        <f ca="1">IFERROR(__xludf.DUMMYFUNCTION("""COMPUTED_VALUE"""),15.29)</f>
        <v>15.29</v>
      </c>
      <c r="E211" s="1">
        <f ca="1">IFERROR(__xludf.DUMMYFUNCTION("""COMPUTED_VALUE"""),15.33)</f>
        <v>15.33</v>
      </c>
      <c r="F211" s="1">
        <f ca="1">IFERROR(__xludf.DUMMYFUNCTION("""COMPUTED_VALUE"""),4016284)</f>
        <v>4016284</v>
      </c>
    </row>
    <row r="212" spans="1:6" x14ac:dyDescent="0.2">
      <c r="A212" s="2">
        <f ca="1">IFERROR(__xludf.DUMMYFUNCTION("""COMPUTED_VALUE"""),42584.6666666666)</f>
        <v>42584.666666666599</v>
      </c>
      <c r="B212" s="1">
        <f ca="1">IFERROR(__xludf.DUMMYFUNCTION("""COMPUTED_VALUE"""),15.29)</f>
        <v>15.29</v>
      </c>
      <c r="C212" s="1">
        <f ca="1">IFERROR(__xludf.DUMMYFUNCTION("""COMPUTED_VALUE"""),15.32)</f>
        <v>15.32</v>
      </c>
      <c r="D212" s="1">
        <f ca="1">IFERROR(__xludf.DUMMYFUNCTION("""COMPUTED_VALUE"""),14.76)</f>
        <v>14.76</v>
      </c>
      <c r="E212" s="1">
        <f ca="1">IFERROR(__xludf.DUMMYFUNCTION("""COMPUTED_VALUE"""),15.15)</f>
        <v>15.15</v>
      </c>
      <c r="F212" s="1">
        <f ca="1">IFERROR(__xludf.DUMMYFUNCTION("""COMPUTED_VALUE"""),3934432)</f>
        <v>3934432</v>
      </c>
    </row>
    <row r="213" spans="1:6" x14ac:dyDescent="0.2">
      <c r="A213" s="2">
        <f ca="1">IFERROR(__xludf.DUMMYFUNCTION("""COMPUTED_VALUE"""),42585.6666666666)</f>
        <v>42585.666666666599</v>
      </c>
      <c r="B213" s="1">
        <f ca="1">IFERROR(__xludf.DUMMYFUNCTION("""COMPUTED_VALUE"""),15.16)</f>
        <v>15.16</v>
      </c>
      <c r="C213" s="1">
        <f ca="1">IFERROR(__xludf.DUMMYFUNCTION("""COMPUTED_VALUE"""),15.31)</f>
        <v>15.31</v>
      </c>
      <c r="D213" s="1">
        <f ca="1">IFERROR(__xludf.DUMMYFUNCTION("""COMPUTED_VALUE"""),14.95)</f>
        <v>14.95</v>
      </c>
      <c r="E213" s="1">
        <f ca="1">IFERROR(__xludf.DUMMYFUNCTION("""COMPUTED_VALUE"""),15.05)</f>
        <v>15.05</v>
      </c>
      <c r="F213" s="1">
        <f ca="1">IFERROR(__xludf.DUMMYFUNCTION("""COMPUTED_VALUE"""),3887759)</f>
        <v>3887759</v>
      </c>
    </row>
    <row r="214" spans="1:6" x14ac:dyDescent="0.2">
      <c r="A214" s="2">
        <f ca="1">IFERROR(__xludf.DUMMYFUNCTION("""COMPUTED_VALUE"""),42586.6666666666)</f>
        <v>42586.666666666599</v>
      </c>
      <c r="B214" s="1">
        <f ca="1">IFERROR(__xludf.DUMMYFUNCTION("""COMPUTED_VALUE"""),15.05)</f>
        <v>15.05</v>
      </c>
      <c r="C214" s="1">
        <f ca="1">IFERROR(__xludf.DUMMYFUNCTION("""COMPUTED_VALUE"""),15.39)</f>
        <v>15.39</v>
      </c>
      <c r="D214" s="1">
        <f ca="1">IFERROR(__xludf.DUMMYFUNCTION("""COMPUTED_VALUE"""),14.8)</f>
        <v>14.8</v>
      </c>
      <c r="E214" s="1">
        <f ca="1">IFERROR(__xludf.DUMMYFUNCTION("""COMPUTED_VALUE"""),15.37)</f>
        <v>15.37</v>
      </c>
      <c r="F214" s="1">
        <f ca="1">IFERROR(__xludf.DUMMYFUNCTION("""COMPUTED_VALUE"""),4146997)</f>
        <v>4146997</v>
      </c>
    </row>
    <row r="215" spans="1:6" x14ac:dyDescent="0.2">
      <c r="A215" s="2">
        <f ca="1">IFERROR(__xludf.DUMMYFUNCTION("""COMPUTED_VALUE"""),42587.6666666666)</f>
        <v>42587.666666666599</v>
      </c>
      <c r="B215" s="1">
        <f ca="1">IFERROR(__xludf.DUMMYFUNCTION("""COMPUTED_VALUE"""),15.33)</f>
        <v>15.33</v>
      </c>
      <c r="C215" s="1">
        <f ca="1">IFERROR(__xludf.DUMMYFUNCTION("""COMPUTED_VALUE"""),15.47)</f>
        <v>15.47</v>
      </c>
      <c r="D215" s="1">
        <f ca="1">IFERROR(__xludf.DUMMYFUNCTION("""COMPUTED_VALUE"""),15.16)</f>
        <v>15.16</v>
      </c>
      <c r="E215" s="1">
        <f ca="1">IFERROR(__xludf.DUMMYFUNCTION("""COMPUTED_VALUE"""),15.34)</f>
        <v>15.34</v>
      </c>
      <c r="F215" s="1">
        <f ca="1">IFERROR(__xludf.DUMMYFUNCTION("""COMPUTED_VALUE"""),3205215)</f>
        <v>3205215</v>
      </c>
    </row>
    <row r="216" spans="1:6" x14ac:dyDescent="0.2">
      <c r="A216" s="2">
        <f ca="1">IFERROR(__xludf.DUMMYFUNCTION("""COMPUTED_VALUE"""),42590.6666666666)</f>
        <v>42590.666666666599</v>
      </c>
      <c r="B216" s="1">
        <f ca="1">IFERROR(__xludf.DUMMYFUNCTION("""COMPUTED_VALUE"""),15.2)</f>
        <v>15.2</v>
      </c>
      <c r="C216" s="1">
        <f ca="1">IFERROR(__xludf.DUMMYFUNCTION("""COMPUTED_VALUE"""),15.31)</f>
        <v>15.31</v>
      </c>
      <c r="D216" s="1">
        <f ca="1">IFERROR(__xludf.DUMMYFUNCTION("""COMPUTED_VALUE"""),15.07)</f>
        <v>15.07</v>
      </c>
      <c r="E216" s="1">
        <f ca="1">IFERROR(__xludf.DUMMYFUNCTION("""COMPUTED_VALUE"""),15.08)</f>
        <v>15.08</v>
      </c>
      <c r="F216" s="1">
        <f ca="1">IFERROR(__xludf.DUMMYFUNCTION("""COMPUTED_VALUE"""),2263584)</f>
        <v>2263584</v>
      </c>
    </row>
    <row r="217" spans="1:6" x14ac:dyDescent="0.2">
      <c r="A217" s="2">
        <f ca="1">IFERROR(__xludf.DUMMYFUNCTION("""COMPUTED_VALUE"""),42591.6666666666)</f>
        <v>42591.666666666599</v>
      </c>
      <c r="B217" s="1">
        <f ca="1">IFERROR(__xludf.DUMMYFUNCTION("""COMPUTED_VALUE"""),15.12)</f>
        <v>15.12</v>
      </c>
      <c r="C217" s="1">
        <f ca="1">IFERROR(__xludf.DUMMYFUNCTION("""COMPUTED_VALUE"""),15.44)</f>
        <v>15.44</v>
      </c>
      <c r="D217" s="1">
        <f ca="1">IFERROR(__xludf.DUMMYFUNCTION("""COMPUTED_VALUE"""),15.11)</f>
        <v>15.11</v>
      </c>
      <c r="E217" s="1">
        <f ca="1">IFERROR(__xludf.DUMMYFUNCTION("""COMPUTED_VALUE"""),15.27)</f>
        <v>15.27</v>
      </c>
      <c r="F217" s="1">
        <f ca="1">IFERROR(__xludf.DUMMYFUNCTION("""COMPUTED_VALUE"""),2207833)</f>
        <v>2207833</v>
      </c>
    </row>
    <row r="218" spans="1:6" x14ac:dyDescent="0.2">
      <c r="A218" s="2">
        <f ca="1">IFERROR(__xludf.DUMMYFUNCTION("""COMPUTED_VALUE"""),42592.6666666666)</f>
        <v>42592.666666666599</v>
      </c>
      <c r="B218" s="1">
        <f ca="1">IFERROR(__xludf.DUMMYFUNCTION("""COMPUTED_VALUE"""),15.22)</f>
        <v>15.22</v>
      </c>
      <c r="C218" s="1">
        <f ca="1">IFERROR(__xludf.DUMMYFUNCTION("""COMPUTED_VALUE"""),15.32)</f>
        <v>15.32</v>
      </c>
      <c r="D218" s="1">
        <f ca="1">IFERROR(__xludf.DUMMYFUNCTION("""COMPUTED_VALUE"""),14.97)</f>
        <v>14.97</v>
      </c>
      <c r="E218" s="1">
        <f ca="1">IFERROR(__xludf.DUMMYFUNCTION("""COMPUTED_VALUE"""),15.04)</f>
        <v>15.04</v>
      </c>
      <c r="F218" s="1">
        <f ca="1">IFERROR(__xludf.DUMMYFUNCTION("""COMPUTED_VALUE"""),2338301)</f>
        <v>2338301</v>
      </c>
    </row>
    <row r="219" spans="1:6" x14ac:dyDescent="0.2">
      <c r="A219" s="2">
        <f ca="1">IFERROR(__xludf.DUMMYFUNCTION("""COMPUTED_VALUE"""),42593.6666666666)</f>
        <v>42593.666666666599</v>
      </c>
      <c r="B219" s="1">
        <f ca="1">IFERROR(__xludf.DUMMYFUNCTION("""COMPUTED_VALUE"""),15.08)</f>
        <v>15.08</v>
      </c>
      <c r="C219" s="1">
        <f ca="1">IFERROR(__xludf.DUMMYFUNCTION("""COMPUTED_VALUE"""),15.17)</f>
        <v>15.17</v>
      </c>
      <c r="D219" s="1">
        <f ca="1">IFERROR(__xludf.DUMMYFUNCTION("""COMPUTED_VALUE"""),14.89)</f>
        <v>14.89</v>
      </c>
      <c r="E219" s="1">
        <f ca="1">IFERROR(__xludf.DUMMYFUNCTION("""COMPUTED_VALUE"""),14.99)</f>
        <v>14.99</v>
      </c>
      <c r="F219" s="1">
        <f ca="1">IFERROR(__xludf.DUMMYFUNCTION("""COMPUTED_VALUE"""),1880936)</f>
        <v>1880936</v>
      </c>
    </row>
    <row r="220" spans="1:6" x14ac:dyDescent="0.2">
      <c r="A220" s="2">
        <f ca="1">IFERROR(__xludf.DUMMYFUNCTION("""COMPUTED_VALUE"""),42594.6666666666)</f>
        <v>42594.666666666599</v>
      </c>
      <c r="B220" s="1">
        <f ca="1">IFERROR(__xludf.DUMMYFUNCTION("""COMPUTED_VALUE"""),15.03)</f>
        <v>15.03</v>
      </c>
      <c r="C220" s="1">
        <f ca="1">IFERROR(__xludf.DUMMYFUNCTION("""COMPUTED_VALUE"""),15.11)</f>
        <v>15.11</v>
      </c>
      <c r="D220" s="1">
        <f ca="1">IFERROR(__xludf.DUMMYFUNCTION("""COMPUTED_VALUE"""),14.94)</f>
        <v>14.94</v>
      </c>
      <c r="E220" s="1">
        <f ca="1">IFERROR(__xludf.DUMMYFUNCTION("""COMPUTED_VALUE"""),15.04)</f>
        <v>15.04</v>
      </c>
      <c r="F220" s="1">
        <f ca="1">IFERROR(__xludf.DUMMYFUNCTION("""COMPUTED_VALUE"""),1813540)</f>
        <v>1813540</v>
      </c>
    </row>
    <row r="221" spans="1:6" x14ac:dyDescent="0.2">
      <c r="A221" s="2">
        <f ca="1">IFERROR(__xludf.DUMMYFUNCTION("""COMPUTED_VALUE"""),42597.6666666666)</f>
        <v>42597.666666666599</v>
      </c>
      <c r="B221" s="1">
        <f ca="1">IFERROR(__xludf.DUMMYFUNCTION("""COMPUTED_VALUE"""),15.07)</f>
        <v>15.07</v>
      </c>
      <c r="C221" s="1">
        <f ca="1">IFERROR(__xludf.DUMMYFUNCTION("""COMPUTED_VALUE"""),15.3)</f>
        <v>15.3</v>
      </c>
      <c r="D221" s="1">
        <f ca="1">IFERROR(__xludf.DUMMYFUNCTION("""COMPUTED_VALUE"""),15)</f>
        <v>15</v>
      </c>
      <c r="E221" s="1">
        <f ca="1">IFERROR(__xludf.DUMMYFUNCTION("""COMPUTED_VALUE"""),15.04)</f>
        <v>15.04</v>
      </c>
      <c r="F221" s="1">
        <f ca="1">IFERROR(__xludf.DUMMYFUNCTION("""COMPUTED_VALUE"""),2034328)</f>
        <v>2034328</v>
      </c>
    </row>
    <row r="222" spans="1:6" x14ac:dyDescent="0.2">
      <c r="A222" s="2">
        <f ca="1">IFERROR(__xludf.DUMMYFUNCTION("""COMPUTED_VALUE"""),42598.6666666666)</f>
        <v>42598.666666666599</v>
      </c>
      <c r="B222" s="1">
        <f ca="1">IFERROR(__xludf.DUMMYFUNCTION("""COMPUTED_VALUE"""),15.03)</f>
        <v>15.03</v>
      </c>
      <c r="C222" s="1">
        <f ca="1">IFERROR(__xludf.DUMMYFUNCTION("""COMPUTED_VALUE"""),15.15)</f>
        <v>15.15</v>
      </c>
      <c r="D222" s="1">
        <f ca="1">IFERROR(__xludf.DUMMYFUNCTION("""COMPUTED_VALUE"""),14.89)</f>
        <v>14.89</v>
      </c>
      <c r="E222" s="1">
        <f ca="1">IFERROR(__xludf.DUMMYFUNCTION("""COMPUTED_VALUE"""),14.91)</f>
        <v>14.91</v>
      </c>
      <c r="F222" s="1">
        <f ca="1">IFERROR(__xludf.DUMMYFUNCTION("""COMPUTED_VALUE"""),2267147)</f>
        <v>2267147</v>
      </c>
    </row>
    <row r="223" spans="1:6" x14ac:dyDescent="0.2">
      <c r="A223" s="2">
        <f ca="1">IFERROR(__xludf.DUMMYFUNCTION("""COMPUTED_VALUE"""),42599.6666666666)</f>
        <v>42599.666666666599</v>
      </c>
      <c r="B223" s="1">
        <f ca="1">IFERROR(__xludf.DUMMYFUNCTION("""COMPUTED_VALUE"""),14.96)</f>
        <v>14.96</v>
      </c>
      <c r="C223" s="1">
        <f ca="1">IFERROR(__xludf.DUMMYFUNCTION("""COMPUTED_VALUE"""),14.99)</f>
        <v>14.99</v>
      </c>
      <c r="D223" s="1">
        <f ca="1">IFERROR(__xludf.DUMMYFUNCTION("""COMPUTED_VALUE"""),14.85)</f>
        <v>14.85</v>
      </c>
      <c r="E223" s="1">
        <f ca="1">IFERROR(__xludf.DUMMYFUNCTION("""COMPUTED_VALUE"""),14.88)</f>
        <v>14.88</v>
      </c>
      <c r="F223" s="1">
        <f ca="1">IFERROR(__xludf.DUMMYFUNCTION("""COMPUTED_VALUE"""),1787127)</f>
        <v>1787127</v>
      </c>
    </row>
    <row r="224" spans="1:6" x14ac:dyDescent="0.2">
      <c r="A224" s="2">
        <f ca="1">IFERROR(__xludf.DUMMYFUNCTION("""COMPUTED_VALUE"""),42600.6666666666)</f>
        <v>42600.666666666599</v>
      </c>
      <c r="B224" s="1">
        <f ca="1">IFERROR(__xludf.DUMMYFUNCTION("""COMPUTED_VALUE"""),14.92)</f>
        <v>14.92</v>
      </c>
      <c r="C224" s="1">
        <f ca="1">IFERROR(__xludf.DUMMYFUNCTION("""COMPUTED_VALUE"""),15.04)</f>
        <v>15.04</v>
      </c>
      <c r="D224" s="1">
        <f ca="1">IFERROR(__xludf.DUMMYFUNCTION("""COMPUTED_VALUE"""),14.82)</f>
        <v>14.82</v>
      </c>
      <c r="E224" s="1">
        <f ca="1">IFERROR(__xludf.DUMMYFUNCTION("""COMPUTED_VALUE"""),14.9)</f>
        <v>14.9</v>
      </c>
      <c r="F224" s="1">
        <f ca="1">IFERROR(__xludf.DUMMYFUNCTION("""COMPUTED_VALUE"""),1714467)</f>
        <v>1714467</v>
      </c>
    </row>
    <row r="225" spans="1:6" x14ac:dyDescent="0.2">
      <c r="A225" s="2">
        <f ca="1">IFERROR(__xludf.DUMMYFUNCTION("""COMPUTED_VALUE"""),42601.6666666666)</f>
        <v>42601.666666666599</v>
      </c>
      <c r="B225" s="1">
        <f ca="1">IFERROR(__xludf.DUMMYFUNCTION("""COMPUTED_VALUE"""),14.9)</f>
        <v>14.9</v>
      </c>
      <c r="C225" s="1">
        <f ca="1">IFERROR(__xludf.DUMMYFUNCTION("""COMPUTED_VALUE"""),15.01)</f>
        <v>15.01</v>
      </c>
      <c r="D225" s="1">
        <f ca="1">IFERROR(__xludf.DUMMYFUNCTION("""COMPUTED_VALUE"""),14.84)</f>
        <v>14.84</v>
      </c>
      <c r="E225" s="1">
        <f ca="1">IFERROR(__xludf.DUMMYFUNCTION("""COMPUTED_VALUE"""),15)</f>
        <v>15</v>
      </c>
      <c r="F225" s="1">
        <f ca="1">IFERROR(__xludf.DUMMYFUNCTION("""COMPUTED_VALUE"""),1659530)</f>
        <v>1659530</v>
      </c>
    </row>
    <row r="226" spans="1:6" x14ac:dyDescent="0.2">
      <c r="A226" s="2">
        <f ca="1">IFERROR(__xludf.DUMMYFUNCTION("""COMPUTED_VALUE"""),42604.6666666666)</f>
        <v>42604.666666666599</v>
      </c>
      <c r="B226" s="1">
        <f ca="1">IFERROR(__xludf.DUMMYFUNCTION("""COMPUTED_VALUE"""),14.94)</f>
        <v>14.94</v>
      </c>
      <c r="C226" s="1">
        <f ca="1">IFERROR(__xludf.DUMMYFUNCTION("""COMPUTED_VALUE"""),15.01)</f>
        <v>15.01</v>
      </c>
      <c r="D226" s="1">
        <f ca="1">IFERROR(__xludf.DUMMYFUNCTION("""COMPUTED_VALUE"""),14.85)</f>
        <v>14.85</v>
      </c>
      <c r="E226" s="1">
        <f ca="1">IFERROR(__xludf.DUMMYFUNCTION("""COMPUTED_VALUE"""),14.86)</f>
        <v>14.86</v>
      </c>
      <c r="F226" s="1">
        <f ca="1">IFERROR(__xludf.DUMMYFUNCTION("""COMPUTED_VALUE"""),2065493)</f>
        <v>2065493</v>
      </c>
    </row>
    <row r="227" spans="1:6" x14ac:dyDescent="0.2">
      <c r="A227" s="2">
        <f ca="1">IFERROR(__xludf.DUMMYFUNCTION("""COMPUTED_VALUE"""),42605.6666666666)</f>
        <v>42605.666666666599</v>
      </c>
      <c r="B227" s="1">
        <f ca="1">IFERROR(__xludf.DUMMYFUNCTION("""COMPUTED_VALUE"""),14.95)</f>
        <v>14.95</v>
      </c>
      <c r="C227" s="1">
        <f ca="1">IFERROR(__xludf.DUMMYFUNCTION("""COMPUTED_VALUE"""),15.23)</f>
        <v>15.23</v>
      </c>
      <c r="D227" s="1">
        <f ca="1">IFERROR(__xludf.DUMMYFUNCTION("""COMPUTED_VALUE"""),14.85)</f>
        <v>14.85</v>
      </c>
      <c r="E227" s="1">
        <f ca="1">IFERROR(__xludf.DUMMYFUNCTION("""COMPUTED_VALUE"""),14.99)</f>
        <v>14.99</v>
      </c>
      <c r="F227" s="1">
        <f ca="1">IFERROR(__xludf.DUMMYFUNCTION("""COMPUTED_VALUE"""),4784418)</f>
        <v>4784418</v>
      </c>
    </row>
    <row r="228" spans="1:6" x14ac:dyDescent="0.2">
      <c r="A228" s="2">
        <f ca="1">IFERROR(__xludf.DUMMYFUNCTION("""COMPUTED_VALUE"""),42606.6666666666)</f>
        <v>42606.666666666599</v>
      </c>
      <c r="B228" s="1">
        <f ca="1">IFERROR(__xludf.DUMMYFUNCTION("""COMPUTED_VALUE"""),15.14)</f>
        <v>15.14</v>
      </c>
      <c r="C228" s="1">
        <f ca="1">IFERROR(__xludf.DUMMYFUNCTION("""COMPUTED_VALUE"""),15.14)</f>
        <v>15.14</v>
      </c>
      <c r="D228" s="1">
        <f ca="1">IFERROR(__xludf.DUMMYFUNCTION("""COMPUTED_VALUE"""),14.81)</f>
        <v>14.81</v>
      </c>
      <c r="E228" s="1">
        <f ca="1">IFERROR(__xludf.DUMMYFUNCTION("""COMPUTED_VALUE"""),14.84)</f>
        <v>14.84</v>
      </c>
      <c r="F228" s="1">
        <f ca="1">IFERROR(__xludf.DUMMYFUNCTION("""COMPUTED_VALUE"""),2570693)</f>
        <v>2570693</v>
      </c>
    </row>
    <row r="229" spans="1:6" x14ac:dyDescent="0.2">
      <c r="A229" s="2">
        <f ca="1">IFERROR(__xludf.DUMMYFUNCTION("""COMPUTED_VALUE"""),42607.6666666666)</f>
        <v>42607.666666666599</v>
      </c>
      <c r="B229" s="1">
        <f ca="1">IFERROR(__xludf.DUMMYFUNCTION("""COMPUTED_VALUE"""),14.87)</f>
        <v>14.87</v>
      </c>
      <c r="C229" s="1">
        <f ca="1">IFERROR(__xludf.DUMMYFUNCTION("""COMPUTED_VALUE"""),14.92)</f>
        <v>14.92</v>
      </c>
      <c r="D229" s="1">
        <f ca="1">IFERROR(__xludf.DUMMYFUNCTION("""COMPUTED_VALUE"""),14.72)</f>
        <v>14.72</v>
      </c>
      <c r="E229" s="1">
        <f ca="1">IFERROR(__xludf.DUMMYFUNCTION("""COMPUTED_VALUE"""),14.73)</f>
        <v>14.73</v>
      </c>
      <c r="F229" s="1">
        <f ca="1">IFERROR(__xludf.DUMMYFUNCTION("""COMPUTED_VALUE"""),1762519)</f>
        <v>1762519</v>
      </c>
    </row>
    <row r="230" spans="1:6" x14ac:dyDescent="0.2">
      <c r="A230" s="2">
        <f ca="1">IFERROR(__xludf.DUMMYFUNCTION("""COMPUTED_VALUE"""),42608.6666666666)</f>
        <v>42608.666666666599</v>
      </c>
      <c r="B230" s="1">
        <f ca="1">IFERROR(__xludf.DUMMYFUNCTION("""COMPUTED_VALUE"""),14.81)</f>
        <v>14.81</v>
      </c>
      <c r="C230" s="1">
        <f ca="1">IFERROR(__xludf.DUMMYFUNCTION("""COMPUTED_VALUE"""),14.86)</f>
        <v>14.86</v>
      </c>
      <c r="D230" s="1">
        <f ca="1">IFERROR(__xludf.DUMMYFUNCTION("""COMPUTED_VALUE"""),14.59)</f>
        <v>14.59</v>
      </c>
      <c r="E230" s="1">
        <f ca="1">IFERROR(__xludf.DUMMYFUNCTION("""COMPUTED_VALUE"""),14.67)</f>
        <v>14.67</v>
      </c>
      <c r="F230" s="1">
        <f ca="1">IFERROR(__xludf.DUMMYFUNCTION("""COMPUTED_VALUE"""),2238992)</f>
        <v>2238992</v>
      </c>
    </row>
    <row r="231" spans="1:6" x14ac:dyDescent="0.2">
      <c r="A231" s="2">
        <f ca="1">IFERROR(__xludf.DUMMYFUNCTION("""COMPUTED_VALUE"""),42611.6666666666)</f>
        <v>42611.666666666599</v>
      </c>
      <c r="B231" s="1">
        <f ca="1">IFERROR(__xludf.DUMMYFUNCTION("""COMPUTED_VALUE"""),14.68)</f>
        <v>14.68</v>
      </c>
      <c r="C231" s="1">
        <f ca="1">IFERROR(__xludf.DUMMYFUNCTION("""COMPUTED_VALUE"""),14.69)</f>
        <v>14.69</v>
      </c>
      <c r="D231" s="1">
        <f ca="1">IFERROR(__xludf.DUMMYFUNCTION("""COMPUTED_VALUE"""),14.33)</f>
        <v>14.33</v>
      </c>
      <c r="E231" s="1">
        <f ca="1">IFERROR(__xludf.DUMMYFUNCTION("""COMPUTED_VALUE"""),14.35)</f>
        <v>14.35</v>
      </c>
      <c r="F231" s="1">
        <f ca="1">IFERROR(__xludf.DUMMYFUNCTION("""COMPUTED_VALUE"""),3266334)</f>
        <v>3266334</v>
      </c>
    </row>
    <row r="232" spans="1:6" x14ac:dyDescent="0.2">
      <c r="A232" s="2">
        <f ca="1">IFERROR(__xludf.DUMMYFUNCTION("""COMPUTED_VALUE"""),42612.6666666666)</f>
        <v>42612.666666666599</v>
      </c>
      <c r="B232" s="1">
        <f ca="1">IFERROR(__xludf.DUMMYFUNCTION("""COMPUTED_VALUE"""),14.41)</f>
        <v>14.41</v>
      </c>
      <c r="C232" s="1">
        <f ca="1">IFERROR(__xludf.DUMMYFUNCTION("""COMPUTED_VALUE"""),14.41)</f>
        <v>14.41</v>
      </c>
      <c r="D232" s="1">
        <f ca="1">IFERROR(__xludf.DUMMYFUNCTION("""COMPUTED_VALUE"""),14.03)</f>
        <v>14.03</v>
      </c>
      <c r="E232" s="1">
        <f ca="1">IFERROR(__xludf.DUMMYFUNCTION("""COMPUTED_VALUE"""),14.09)</f>
        <v>14.09</v>
      </c>
      <c r="F232" s="1">
        <f ca="1">IFERROR(__xludf.DUMMYFUNCTION("""COMPUTED_VALUE"""),3168862)</f>
        <v>3168862</v>
      </c>
    </row>
    <row r="233" spans="1:6" x14ac:dyDescent="0.2">
      <c r="A233" s="2">
        <f ca="1">IFERROR(__xludf.DUMMYFUNCTION("""COMPUTED_VALUE"""),42613.6666666666)</f>
        <v>42613.666666666599</v>
      </c>
      <c r="B233" s="1">
        <f ca="1">IFERROR(__xludf.DUMMYFUNCTION("""COMPUTED_VALUE"""),14.03)</f>
        <v>14.03</v>
      </c>
      <c r="C233" s="1">
        <f ca="1">IFERROR(__xludf.DUMMYFUNCTION("""COMPUTED_VALUE"""),14.17)</f>
        <v>14.17</v>
      </c>
      <c r="D233" s="1">
        <f ca="1">IFERROR(__xludf.DUMMYFUNCTION("""COMPUTED_VALUE"""),13.91)</f>
        <v>13.91</v>
      </c>
      <c r="E233" s="1">
        <f ca="1">IFERROR(__xludf.DUMMYFUNCTION("""COMPUTED_VALUE"""),14.13)</f>
        <v>14.13</v>
      </c>
      <c r="F233" s="1">
        <f ca="1">IFERROR(__xludf.DUMMYFUNCTION("""COMPUTED_VALUE"""),3276548)</f>
        <v>3276548</v>
      </c>
    </row>
    <row r="234" spans="1:6" x14ac:dyDescent="0.2">
      <c r="A234" s="2">
        <f ca="1">IFERROR(__xludf.DUMMYFUNCTION("""COMPUTED_VALUE"""),42614.6666666666)</f>
        <v>42614.666666666599</v>
      </c>
      <c r="B234" s="1">
        <f ca="1">IFERROR(__xludf.DUMMYFUNCTION("""COMPUTED_VALUE"""),13.93)</f>
        <v>13.93</v>
      </c>
      <c r="C234" s="1">
        <f ca="1">IFERROR(__xludf.DUMMYFUNCTION("""COMPUTED_VALUE"""),14.07)</f>
        <v>14.07</v>
      </c>
      <c r="D234" s="1">
        <f ca="1">IFERROR(__xludf.DUMMYFUNCTION("""COMPUTED_VALUE"""),13.37)</f>
        <v>13.37</v>
      </c>
      <c r="E234" s="1">
        <f ca="1">IFERROR(__xludf.DUMMYFUNCTION("""COMPUTED_VALUE"""),13.38)</f>
        <v>13.38</v>
      </c>
      <c r="F234" s="1">
        <f ca="1">IFERROR(__xludf.DUMMYFUNCTION("""COMPUTED_VALUE"""),7943138)</f>
        <v>7943138</v>
      </c>
    </row>
    <row r="235" spans="1:6" x14ac:dyDescent="0.2">
      <c r="A235" s="2">
        <f ca="1">IFERROR(__xludf.DUMMYFUNCTION("""COMPUTED_VALUE"""),42615.6666666666)</f>
        <v>42615.666666666599</v>
      </c>
      <c r="B235" s="1">
        <f ca="1">IFERROR(__xludf.DUMMYFUNCTION("""COMPUTED_VALUE"""),13.49)</f>
        <v>13.49</v>
      </c>
      <c r="C235" s="1">
        <f ca="1">IFERROR(__xludf.DUMMYFUNCTION("""COMPUTED_VALUE"""),13.55)</f>
        <v>13.55</v>
      </c>
      <c r="D235" s="1">
        <f ca="1">IFERROR(__xludf.DUMMYFUNCTION("""COMPUTED_VALUE"""),13.08)</f>
        <v>13.08</v>
      </c>
      <c r="E235" s="1">
        <f ca="1">IFERROR(__xludf.DUMMYFUNCTION("""COMPUTED_VALUE"""),13.19)</f>
        <v>13.19</v>
      </c>
      <c r="F235" s="1">
        <f ca="1">IFERROR(__xludf.DUMMYFUNCTION("""COMPUTED_VALUE"""),5977413)</f>
        <v>5977413</v>
      </c>
    </row>
    <row r="236" spans="1:6" x14ac:dyDescent="0.2">
      <c r="A236" s="2">
        <f ca="1">IFERROR(__xludf.DUMMYFUNCTION("""COMPUTED_VALUE"""),42619.6666666666)</f>
        <v>42619.666666666599</v>
      </c>
      <c r="B236" s="1">
        <f ca="1">IFERROR(__xludf.DUMMYFUNCTION("""COMPUTED_VALUE"""),13.27)</f>
        <v>13.27</v>
      </c>
      <c r="C236" s="1">
        <f ca="1">IFERROR(__xludf.DUMMYFUNCTION("""COMPUTED_VALUE"""),13.55)</f>
        <v>13.55</v>
      </c>
      <c r="D236" s="1">
        <f ca="1">IFERROR(__xludf.DUMMYFUNCTION("""COMPUTED_VALUE"""),13.27)</f>
        <v>13.27</v>
      </c>
      <c r="E236" s="1">
        <f ca="1">IFERROR(__xludf.DUMMYFUNCTION("""COMPUTED_VALUE"""),13.52)</f>
        <v>13.52</v>
      </c>
      <c r="F236" s="1">
        <f ca="1">IFERROR(__xludf.DUMMYFUNCTION("""COMPUTED_VALUE"""),4390572)</f>
        <v>4390572</v>
      </c>
    </row>
    <row r="237" spans="1:6" x14ac:dyDescent="0.2">
      <c r="A237" s="2">
        <f ca="1">IFERROR(__xludf.DUMMYFUNCTION("""COMPUTED_VALUE"""),42620.6666666666)</f>
        <v>42620.666666666599</v>
      </c>
      <c r="B237" s="1">
        <f ca="1">IFERROR(__xludf.DUMMYFUNCTION("""COMPUTED_VALUE"""),13.7)</f>
        <v>13.7</v>
      </c>
      <c r="C237" s="1">
        <f ca="1">IFERROR(__xludf.DUMMYFUNCTION("""COMPUTED_VALUE"""),13.77)</f>
        <v>13.77</v>
      </c>
      <c r="D237" s="1">
        <f ca="1">IFERROR(__xludf.DUMMYFUNCTION("""COMPUTED_VALUE"""),13.38)</f>
        <v>13.38</v>
      </c>
      <c r="E237" s="1">
        <f ca="1">IFERROR(__xludf.DUMMYFUNCTION("""COMPUTED_VALUE"""),13.45)</f>
        <v>13.45</v>
      </c>
      <c r="F237" s="1">
        <f ca="1">IFERROR(__xludf.DUMMYFUNCTION("""COMPUTED_VALUE"""),3640923)</f>
        <v>3640923</v>
      </c>
    </row>
    <row r="238" spans="1:6" x14ac:dyDescent="0.2">
      <c r="A238" s="2">
        <f ca="1">IFERROR(__xludf.DUMMYFUNCTION("""COMPUTED_VALUE"""),42621.6666666666)</f>
        <v>42621.666666666599</v>
      </c>
      <c r="B238" s="1">
        <f ca="1">IFERROR(__xludf.DUMMYFUNCTION("""COMPUTED_VALUE"""),13.3)</f>
        <v>13.3</v>
      </c>
      <c r="C238" s="1">
        <f ca="1">IFERROR(__xludf.DUMMYFUNCTION("""COMPUTED_VALUE"""),13.33)</f>
        <v>13.33</v>
      </c>
      <c r="D238" s="1">
        <f ca="1">IFERROR(__xludf.DUMMYFUNCTION("""COMPUTED_VALUE"""),13.09)</f>
        <v>13.09</v>
      </c>
      <c r="E238" s="1">
        <f ca="1">IFERROR(__xludf.DUMMYFUNCTION("""COMPUTED_VALUE"""),13.16)</f>
        <v>13.16</v>
      </c>
      <c r="F238" s="1">
        <f ca="1">IFERROR(__xludf.DUMMYFUNCTION("""COMPUTED_VALUE"""),3377946)</f>
        <v>3377946</v>
      </c>
    </row>
    <row r="239" spans="1:6" x14ac:dyDescent="0.2">
      <c r="A239" s="2">
        <f ca="1">IFERROR(__xludf.DUMMYFUNCTION("""COMPUTED_VALUE"""),42622.6666666666)</f>
        <v>42622.666666666599</v>
      </c>
      <c r="B239" s="1">
        <f ca="1">IFERROR(__xludf.DUMMYFUNCTION("""COMPUTED_VALUE"""),13.27)</f>
        <v>13.27</v>
      </c>
      <c r="C239" s="1">
        <f ca="1">IFERROR(__xludf.DUMMYFUNCTION("""COMPUTED_VALUE"""),13.33)</f>
        <v>13.33</v>
      </c>
      <c r="D239" s="1">
        <f ca="1">IFERROR(__xludf.DUMMYFUNCTION("""COMPUTED_VALUE"""),12.91)</f>
        <v>12.91</v>
      </c>
      <c r="E239" s="1">
        <f ca="1">IFERROR(__xludf.DUMMYFUNCTION("""COMPUTED_VALUE"""),12.96)</f>
        <v>12.96</v>
      </c>
      <c r="F239" s="1">
        <f ca="1">IFERROR(__xludf.DUMMYFUNCTION("""COMPUTED_VALUE"""),3756992)</f>
        <v>3756992</v>
      </c>
    </row>
    <row r="240" spans="1:6" x14ac:dyDescent="0.2">
      <c r="A240" s="2">
        <f ca="1">IFERROR(__xludf.DUMMYFUNCTION("""COMPUTED_VALUE"""),42625.6666666666)</f>
        <v>42625.666666666599</v>
      </c>
      <c r="B240" s="1">
        <f ca="1">IFERROR(__xludf.DUMMYFUNCTION("""COMPUTED_VALUE"""),13)</f>
        <v>13</v>
      </c>
      <c r="C240" s="1">
        <f ca="1">IFERROR(__xludf.DUMMYFUNCTION("""COMPUTED_VALUE"""),13.42)</f>
        <v>13.42</v>
      </c>
      <c r="D240" s="1">
        <f ca="1">IFERROR(__xludf.DUMMYFUNCTION("""COMPUTED_VALUE"""),12.94)</f>
        <v>12.94</v>
      </c>
      <c r="E240" s="1">
        <f ca="1">IFERROR(__xludf.DUMMYFUNCTION("""COMPUTED_VALUE"""),13.22)</f>
        <v>13.22</v>
      </c>
      <c r="F240" s="1">
        <f ca="1">IFERROR(__xludf.DUMMYFUNCTION("""COMPUTED_VALUE"""),3715161)</f>
        <v>3715161</v>
      </c>
    </row>
    <row r="241" spans="1:6" x14ac:dyDescent="0.2">
      <c r="A241" s="2">
        <f ca="1">IFERROR(__xludf.DUMMYFUNCTION("""COMPUTED_VALUE"""),42626.6666666666)</f>
        <v>42626.666666666599</v>
      </c>
      <c r="B241" s="1">
        <f ca="1">IFERROR(__xludf.DUMMYFUNCTION("""COMPUTED_VALUE"""),13.14)</f>
        <v>13.14</v>
      </c>
      <c r="C241" s="1">
        <f ca="1">IFERROR(__xludf.DUMMYFUNCTION("""COMPUTED_VALUE"""),13.23)</f>
        <v>13.23</v>
      </c>
      <c r="D241" s="1">
        <f ca="1">IFERROR(__xludf.DUMMYFUNCTION("""COMPUTED_VALUE"""),12.9)</f>
        <v>12.9</v>
      </c>
      <c r="E241" s="1">
        <f ca="1">IFERROR(__xludf.DUMMYFUNCTION("""COMPUTED_VALUE"""),13.07)</f>
        <v>13.07</v>
      </c>
      <c r="F241" s="1">
        <f ca="1">IFERROR(__xludf.DUMMYFUNCTION("""COMPUTED_VALUE"""),3589379)</f>
        <v>3589379</v>
      </c>
    </row>
    <row r="242" spans="1:6" x14ac:dyDescent="0.2">
      <c r="A242" s="2">
        <f ca="1">IFERROR(__xludf.DUMMYFUNCTION("""COMPUTED_VALUE"""),42627.6666666666)</f>
        <v>42627.666666666599</v>
      </c>
      <c r="B242" s="1">
        <f ca="1">IFERROR(__xludf.DUMMYFUNCTION("""COMPUTED_VALUE"""),13.05)</f>
        <v>13.05</v>
      </c>
      <c r="C242" s="1">
        <f ca="1">IFERROR(__xludf.DUMMYFUNCTION("""COMPUTED_VALUE"""),13.19)</f>
        <v>13.19</v>
      </c>
      <c r="D242" s="1">
        <f ca="1">IFERROR(__xludf.DUMMYFUNCTION("""COMPUTED_VALUE"""),12.99)</f>
        <v>12.99</v>
      </c>
      <c r="E242" s="1">
        <f ca="1">IFERROR(__xludf.DUMMYFUNCTION("""COMPUTED_VALUE"""),13.09)</f>
        <v>13.09</v>
      </c>
      <c r="F242" s="1">
        <f ca="1">IFERROR(__xludf.DUMMYFUNCTION("""COMPUTED_VALUE"""),2259231)</f>
        <v>2259231</v>
      </c>
    </row>
    <row r="243" spans="1:6" x14ac:dyDescent="0.2">
      <c r="A243" s="2">
        <f ca="1">IFERROR(__xludf.DUMMYFUNCTION("""COMPUTED_VALUE"""),42628.6666666666)</f>
        <v>42628.666666666599</v>
      </c>
      <c r="B243" s="1">
        <f ca="1">IFERROR(__xludf.DUMMYFUNCTION("""COMPUTED_VALUE"""),13.1)</f>
        <v>13.1</v>
      </c>
      <c r="C243" s="1">
        <f ca="1">IFERROR(__xludf.DUMMYFUNCTION("""COMPUTED_VALUE"""),13.5)</f>
        <v>13.5</v>
      </c>
      <c r="D243" s="1">
        <f ca="1">IFERROR(__xludf.DUMMYFUNCTION("""COMPUTED_VALUE"""),13.09)</f>
        <v>13.09</v>
      </c>
      <c r="E243" s="1">
        <f ca="1">IFERROR(__xludf.DUMMYFUNCTION("""COMPUTED_VALUE"""),13.36)</f>
        <v>13.36</v>
      </c>
      <c r="F243" s="1">
        <f ca="1">IFERROR(__xludf.DUMMYFUNCTION("""COMPUTED_VALUE"""),3085115)</f>
        <v>3085115</v>
      </c>
    </row>
    <row r="244" spans="1:6" x14ac:dyDescent="0.2">
      <c r="A244" s="2">
        <f ca="1">IFERROR(__xludf.DUMMYFUNCTION("""COMPUTED_VALUE"""),42629.6666666666)</f>
        <v>42629.666666666599</v>
      </c>
      <c r="B244" s="1">
        <f ca="1">IFERROR(__xludf.DUMMYFUNCTION("""COMPUTED_VALUE"""),13.36)</f>
        <v>13.36</v>
      </c>
      <c r="C244" s="1">
        <f ca="1">IFERROR(__xludf.DUMMYFUNCTION("""COMPUTED_VALUE"""),13.71)</f>
        <v>13.71</v>
      </c>
      <c r="D244" s="1">
        <f ca="1">IFERROR(__xludf.DUMMYFUNCTION("""COMPUTED_VALUE"""),13.27)</f>
        <v>13.27</v>
      </c>
      <c r="E244" s="1">
        <f ca="1">IFERROR(__xludf.DUMMYFUNCTION("""COMPUTED_VALUE"""),13.69)</f>
        <v>13.69</v>
      </c>
      <c r="F244" s="1">
        <f ca="1">IFERROR(__xludf.DUMMYFUNCTION("""COMPUTED_VALUE"""),3107808)</f>
        <v>3107808</v>
      </c>
    </row>
    <row r="245" spans="1:6" x14ac:dyDescent="0.2">
      <c r="A245" s="2">
        <f ca="1">IFERROR(__xludf.DUMMYFUNCTION("""COMPUTED_VALUE"""),42632.6666666666)</f>
        <v>42632.666666666599</v>
      </c>
      <c r="B245" s="1">
        <f ca="1">IFERROR(__xludf.DUMMYFUNCTION("""COMPUTED_VALUE"""),13.8)</f>
        <v>13.8</v>
      </c>
      <c r="C245" s="1">
        <f ca="1">IFERROR(__xludf.DUMMYFUNCTION("""COMPUTED_VALUE"""),13.96)</f>
        <v>13.96</v>
      </c>
      <c r="D245" s="1">
        <f ca="1">IFERROR(__xludf.DUMMYFUNCTION("""COMPUTED_VALUE"""),13.67)</f>
        <v>13.67</v>
      </c>
      <c r="E245" s="1">
        <f ca="1">IFERROR(__xludf.DUMMYFUNCTION("""COMPUTED_VALUE"""),13.76)</f>
        <v>13.76</v>
      </c>
      <c r="F245" s="1">
        <f ca="1">IFERROR(__xludf.DUMMYFUNCTION("""COMPUTED_VALUE"""),2299498)</f>
        <v>2299498</v>
      </c>
    </row>
    <row r="246" spans="1:6" x14ac:dyDescent="0.2">
      <c r="A246" s="2">
        <f ca="1">IFERROR(__xludf.DUMMYFUNCTION("""COMPUTED_VALUE"""),42633.6666666666)</f>
        <v>42633.666666666599</v>
      </c>
      <c r="B246" s="1">
        <f ca="1">IFERROR(__xludf.DUMMYFUNCTION("""COMPUTED_VALUE"""),13.79)</f>
        <v>13.79</v>
      </c>
      <c r="C246" s="1">
        <f ca="1">IFERROR(__xludf.DUMMYFUNCTION("""COMPUTED_VALUE"""),13.85)</f>
        <v>13.85</v>
      </c>
      <c r="D246" s="1">
        <f ca="1">IFERROR(__xludf.DUMMYFUNCTION("""COMPUTED_VALUE"""),13.59)</f>
        <v>13.59</v>
      </c>
      <c r="E246" s="1">
        <f ca="1">IFERROR(__xludf.DUMMYFUNCTION("""COMPUTED_VALUE"""),13.64)</f>
        <v>13.64</v>
      </c>
      <c r="F246" s="1">
        <f ca="1">IFERROR(__xludf.DUMMYFUNCTION("""COMPUTED_VALUE"""),2410488)</f>
        <v>2410488</v>
      </c>
    </row>
    <row r="247" spans="1:6" x14ac:dyDescent="0.2">
      <c r="A247" s="2">
        <f ca="1">IFERROR(__xludf.DUMMYFUNCTION("""COMPUTED_VALUE"""),42634.6666666666)</f>
        <v>42634.666666666599</v>
      </c>
      <c r="B247" s="1">
        <f ca="1">IFERROR(__xludf.DUMMYFUNCTION("""COMPUTED_VALUE"""),13.76)</f>
        <v>13.76</v>
      </c>
      <c r="C247" s="1">
        <f ca="1">IFERROR(__xludf.DUMMYFUNCTION("""COMPUTED_VALUE"""),13.8)</f>
        <v>13.8</v>
      </c>
      <c r="D247" s="1">
        <f ca="1">IFERROR(__xludf.DUMMYFUNCTION("""COMPUTED_VALUE"""),13.44)</f>
        <v>13.44</v>
      </c>
      <c r="E247" s="1">
        <f ca="1">IFERROR(__xludf.DUMMYFUNCTION("""COMPUTED_VALUE"""),13.68)</f>
        <v>13.68</v>
      </c>
      <c r="F247" s="1">
        <f ca="1">IFERROR(__xludf.DUMMYFUNCTION("""COMPUTED_VALUE"""),2633503)</f>
        <v>2633503</v>
      </c>
    </row>
    <row r="248" spans="1:6" x14ac:dyDescent="0.2">
      <c r="A248" s="2">
        <f ca="1">IFERROR(__xludf.DUMMYFUNCTION("""COMPUTED_VALUE"""),42635.6666666666)</f>
        <v>42635.666666666599</v>
      </c>
      <c r="B248" s="1">
        <f ca="1">IFERROR(__xludf.DUMMYFUNCTION("""COMPUTED_VALUE"""),13.76)</f>
        <v>13.76</v>
      </c>
      <c r="C248" s="1">
        <f ca="1">IFERROR(__xludf.DUMMYFUNCTION("""COMPUTED_VALUE"""),13.82)</f>
        <v>13.82</v>
      </c>
      <c r="D248" s="1">
        <f ca="1">IFERROR(__xludf.DUMMYFUNCTION("""COMPUTED_VALUE"""),13.53)</f>
        <v>13.53</v>
      </c>
      <c r="E248" s="1">
        <f ca="1">IFERROR(__xludf.DUMMYFUNCTION("""COMPUTED_VALUE"""),13.76)</f>
        <v>13.76</v>
      </c>
      <c r="F248" s="1">
        <f ca="1">IFERROR(__xludf.DUMMYFUNCTION("""COMPUTED_VALUE"""),2382902)</f>
        <v>2382902</v>
      </c>
    </row>
    <row r="249" spans="1:6" x14ac:dyDescent="0.2">
      <c r="A249" s="2">
        <f ca="1">IFERROR(__xludf.DUMMYFUNCTION("""COMPUTED_VALUE"""),42636.6666666666)</f>
        <v>42636.666666666599</v>
      </c>
      <c r="B249" s="1">
        <f ca="1">IFERROR(__xludf.DUMMYFUNCTION("""COMPUTED_VALUE"""),13.73)</f>
        <v>13.73</v>
      </c>
      <c r="C249" s="1">
        <f ca="1">IFERROR(__xludf.DUMMYFUNCTION("""COMPUTED_VALUE"""),14.01)</f>
        <v>14.01</v>
      </c>
      <c r="D249" s="1">
        <f ca="1">IFERROR(__xludf.DUMMYFUNCTION("""COMPUTED_VALUE"""),13.71)</f>
        <v>13.71</v>
      </c>
      <c r="E249" s="1">
        <f ca="1">IFERROR(__xludf.DUMMYFUNCTION("""COMPUTED_VALUE"""),13.83)</f>
        <v>13.83</v>
      </c>
      <c r="F249" s="1">
        <f ca="1">IFERROR(__xludf.DUMMYFUNCTION("""COMPUTED_VALUE"""),2905229)</f>
        <v>2905229</v>
      </c>
    </row>
    <row r="250" spans="1:6" x14ac:dyDescent="0.2">
      <c r="A250" s="2">
        <f ca="1">IFERROR(__xludf.DUMMYFUNCTION("""COMPUTED_VALUE"""),42639.6666666666)</f>
        <v>42639.666666666599</v>
      </c>
      <c r="B250" s="1">
        <f ca="1">IFERROR(__xludf.DUMMYFUNCTION("""COMPUTED_VALUE"""),13.77)</f>
        <v>13.77</v>
      </c>
      <c r="C250" s="1">
        <f ca="1">IFERROR(__xludf.DUMMYFUNCTION("""COMPUTED_VALUE"""),14.07)</f>
        <v>14.07</v>
      </c>
      <c r="D250" s="1">
        <f ca="1">IFERROR(__xludf.DUMMYFUNCTION("""COMPUTED_VALUE"""),13.77)</f>
        <v>13.77</v>
      </c>
      <c r="E250" s="1">
        <f ca="1">IFERROR(__xludf.DUMMYFUNCTION("""COMPUTED_VALUE"""),13.93)</f>
        <v>13.93</v>
      </c>
      <c r="F250" s="1">
        <f ca="1">IFERROR(__xludf.DUMMYFUNCTION("""COMPUTED_VALUE"""),2394358)</f>
        <v>2394358</v>
      </c>
    </row>
    <row r="251" spans="1:6" x14ac:dyDescent="0.2">
      <c r="A251" s="2">
        <f ca="1">IFERROR(__xludf.DUMMYFUNCTION("""COMPUTED_VALUE"""),42640.6666666666)</f>
        <v>42640.666666666599</v>
      </c>
      <c r="B251" s="1">
        <f ca="1">IFERROR(__xludf.DUMMYFUNCTION("""COMPUTED_VALUE"""),13.98)</f>
        <v>13.98</v>
      </c>
      <c r="C251" s="1">
        <f ca="1">IFERROR(__xludf.DUMMYFUNCTION("""COMPUTED_VALUE"""),14)</f>
        <v>14</v>
      </c>
      <c r="D251" s="1">
        <f ca="1">IFERROR(__xludf.DUMMYFUNCTION("""COMPUTED_VALUE"""),13.64)</f>
        <v>13.64</v>
      </c>
      <c r="E251" s="1">
        <f ca="1">IFERROR(__xludf.DUMMYFUNCTION("""COMPUTED_VALUE"""),13.72)</f>
        <v>13.72</v>
      </c>
      <c r="F251" s="1">
        <f ca="1">IFERROR(__xludf.DUMMYFUNCTION("""COMPUTED_VALUE"""),3373180)</f>
        <v>3373180</v>
      </c>
    </row>
    <row r="252" spans="1:6" x14ac:dyDescent="0.2">
      <c r="A252" s="2">
        <f ca="1">IFERROR(__xludf.DUMMYFUNCTION("""COMPUTED_VALUE"""),42641.6666666666)</f>
        <v>42641.666666666599</v>
      </c>
      <c r="B252" s="1">
        <f ca="1">IFERROR(__xludf.DUMMYFUNCTION("""COMPUTED_VALUE"""),13.83)</f>
        <v>13.83</v>
      </c>
      <c r="C252" s="1">
        <f ca="1">IFERROR(__xludf.DUMMYFUNCTION("""COMPUTED_VALUE"""),13.88)</f>
        <v>13.88</v>
      </c>
      <c r="D252" s="1">
        <f ca="1">IFERROR(__xludf.DUMMYFUNCTION("""COMPUTED_VALUE"""),13.68)</f>
        <v>13.68</v>
      </c>
      <c r="E252" s="1">
        <f ca="1">IFERROR(__xludf.DUMMYFUNCTION("""COMPUTED_VALUE"""),13.75)</f>
        <v>13.75</v>
      </c>
      <c r="F252" s="1">
        <f ca="1">IFERROR(__xludf.DUMMYFUNCTION("""COMPUTED_VALUE"""),2088374)</f>
        <v>2088374</v>
      </c>
    </row>
    <row r="253" spans="1:6" x14ac:dyDescent="0.2">
      <c r="A253" s="2">
        <f ca="1">IFERROR(__xludf.DUMMYFUNCTION("""COMPUTED_VALUE"""),42642.6666666666)</f>
        <v>42642.666666666599</v>
      </c>
      <c r="B253" s="1">
        <f ca="1">IFERROR(__xludf.DUMMYFUNCTION("""COMPUTED_VALUE"""),13.71)</f>
        <v>13.71</v>
      </c>
      <c r="C253" s="1">
        <f ca="1">IFERROR(__xludf.DUMMYFUNCTION("""COMPUTED_VALUE"""),13.82)</f>
        <v>13.82</v>
      </c>
      <c r="D253" s="1">
        <f ca="1">IFERROR(__xludf.DUMMYFUNCTION("""COMPUTED_VALUE"""),13.37)</f>
        <v>13.37</v>
      </c>
      <c r="E253" s="1">
        <f ca="1">IFERROR(__xludf.DUMMYFUNCTION("""COMPUTED_VALUE"""),13.38)</f>
        <v>13.38</v>
      </c>
      <c r="F253" s="1">
        <f ca="1">IFERROR(__xludf.DUMMYFUNCTION("""COMPUTED_VALUE"""),2727029)</f>
        <v>2727029</v>
      </c>
    </row>
    <row r="254" spans="1:6" x14ac:dyDescent="0.2">
      <c r="A254" s="2">
        <f ca="1">IFERROR(__xludf.DUMMYFUNCTION("""COMPUTED_VALUE"""),42643.6666666666)</f>
        <v>42643.666666666599</v>
      </c>
      <c r="B254" s="1">
        <f ca="1">IFERROR(__xludf.DUMMYFUNCTION("""COMPUTED_VALUE"""),13.48)</f>
        <v>13.48</v>
      </c>
      <c r="C254" s="1">
        <f ca="1">IFERROR(__xludf.DUMMYFUNCTION("""COMPUTED_VALUE"""),13.67)</f>
        <v>13.67</v>
      </c>
      <c r="D254" s="1">
        <f ca="1">IFERROR(__xludf.DUMMYFUNCTION("""COMPUTED_VALUE"""),13.3)</f>
        <v>13.3</v>
      </c>
      <c r="E254" s="1">
        <f ca="1">IFERROR(__xludf.DUMMYFUNCTION("""COMPUTED_VALUE"""),13.6)</f>
        <v>13.6</v>
      </c>
      <c r="F254" s="1">
        <f ca="1">IFERROR(__xludf.DUMMYFUNCTION("""COMPUTED_VALUE"""),2586273)</f>
        <v>2586273</v>
      </c>
    </row>
    <row r="255" spans="1:6" x14ac:dyDescent="0.2">
      <c r="A255" s="2">
        <f ca="1">IFERROR(__xludf.DUMMYFUNCTION("""COMPUTED_VALUE"""),42646.6666666666)</f>
        <v>42646.666666666599</v>
      </c>
      <c r="B255" s="1">
        <f ca="1">IFERROR(__xludf.DUMMYFUNCTION("""COMPUTED_VALUE"""),14.15)</f>
        <v>14.15</v>
      </c>
      <c r="C255" s="1">
        <f ca="1">IFERROR(__xludf.DUMMYFUNCTION("""COMPUTED_VALUE"""),14.38)</f>
        <v>14.38</v>
      </c>
      <c r="D255" s="1">
        <f ca="1">IFERROR(__xludf.DUMMYFUNCTION("""COMPUTED_VALUE"""),13.88)</f>
        <v>13.88</v>
      </c>
      <c r="E255" s="1">
        <f ca="1">IFERROR(__xludf.DUMMYFUNCTION("""COMPUTED_VALUE"""),14.25)</f>
        <v>14.25</v>
      </c>
      <c r="F255" s="1">
        <f ca="1">IFERROR(__xludf.DUMMYFUNCTION("""COMPUTED_VALUE"""),5999892)</f>
        <v>5999892</v>
      </c>
    </row>
    <row r="256" spans="1:6" x14ac:dyDescent="0.2">
      <c r="A256" s="2">
        <f ca="1">IFERROR(__xludf.DUMMYFUNCTION("""COMPUTED_VALUE"""),42647.6666666666)</f>
        <v>42647.666666666599</v>
      </c>
      <c r="B256" s="1">
        <f ca="1">IFERROR(__xludf.DUMMYFUNCTION("""COMPUTED_VALUE"""),14.21)</f>
        <v>14.21</v>
      </c>
      <c r="C256" s="1">
        <f ca="1">IFERROR(__xludf.DUMMYFUNCTION("""COMPUTED_VALUE"""),14.22)</f>
        <v>14.22</v>
      </c>
      <c r="D256" s="1">
        <f ca="1">IFERROR(__xludf.DUMMYFUNCTION("""COMPUTED_VALUE"""),13.92)</f>
        <v>13.92</v>
      </c>
      <c r="E256" s="1">
        <f ca="1">IFERROR(__xludf.DUMMYFUNCTION("""COMPUTED_VALUE"""),14.09)</f>
        <v>14.09</v>
      </c>
      <c r="F256" s="1">
        <f ca="1">IFERROR(__xludf.DUMMYFUNCTION("""COMPUTED_VALUE"""),3541481)</f>
        <v>3541481</v>
      </c>
    </row>
    <row r="257" spans="1:6" x14ac:dyDescent="0.2">
      <c r="A257" s="2">
        <f ca="1">IFERROR(__xludf.DUMMYFUNCTION("""COMPUTED_VALUE"""),42648.6666666666)</f>
        <v>42648.666666666599</v>
      </c>
      <c r="B257" s="1">
        <f ca="1">IFERROR(__xludf.DUMMYFUNCTION("""COMPUTED_VALUE"""),14.15)</f>
        <v>14.15</v>
      </c>
      <c r="C257" s="1">
        <f ca="1">IFERROR(__xludf.DUMMYFUNCTION("""COMPUTED_VALUE"""),14.21)</f>
        <v>14.21</v>
      </c>
      <c r="D257" s="1">
        <f ca="1">IFERROR(__xludf.DUMMYFUNCTION("""COMPUTED_VALUE"""),13.87)</f>
        <v>13.87</v>
      </c>
      <c r="E257" s="1">
        <f ca="1">IFERROR(__xludf.DUMMYFUNCTION("""COMPUTED_VALUE"""),13.9)</f>
        <v>13.9</v>
      </c>
      <c r="F257" s="1">
        <f ca="1">IFERROR(__xludf.DUMMYFUNCTION("""COMPUTED_VALUE"""),1877534)</f>
        <v>1877534</v>
      </c>
    </row>
    <row r="258" spans="1:6" x14ac:dyDescent="0.2">
      <c r="A258" s="2">
        <f ca="1">IFERROR(__xludf.DUMMYFUNCTION("""COMPUTED_VALUE"""),42649.6666666666)</f>
        <v>42649.666666666599</v>
      </c>
      <c r="B258" s="1">
        <f ca="1">IFERROR(__xludf.DUMMYFUNCTION("""COMPUTED_VALUE"""),13.5)</f>
        <v>13.5</v>
      </c>
      <c r="C258" s="1">
        <f ca="1">IFERROR(__xludf.DUMMYFUNCTION("""COMPUTED_VALUE"""),13.61)</f>
        <v>13.61</v>
      </c>
      <c r="D258" s="1">
        <f ca="1">IFERROR(__xludf.DUMMYFUNCTION("""COMPUTED_VALUE"""),13.35)</f>
        <v>13.35</v>
      </c>
      <c r="E258" s="1">
        <f ca="1">IFERROR(__xludf.DUMMYFUNCTION("""COMPUTED_VALUE"""),13.4)</f>
        <v>13.4</v>
      </c>
      <c r="F258" s="1">
        <f ca="1">IFERROR(__xludf.DUMMYFUNCTION("""COMPUTED_VALUE"""),4703402)</f>
        <v>4703402</v>
      </c>
    </row>
    <row r="259" spans="1:6" x14ac:dyDescent="0.2">
      <c r="A259" s="2">
        <f ca="1">IFERROR(__xludf.DUMMYFUNCTION("""COMPUTED_VALUE"""),42650.6666666666)</f>
        <v>42650.666666666599</v>
      </c>
      <c r="B259" s="1">
        <f ca="1">IFERROR(__xludf.DUMMYFUNCTION("""COMPUTED_VALUE"""),13.4)</f>
        <v>13.4</v>
      </c>
      <c r="C259" s="1">
        <f ca="1">IFERROR(__xludf.DUMMYFUNCTION("""COMPUTED_VALUE"""),13.42)</f>
        <v>13.42</v>
      </c>
      <c r="D259" s="1">
        <f ca="1">IFERROR(__xludf.DUMMYFUNCTION("""COMPUTED_VALUE"""),13.05)</f>
        <v>13.05</v>
      </c>
      <c r="E259" s="1">
        <f ca="1">IFERROR(__xludf.DUMMYFUNCTION("""COMPUTED_VALUE"""),13.11)</f>
        <v>13.11</v>
      </c>
      <c r="F259" s="1">
        <f ca="1">IFERROR(__xludf.DUMMYFUNCTION("""COMPUTED_VALUE"""),3493018)</f>
        <v>3493018</v>
      </c>
    </row>
    <row r="260" spans="1:6" x14ac:dyDescent="0.2">
      <c r="A260" s="2">
        <f ca="1">IFERROR(__xludf.DUMMYFUNCTION("""COMPUTED_VALUE"""),42653.6666666666)</f>
        <v>42653.666666666599</v>
      </c>
      <c r="B260" s="1">
        <f ca="1">IFERROR(__xludf.DUMMYFUNCTION("""COMPUTED_VALUE"""),13.42)</f>
        <v>13.42</v>
      </c>
      <c r="C260" s="1">
        <f ca="1">IFERROR(__xludf.DUMMYFUNCTION("""COMPUTED_VALUE"""),13.61)</f>
        <v>13.61</v>
      </c>
      <c r="D260" s="1">
        <f ca="1">IFERROR(__xludf.DUMMYFUNCTION("""COMPUTED_VALUE"""),13.31)</f>
        <v>13.31</v>
      </c>
      <c r="E260" s="1">
        <f ca="1">IFERROR(__xludf.DUMMYFUNCTION("""COMPUTED_VALUE"""),13.4)</f>
        <v>13.4</v>
      </c>
      <c r="F260" s="1">
        <f ca="1">IFERROR(__xludf.DUMMYFUNCTION("""COMPUTED_VALUE"""),3316297)</f>
        <v>3316297</v>
      </c>
    </row>
    <row r="261" spans="1:6" x14ac:dyDescent="0.2">
      <c r="A261" s="2">
        <f ca="1">IFERROR(__xludf.DUMMYFUNCTION("""COMPUTED_VALUE"""),42654.6666666666)</f>
        <v>42654.666666666599</v>
      </c>
      <c r="B261" s="1">
        <f ca="1">IFERROR(__xludf.DUMMYFUNCTION("""COMPUTED_VALUE"""),13.46)</f>
        <v>13.46</v>
      </c>
      <c r="C261" s="1">
        <f ca="1">IFERROR(__xludf.DUMMYFUNCTION("""COMPUTED_VALUE"""),13.48)</f>
        <v>13.48</v>
      </c>
      <c r="D261" s="1">
        <f ca="1">IFERROR(__xludf.DUMMYFUNCTION("""COMPUTED_VALUE"""),13.22)</f>
        <v>13.22</v>
      </c>
      <c r="E261" s="1">
        <f ca="1">IFERROR(__xludf.DUMMYFUNCTION("""COMPUTED_VALUE"""),13.34)</f>
        <v>13.34</v>
      </c>
      <c r="F261" s="1">
        <f ca="1">IFERROR(__xludf.DUMMYFUNCTION("""COMPUTED_VALUE"""),2328422)</f>
        <v>2328422</v>
      </c>
    </row>
    <row r="262" spans="1:6" x14ac:dyDescent="0.2">
      <c r="A262" s="2">
        <f ca="1">IFERROR(__xludf.DUMMYFUNCTION("""COMPUTED_VALUE"""),42655.6666666666)</f>
        <v>42655.666666666599</v>
      </c>
      <c r="B262" s="1">
        <f ca="1">IFERROR(__xludf.DUMMYFUNCTION("""COMPUTED_VALUE"""),13.4)</f>
        <v>13.4</v>
      </c>
      <c r="C262" s="1">
        <f ca="1">IFERROR(__xludf.DUMMYFUNCTION("""COMPUTED_VALUE"""),13.59)</f>
        <v>13.59</v>
      </c>
      <c r="D262" s="1">
        <f ca="1">IFERROR(__xludf.DUMMYFUNCTION("""COMPUTED_VALUE"""),13.36)</f>
        <v>13.36</v>
      </c>
      <c r="E262" s="1">
        <f ca="1">IFERROR(__xludf.DUMMYFUNCTION("""COMPUTED_VALUE"""),13.43)</f>
        <v>13.43</v>
      </c>
      <c r="F262" s="1">
        <f ca="1">IFERROR(__xludf.DUMMYFUNCTION("""COMPUTED_VALUE"""),1970689)</f>
        <v>1970689</v>
      </c>
    </row>
    <row r="263" spans="1:6" x14ac:dyDescent="0.2">
      <c r="A263" s="2">
        <f ca="1">IFERROR(__xludf.DUMMYFUNCTION("""COMPUTED_VALUE"""),42656.6666666666)</f>
        <v>42656.666666666599</v>
      </c>
      <c r="B263" s="1">
        <f ca="1">IFERROR(__xludf.DUMMYFUNCTION("""COMPUTED_VALUE"""),13.37)</f>
        <v>13.37</v>
      </c>
      <c r="C263" s="1">
        <f ca="1">IFERROR(__xludf.DUMMYFUNCTION("""COMPUTED_VALUE"""),13.39)</f>
        <v>13.39</v>
      </c>
      <c r="D263" s="1">
        <f ca="1">IFERROR(__xludf.DUMMYFUNCTION("""COMPUTED_VALUE"""),13.14)</f>
        <v>13.14</v>
      </c>
      <c r="E263" s="1">
        <f ca="1">IFERROR(__xludf.DUMMYFUNCTION("""COMPUTED_VALUE"""),13.35)</f>
        <v>13.35</v>
      </c>
      <c r="F263" s="1">
        <f ca="1">IFERROR(__xludf.DUMMYFUNCTION("""COMPUTED_VALUE"""),2495413)</f>
        <v>2495413</v>
      </c>
    </row>
    <row r="264" spans="1:6" x14ac:dyDescent="0.2">
      <c r="A264" s="2">
        <f ca="1">IFERROR(__xludf.DUMMYFUNCTION("""COMPUTED_VALUE"""),42657.6666666666)</f>
        <v>42657.666666666599</v>
      </c>
      <c r="B264" s="1">
        <f ca="1">IFERROR(__xludf.DUMMYFUNCTION("""COMPUTED_VALUE"""),13.38)</f>
        <v>13.38</v>
      </c>
      <c r="C264" s="1">
        <f ca="1">IFERROR(__xludf.DUMMYFUNCTION("""COMPUTED_VALUE"""),13.43)</f>
        <v>13.43</v>
      </c>
      <c r="D264" s="1">
        <f ca="1">IFERROR(__xludf.DUMMYFUNCTION("""COMPUTED_VALUE"""),13.09)</f>
        <v>13.09</v>
      </c>
      <c r="E264" s="1">
        <f ca="1">IFERROR(__xludf.DUMMYFUNCTION("""COMPUTED_VALUE"""),13.1)</f>
        <v>13.1</v>
      </c>
      <c r="F264" s="1">
        <f ca="1">IFERROR(__xludf.DUMMYFUNCTION("""COMPUTED_VALUE"""),4269850)</f>
        <v>4269850</v>
      </c>
    </row>
    <row r="265" spans="1:6" x14ac:dyDescent="0.2">
      <c r="A265" s="2">
        <f ca="1">IFERROR(__xludf.DUMMYFUNCTION("""COMPUTED_VALUE"""),42660.6666666666)</f>
        <v>42660.666666666599</v>
      </c>
      <c r="B265" s="1">
        <f ca="1">IFERROR(__xludf.DUMMYFUNCTION("""COMPUTED_VALUE"""),13.14)</f>
        <v>13.14</v>
      </c>
      <c r="C265" s="1">
        <f ca="1">IFERROR(__xludf.DUMMYFUNCTION("""COMPUTED_VALUE"""),13.23)</f>
        <v>13.23</v>
      </c>
      <c r="D265" s="1">
        <f ca="1">IFERROR(__xludf.DUMMYFUNCTION("""COMPUTED_VALUE"""),12.8)</f>
        <v>12.8</v>
      </c>
      <c r="E265" s="1">
        <f ca="1">IFERROR(__xludf.DUMMYFUNCTION("""COMPUTED_VALUE"""),12.93)</f>
        <v>12.93</v>
      </c>
      <c r="F265" s="1">
        <f ca="1">IFERROR(__xludf.DUMMYFUNCTION("""COMPUTED_VALUE"""),4554080)</f>
        <v>4554080</v>
      </c>
    </row>
    <row r="266" spans="1:6" x14ac:dyDescent="0.2">
      <c r="A266" s="2">
        <f ca="1">IFERROR(__xludf.DUMMYFUNCTION("""COMPUTED_VALUE"""),42661.6666666666)</f>
        <v>42661.666666666599</v>
      </c>
      <c r="B266" s="1">
        <f ca="1">IFERROR(__xludf.DUMMYFUNCTION("""COMPUTED_VALUE"""),13.07)</f>
        <v>13.07</v>
      </c>
      <c r="C266" s="1">
        <f ca="1">IFERROR(__xludf.DUMMYFUNCTION("""COMPUTED_VALUE"""),13.3)</f>
        <v>13.3</v>
      </c>
      <c r="D266" s="1">
        <f ca="1">IFERROR(__xludf.DUMMYFUNCTION("""COMPUTED_VALUE"""),12.88)</f>
        <v>12.88</v>
      </c>
      <c r="E266" s="1">
        <f ca="1">IFERROR(__xludf.DUMMYFUNCTION("""COMPUTED_VALUE"""),13.27)</f>
        <v>13.27</v>
      </c>
      <c r="F266" s="1">
        <f ca="1">IFERROR(__xludf.DUMMYFUNCTION("""COMPUTED_VALUE"""),5680475)</f>
        <v>5680475</v>
      </c>
    </row>
    <row r="267" spans="1:6" x14ac:dyDescent="0.2">
      <c r="A267" s="2">
        <f ca="1">IFERROR(__xludf.DUMMYFUNCTION("""COMPUTED_VALUE"""),42662.6666666666)</f>
        <v>42662.666666666599</v>
      </c>
      <c r="B267" s="1">
        <f ca="1">IFERROR(__xludf.DUMMYFUNCTION("""COMPUTED_VALUE"""),13.32)</f>
        <v>13.32</v>
      </c>
      <c r="C267" s="1">
        <f ca="1">IFERROR(__xludf.DUMMYFUNCTION("""COMPUTED_VALUE"""),13.78)</f>
        <v>13.78</v>
      </c>
      <c r="D267" s="1">
        <f ca="1">IFERROR(__xludf.DUMMYFUNCTION("""COMPUTED_VALUE"""),13.2)</f>
        <v>13.2</v>
      </c>
      <c r="E267" s="1">
        <f ca="1">IFERROR(__xludf.DUMMYFUNCTION("""COMPUTED_VALUE"""),13.57)</f>
        <v>13.57</v>
      </c>
      <c r="F267" s="1">
        <f ca="1">IFERROR(__xludf.DUMMYFUNCTION("""COMPUTED_VALUE"""),6991183)</f>
        <v>6991183</v>
      </c>
    </row>
    <row r="268" spans="1:6" x14ac:dyDescent="0.2">
      <c r="A268" s="2">
        <f ca="1">IFERROR(__xludf.DUMMYFUNCTION("""COMPUTED_VALUE"""),42663.6666666666)</f>
        <v>42663.666666666599</v>
      </c>
      <c r="B268" s="1">
        <f ca="1">IFERROR(__xludf.DUMMYFUNCTION("""COMPUTED_VALUE"""),13.47)</f>
        <v>13.47</v>
      </c>
      <c r="C268" s="1">
        <f ca="1">IFERROR(__xludf.DUMMYFUNCTION("""COMPUTED_VALUE"""),13.53)</f>
        <v>13.53</v>
      </c>
      <c r="D268" s="1">
        <f ca="1">IFERROR(__xludf.DUMMYFUNCTION("""COMPUTED_VALUE"""),13.14)</f>
        <v>13.14</v>
      </c>
      <c r="E268" s="1">
        <f ca="1">IFERROR(__xludf.DUMMYFUNCTION("""COMPUTED_VALUE"""),13.27)</f>
        <v>13.27</v>
      </c>
      <c r="F268" s="1">
        <f ca="1">IFERROR(__xludf.DUMMYFUNCTION("""COMPUTED_VALUE"""),5072877)</f>
        <v>5072877</v>
      </c>
    </row>
    <row r="269" spans="1:6" x14ac:dyDescent="0.2">
      <c r="A269" s="2">
        <f ca="1">IFERROR(__xludf.DUMMYFUNCTION("""COMPUTED_VALUE"""),42664.6666666666)</f>
        <v>42664.666666666599</v>
      </c>
      <c r="B269" s="1">
        <f ca="1">IFERROR(__xludf.DUMMYFUNCTION("""COMPUTED_VALUE"""),13.24)</f>
        <v>13.24</v>
      </c>
      <c r="C269" s="1">
        <f ca="1">IFERROR(__xludf.DUMMYFUNCTION("""COMPUTED_VALUE"""),13.44)</f>
        <v>13.44</v>
      </c>
      <c r="D269" s="1">
        <f ca="1">IFERROR(__xludf.DUMMYFUNCTION("""COMPUTED_VALUE"""),13.16)</f>
        <v>13.16</v>
      </c>
      <c r="E269" s="1">
        <f ca="1">IFERROR(__xludf.DUMMYFUNCTION("""COMPUTED_VALUE"""),13.34)</f>
        <v>13.34</v>
      </c>
      <c r="F269" s="1">
        <f ca="1">IFERROR(__xludf.DUMMYFUNCTION("""COMPUTED_VALUE"""),2943402)</f>
        <v>2943402</v>
      </c>
    </row>
    <row r="270" spans="1:6" x14ac:dyDescent="0.2">
      <c r="A270" s="2">
        <f ca="1">IFERROR(__xludf.DUMMYFUNCTION("""COMPUTED_VALUE"""),42667.6666666666)</f>
        <v>42667.666666666599</v>
      </c>
      <c r="B270" s="1">
        <f ca="1">IFERROR(__xludf.DUMMYFUNCTION("""COMPUTED_VALUE"""),13.4)</f>
        <v>13.4</v>
      </c>
      <c r="C270" s="1">
        <f ca="1">IFERROR(__xludf.DUMMYFUNCTION("""COMPUTED_VALUE"""),13.6)</f>
        <v>13.6</v>
      </c>
      <c r="D270" s="1">
        <f ca="1">IFERROR(__xludf.DUMMYFUNCTION("""COMPUTED_VALUE"""),13.35)</f>
        <v>13.35</v>
      </c>
      <c r="E270" s="1">
        <f ca="1">IFERROR(__xludf.DUMMYFUNCTION("""COMPUTED_VALUE"""),13.52)</f>
        <v>13.52</v>
      </c>
      <c r="F270" s="1">
        <f ca="1">IFERROR(__xludf.DUMMYFUNCTION("""COMPUTED_VALUE"""),2751562)</f>
        <v>2751562</v>
      </c>
    </row>
    <row r="271" spans="1:6" x14ac:dyDescent="0.2">
      <c r="A271" s="2">
        <f ca="1">IFERROR(__xludf.DUMMYFUNCTION("""COMPUTED_VALUE"""),42668.6666666666)</f>
        <v>42668.666666666599</v>
      </c>
      <c r="B271" s="1">
        <f ca="1">IFERROR(__xludf.DUMMYFUNCTION("""COMPUTED_VALUE"""),13.53)</f>
        <v>13.53</v>
      </c>
      <c r="C271" s="1">
        <f ca="1">IFERROR(__xludf.DUMMYFUNCTION("""COMPUTED_VALUE"""),13.65)</f>
        <v>13.65</v>
      </c>
      <c r="D271" s="1">
        <f ca="1">IFERROR(__xludf.DUMMYFUNCTION("""COMPUTED_VALUE"""),13.41)</f>
        <v>13.41</v>
      </c>
      <c r="E271" s="1">
        <f ca="1">IFERROR(__xludf.DUMMYFUNCTION("""COMPUTED_VALUE"""),13.49)</f>
        <v>13.49</v>
      </c>
      <c r="F271" s="1">
        <f ca="1">IFERROR(__xludf.DUMMYFUNCTION("""COMPUTED_VALUE"""),2445014)</f>
        <v>2445014</v>
      </c>
    </row>
    <row r="272" spans="1:6" x14ac:dyDescent="0.2">
      <c r="A272" s="2">
        <f ca="1">IFERROR(__xludf.DUMMYFUNCTION("""COMPUTED_VALUE"""),42669.6666666666)</f>
        <v>42669.666666666599</v>
      </c>
      <c r="B272" s="1">
        <f ca="1">IFERROR(__xludf.DUMMYFUNCTION("""COMPUTED_VALUE"""),13.4)</f>
        <v>13.4</v>
      </c>
      <c r="C272" s="1">
        <f ca="1">IFERROR(__xludf.DUMMYFUNCTION("""COMPUTED_VALUE"""),13.55)</f>
        <v>13.55</v>
      </c>
      <c r="D272" s="1">
        <f ca="1">IFERROR(__xludf.DUMMYFUNCTION("""COMPUTED_VALUE"""),13.34)</f>
        <v>13.34</v>
      </c>
      <c r="E272" s="1">
        <f ca="1">IFERROR(__xludf.DUMMYFUNCTION("""COMPUTED_VALUE"""),13.48)</f>
        <v>13.48</v>
      </c>
      <c r="F272" s="1">
        <f ca="1">IFERROR(__xludf.DUMMYFUNCTION("""COMPUTED_VALUE"""),5632841)</f>
        <v>5632841</v>
      </c>
    </row>
    <row r="273" spans="1:6" x14ac:dyDescent="0.2">
      <c r="A273" s="2">
        <f ca="1">IFERROR(__xludf.DUMMYFUNCTION("""COMPUTED_VALUE"""),42670.6666666666)</f>
        <v>42670.666666666599</v>
      </c>
      <c r="B273" s="1">
        <f ca="1">IFERROR(__xludf.DUMMYFUNCTION("""COMPUTED_VALUE"""),14.09)</f>
        <v>14.09</v>
      </c>
      <c r="C273" s="1">
        <f ca="1">IFERROR(__xludf.DUMMYFUNCTION("""COMPUTED_VALUE"""),14.25)</f>
        <v>14.25</v>
      </c>
      <c r="D273" s="1">
        <f ca="1">IFERROR(__xludf.DUMMYFUNCTION("""COMPUTED_VALUE"""),13.44)</f>
        <v>13.44</v>
      </c>
      <c r="E273" s="1">
        <f ca="1">IFERROR(__xludf.DUMMYFUNCTION("""COMPUTED_VALUE"""),13.6)</f>
        <v>13.6</v>
      </c>
      <c r="F273" s="1">
        <f ca="1">IFERROR(__xludf.DUMMYFUNCTION("""COMPUTED_VALUE"""),13093744)</f>
        <v>13093744</v>
      </c>
    </row>
    <row r="274" spans="1:6" x14ac:dyDescent="0.2">
      <c r="A274" s="2">
        <f ca="1">IFERROR(__xludf.DUMMYFUNCTION("""COMPUTED_VALUE"""),42671.6666666666)</f>
        <v>42671.666666666599</v>
      </c>
      <c r="B274" s="1">
        <f ca="1">IFERROR(__xludf.DUMMYFUNCTION("""COMPUTED_VALUE"""),13.6)</f>
        <v>13.6</v>
      </c>
      <c r="C274" s="1">
        <f ca="1">IFERROR(__xludf.DUMMYFUNCTION("""COMPUTED_VALUE"""),13.69)</f>
        <v>13.69</v>
      </c>
      <c r="D274" s="1">
        <f ca="1">IFERROR(__xludf.DUMMYFUNCTION("""COMPUTED_VALUE"""),13.32)</f>
        <v>13.32</v>
      </c>
      <c r="E274" s="1">
        <f ca="1">IFERROR(__xludf.DUMMYFUNCTION("""COMPUTED_VALUE"""),13.33)</f>
        <v>13.33</v>
      </c>
      <c r="F274" s="1">
        <f ca="1">IFERROR(__xludf.DUMMYFUNCTION("""COMPUTED_VALUE"""),4280141)</f>
        <v>4280141</v>
      </c>
    </row>
    <row r="275" spans="1:6" x14ac:dyDescent="0.2">
      <c r="A275" s="2">
        <f ca="1">IFERROR(__xludf.DUMMYFUNCTION("""COMPUTED_VALUE"""),42674.6666666666)</f>
        <v>42674.666666666599</v>
      </c>
      <c r="B275" s="1">
        <f ca="1">IFERROR(__xludf.DUMMYFUNCTION("""COMPUTED_VALUE"""),13.5)</f>
        <v>13.5</v>
      </c>
      <c r="C275" s="1">
        <f ca="1">IFERROR(__xludf.DUMMYFUNCTION("""COMPUTED_VALUE"""),13.5)</f>
        <v>13.5</v>
      </c>
      <c r="D275" s="1">
        <f ca="1">IFERROR(__xludf.DUMMYFUNCTION("""COMPUTED_VALUE"""),13.05)</f>
        <v>13.05</v>
      </c>
      <c r="E275" s="1">
        <f ca="1">IFERROR(__xludf.DUMMYFUNCTION("""COMPUTED_VALUE"""),13.18)</f>
        <v>13.18</v>
      </c>
      <c r="F275" s="1">
        <f ca="1">IFERROR(__xludf.DUMMYFUNCTION("""COMPUTED_VALUE"""),4692273)</f>
        <v>4692273</v>
      </c>
    </row>
    <row r="276" spans="1:6" x14ac:dyDescent="0.2">
      <c r="A276" s="2">
        <f ca="1">IFERROR(__xludf.DUMMYFUNCTION("""COMPUTED_VALUE"""),42675.6666666666)</f>
        <v>42675.666666666599</v>
      </c>
      <c r="B276" s="1">
        <f ca="1">IFERROR(__xludf.DUMMYFUNCTION("""COMPUTED_VALUE"""),13.2)</f>
        <v>13.2</v>
      </c>
      <c r="C276" s="1">
        <f ca="1">IFERROR(__xludf.DUMMYFUNCTION("""COMPUTED_VALUE"""),13.23)</f>
        <v>13.23</v>
      </c>
      <c r="D276" s="1">
        <f ca="1">IFERROR(__xludf.DUMMYFUNCTION("""COMPUTED_VALUE"""),12.54)</f>
        <v>12.54</v>
      </c>
      <c r="E276" s="1">
        <f ca="1">IFERROR(__xludf.DUMMYFUNCTION("""COMPUTED_VALUE"""),12.72)</f>
        <v>12.72</v>
      </c>
      <c r="F276" s="1">
        <f ca="1">IFERROR(__xludf.DUMMYFUNCTION("""COMPUTED_VALUE"""),7060036)</f>
        <v>7060036</v>
      </c>
    </row>
    <row r="277" spans="1:6" x14ac:dyDescent="0.2">
      <c r="A277" s="2">
        <f ca="1">IFERROR(__xludf.DUMMYFUNCTION("""COMPUTED_VALUE"""),42676.6666666666)</f>
        <v>42676.666666666599</v>
      </c>
      <c r="B277" s="1">
        <f ca="1">IFERROR(__xludf.DUMMYFUNCTION("""COMPUTED_VALUE"""),12.67)</f>
        <v>12.67</v>
      </c>
      <c r="C277" s="1">
        <f ca="1">IFERROR(__xludf.DUMMYFUNCTION("""COMPUTED_VALUE"""),12.85)</f>
        <v>12.85</v>
      </c>
      <c r="D277" s="1">
        <f ca="1">IFERROR(__xludf.DUMMYFUNCTION("""COMPUTED_VALUE"""),12.5)</f>
        <v>12.5</v>
      </c>
      <c r="E277" s="1">
        <f ca="1">IFERROR(__xludf.DUMMYFUNCTION("""COMPUTED_VALUE"""),12.53)</f>
        <v>12.53</v>
      </c>
      <c r="F277" s="1">
        <f ca="1">IFERROR(__xludf.DUMMYFUNCTION("""COMPUTED_VALUE"""),4253382)</f>
        <v>4253382</v>
      </c>
    </row>
    <row r="278" spans="1:6" x14ac:dyDescent="0.2">
      <c r="A278" s="2">
        <f ca="1">IFERROR(__xludf.DUMMYFUNCTION("""COMPUTED_VALUE"""),42677.6666666666)</f>
        <v>42677.666666666599</v>
      </c>
      <c r="B278" s="1">
        <f ca="1">IFERROR(__xludf.DUMMYFUNCTION("""COMPUTED_VALUE"""),12.6)</f>
        <v>12.6</v>
      </c>
      <c r="C278" s="1">
        <f ca="1">IFERROR(__xludf.DUMMYFUNCTION("""COMPUTED_VALUE"""),12.76)</f>
        <v>12.76</v>
      </c>
      <c r="D278" s="1">
        <f ca="1">IFERROR(__xludf.DUMMYFUNCTION("""COMPUTED_VALUE"""),12.47)</f>
        <v>12.47</v>
      </c>
      <c r="E278" s="1">
        <f ca="1">IFERROR(__xludf.DUMMYFUNCTION("""COMPUTED_VALUE"""),12.49)</f>
        <v>12.49</v>
      </c>
      <c r="F278" s="1">
        <f ca="1">IFERROR(__xludf.DUMMYFUNCTION("""COMPUTED_VALUE"""),2653023)</f>
        <v>2653023</v>
      </c>
    </row>
    <row r="279" spans="1:6" x14ac:dyDescent="0.2">
      <c r="A279" s="2">
        <f ca="1">IFERROR(__xludf.DUMMYFUNCTION("""COMPUTED_VALUE"""),42678.6666666666)</f>
        <v>42678.666666666599</v>
      </c>
      <c r="B279" s="1">
        <f ca="1">IFERROR(__xludf.DUMMYFUNCTION("""COMPUTED_VALUE"""),12.6)</f>
        <v>12.6</v>
      </c>
      <c r="C279" s="1">
        <f ca="1">IFERROR(__xludf.DUMMYFUNCTION("""COMPUTED_VALUE"""),12.9)</f>
        <v>12.9</v>
      </c>
      <c r="D279" s="1">
        <f ca="1">IFERROR(__xludf.DUMMYFUNCTION("""COMPUTED_VALUE"""),12.4)</f>
        <v>12.4</v>
      </c>
      <c r="E279" s="1">
        <f ca="1">IFERROR(__xludf.DUMMYFUNCTION("""COMPUTED_VALUE"""),12.7)</f>
        <v>12.7</v>
      </c>
      <c r="F279" s="1">
        <f ca="1">IFERROR(__xludf.DUMMYFUNCTION("""COMPUTED_VALUE"""),5146043)</f>
        <v>5146043</v>
      </c>
    </row>
    <row r="280" spans="1:6" x14ac:dyDescent="0.2">
      <c r="A280" s="2">
        <f ca="1">IFERROR(__xludf.DUMMYFUNCTION("""COMPUTED_VALUE"""),42681.6666666666)</f>
        <v>42681.666666666599</v>
      </c>
      <c r="B280" s="1">
        <f ca="1">IFERROR(__xludf.DUMMYFUNCTION("""COMPUTED_VALUE"""),12.91)</f>
        <v>12.91</v>
      </c>
      <c r="C280" s="1">
        <f ca="1">IFERROR(__xludf.DUMMYFUNCTION("""COMPUTED_VALUE"""),12.95)</f>
        <v>12.95</v>
      </c>
      <c r="D280" s="1">
        <f ca="1">IFERROR(__xludf.DUMMYFUNCTION("""COMPUTED_VALUE"""),12.67)</f>
        <v>12.67</v>
      </c>
      <c r="E280" s="1">
        <f ca="1">IFERROR(__xludf.DUMMYFUNCTION("""COMPUTED_VALUE"""),12.88)</f>
        <v>12.88</v>
      </c>
      <c r="F280" s="1">
        <f ca="1">IFERROR(__xludf.DUMMYFUNCTION("""COMPUTED_VALUE"""),3870112)</f>
        <v>3870112</v>
      </c>
    </row>
    <row r="281" spans="1:6" x14ac:dyDescent="0.2">
      <c r="A281" s="2">
        <f ca="1">IFERROR(__xludf.DUMMYFUNCTION("""COMPUTED_VALUE"""),42682.6666666666)</f>
        <v>42682.666666666599</v>
      </c>
      <c r="B281" s="1">
        <f ca="1">IFERROR(__xludf.DUMMYFUNCTION("""COMPUTED_VALUE"""),12.92)</f>
        <v>12.92</v>
      </c>
      <c r="C281" s="1">
        <f ca="1">IFERROR(__xludf.DUMMYFUNCTION("""COMPUTED_VALUE"""),13.17)</f>
        <v>13.17</v>
      </c>
      <c r="D281" s="1">
        <f ca="1">IFERROR(__xludf.DUMMYFUNCTION("""COMPUTED_VALUE"""),12.75)</f>
        <v>12.75</v>
      </c>
      <c r="E281" s="1">
        <f ca="1">IFERROR(__xludf.DUMMYFUNCTION("""COMPUTED_VALUE"""),13)</f>
        <v>13</v>
      </c>
      <c r="F281" s="1">
        <f ca="1">IFERROR(__xludf.DUMMYFUNCTION("""COMPUTED_VALUE"""),3267580)</f>
        <v>3267580</v>
      </c>
    </row>
    <row r="282" spans="1:6" x14ac:dyDescent="0.2">
      <c r="A282" s="2">
        <f ca="1">IFERROR(__xludf.DUMMYFUNCTION("""COMPUTED_VALUE"""),42683.6666666666)</f>
        <v>42683.666666666599</v>
      </c>
      <c r="B282" s="1">
        <f ca="1">IFERROR(__xludf.DUMMYFUNCTION("""COMPUTED_VALUE"""),12.46)</f>
        <v>12.46</v>
      </c>
      <c r="C282" s="1">
        <f ca="1">IFERROR(__xludf.DUMMYFUNCTION("""COMPUTED_VALUE"""),12.8)</f>
        <v>12.8</v>
      </c>
      <c r="D282" s="1">
        <f ca="1">IFERROR(__xludf.DUMMYFUNCTION("""COMPUTED_VALUE"""),12.26)</f>
        <v>12.26</v>
      </c>
      <c r="E282" s="1">
        <f ca="1">IFERROR(__xludf.DUMMYFUNCTION("""COMPUTED_VALUE"""),12.67)</f>
        <v>12.67</v>
      </c>
      <c r="F282" s="1">
        <f ca="1">IFERROR(__xludf.DUMMYFUNCTION("""COMPUTED_VALUE"""),8173065)</f>
        <v>8173065</v>
      </c>
    </row>
    <row r="283" spans="1:6" x14ac:dyDescent="0.2">
      <c r="A283" s="2">
        <f ca="1">IFERROR(__xludf.DUMMYFUNCTION("""COMPUTED_VALUE"""),42684.6666666666)</f>
        <v>42684.666666666599</v>
      </c>
      <c r="B283" s="1">
        <f ca="1">IFERROR(__xludf.DUMMYFUNCTION("""COMPUTED_VALUE"""),12.74)</f>
        <v>12.74</v>
      </c>
      <c r="C283" s="1">
        <f ca="1">IFERROR(__xludf.DUMMYFUNCTION("""COMPUTED_VALUE"""),12.77)</f>
        <v>12.77</v>
      </c>
      <c r="D283" s="1">
        <f ca="1">IFERROR(__xludf.DUMMYFUNCTION("""COMPUTED_VALUE"""),12.03)</f>
        <v>12.03</v>
      </c>
      <c r="E283" s="1">
        <f ca="1">IFERROR(__xludf.DUMMYFUNCTION("""COMPUTED_VALUE"""),12.36)</f>
        <v>12.36</v>
      </c>
      <c r="F283" s="1">
        <f ca="1">IFERROR(__xludf.DUMMYFUNCTION("""COMPUTED_VALUE"""),6750341)</f>
        <v>6750341</v>
      </c>
    </row>
    <row r="284" spans="1:6" x14ac:dyDescent="0.2">
      <c r="A284" s="2">
        <f ca="1">IFERROR(__xludf.DUMMYFUNCTION("""COMPUTED_VALUE"""),42685.6666666666)</f>
        <v>42685.666666666599</v>
      </c>
      <c r="B284" s="1">
        <f ca="1">IFERROR(__xludf.DUMMYFUNCTION("""COMPUTED_VALUE"""),12.28)</f>
        <v>12.28</v>
      </c>
      <c r="C284" s="1">
        <f ca="1">IFERROR(__xludf.DUMMYFUNCTION("""COMPUTED_VALUE"""),12.59)</f>
        <v>12.59</v>
      </c>
      <c r="D284" s="1">
        <f ca="1">IFERROR(__xludf.DUMMYFUNCTION("""COMPUTED_VALUE"""),12.2)</f>
        <v>12.2</v>
      </c>
      <c r="E284" s="1">
        <f ca="1">IFERROR(__xludf.DUMMYFUNCTION("""COMPUTED_VALUE"""),12.57)</f>
        <v>12.57</v>
      </c>
      <c r="F284" s="1">
        <f ca="1">IFERROR(__xludf.DUMMYFUNCTION("""COMPUTED_VALUE"""),3988504)</f>
        <v>3988504</v>
      </c>
    </row>
    <row r="285" spans="1:6" x14ac:dyDescent="0.2">
      <c r="A285" s="2">
        <f ca="1">IFERROR(__xludf.DUMMYFUNCTION("""COMPUTED_VALUE"""),42688.6666666666)</f>
        <v>42688.666666666599</v>
      </c>
      <c r="B285" s="1">
        <f ca="1">IFERROR(__xludf.DUMMYFUNCTION("""COMPUTED_VALUE"""),12.53)</f>
        <v>12.53</v>
      </c>
      <c r="C285" s="1">
        <f ca="1">IFERROR(__xludf.DUMMYFUNCTION("""COMPUTED_VALUE"""),12.55)</f>
        <v>12.55</v>
      </c>
      <c r="D285" s="1">
        <f ca="1">IFERROR(__xludf.DUMMYFUNCTION("""COMPUTED_VALUE"""),11.88)</f>
        <v>11.88</v>
      </c>
      <c r="E285" s="1">
        <f ca="1">IFERROR(__xludf.DUMMYFUNCTION("""COMPUTED_VALUE"""),12.1)</f>
        <v>12.1</v>
      </c>
      <c r="F285" s="1">
        <f ca="1">IFERROR(__xludf.DUMMYFUNCTION("""COMPUTED_VALUE"""),6552205)</f>
        <v>6552205</v>
      </c>
    </row>
    <row r="286" spans="1:6" x14ac:dyDescent="0.2">
      <c r="A286" s="2">
        <f ca="1">IFERROR(__xludf.DUMMYFUNCTION("""COMPUTED_VALUE"""),42689.6666666666)</f>
        <v>42689.666666666599</v>
      </c>
      <c r="B286" s="1">
        <f ca="1">IFERROR(__xludf.DUMMYFUNCTION("""COMPUTED_VALUE"""),12.19)</f>
        <v>12.19</v>
      </c>
      <c r="C286" s="1">
        <f ca="1">IFERROR(__xludf.DUMMYFUNCTION("""COMPUTED_VALUE"""),12.43)</f>
        <v>12.43</v>
      </c>
      <c r="D286" s="1">
        <f ca="1">IFERROR(__xludf.DUMMYFUNCTION("""COMPUTED_VALUE"""),12.14)</f>
        <v>12.14</v>
      </c>
      <c r="E286" s="1">
        <f ca="1">IFERROR(__xludf.DUMMYFUNCTION("""COMPUTED_VALUE"""),12.25)</f>
        <v>12.25</v>
      </c>
      <c r="F286" s="1">
        <f ca="1">IFERROR(__xludf.DUMMYFUNCTION("""COMPUTED_VALUE"""),3902018)</f>
        <v>3902018</v>
      </c>
    </row>
    <row r="287" spans="1:6" x14ac:dyDescent="0.2">
      <c r="A287" s="2">
        <f ca="1">IFERROR(__xludf.DUMMYFUNCTION("""COMPUTED_VALUE"""),42690.6666666666)</f>
        <v>42690.666666666599</v>
      </c>
      <c r="B287" s="1">
        <f ca="1">IFERROR(__xludf.DUMMYFUNCTION("""COMPUTED_VALUE"""),12.18)</f>
        <v>12.18</v>
      </c>
      <c r="C287" s="1">
        <f ca="1">IFERROR(__xludf.DUMMYFUNCTION("""COMPUTED_VALUE"""),12.32)</f>
        <v>12.32</v>
      </c>
      <c r="D287" s="1">
        <f ca="1">IFERROR(__xludf.DUMMYFUNCTION("""COMPUTED_VALUE"""),12.08)</f>
        <v>12.08</v>
      </c>
      <c r="E287" s="1">
        <f ca="1">IFERROR(__xludf.DUMMYFUNCTION("""COMPUTED_VALUE"""),12.26)</f>
        <v>12.26</v>
      </c>
      <c r="F287" s="1">
        <f ca="1">IFERROR(__xludf.DUMMYFUNCTION("""COMPUTED_VALUE"""),3434437)</f>
        <v>3434437</v>
      </c>
    </row>
    <row r="288" spans="1:6" x14ac:dyDescent="0.2">
      <c r="A288" s="2">
        <f ca="1">IFERROR(__xludf.DUMMYFUNCTION("""COMPUTED_VALUE"""),42691.6666666666)</f>
        <v>42691.666666666599</v>
      </c>
      <c r="B288" s="1">
        <f ca="1">IFERROR(__xludf.DUMMYFUNCTION("""COMPUTED_VALUE"""),12.23)</f>
        <v>12.23</v>
      </c>
      <c r="C288" s="1">
        <f ca="1">IFERROR(__xludf.DUMMYFUNCTION("""COMPUTED_VALUE"""),12.63)</f>
        <v>12.63</v>
      </c>
      <c r="D288" s="1">
        <f ca="1">IFERROR(__xludf.DUMMYFUNCTION("""COMPUTED_VALUE"""),12.14)</f>
        <v>12.14</v>
      </c>
      <c r="E288" s="1">
        <f ca="1">IFERROR(__xludf.DUMMYFUNCTION("""COMPUTED_VALUE"""),12.58)</f>
        <v>12.58</v>
      </c>
      <c r="F288" s="1">
        <f ca="1">IFERROR(__xludf.DUMMYFUNCTION("""COMPUTED_VALUE"""),4887067)</f>
        <v>4887067</v>
      </c>
    </row>
    <row r="289" spans="1:6" x14ac:dyDescent="0.2">
      <c r="A289" s="2">
        <f ca="1">IFERROR(__xludf.DUMMYFUNCTION("""COMPUTED_VALUE"""),42692.6666666666)</f>
        <v>42692.666666666599</v>
      </c>
      <c r="B289" s="1">
        <f ca="1">IFERROR(__xludf.DUMMYFUNCTION("""COMPUTED_VALUE"""),12.71)</f>
        <v>12.71</v>
      </c>
      <c r="C289" s="1">
        <f ca="1">IFERROR(__xludf.DUMMYFUNCTION("""COMPUTED_VALUE"""),12.87)</f>
        <v>12.87</v>
      </c>
      <c r="D289" s="1">
        <f ca="1">IFERROR(__xludf.DUMMYFUNCTION("""COMPUTED_VALUE"""),12.33)</f>
        <v>12.33</v>
      </c>
      <c r="E289" s="1">
        <f ca="1">IFERROR(__xludf.DUMMYFUNCTION("""COMPUTED_VALUE"""),12.33)</f>
        <v>12.33</v>
      </c>
      <c r="F289" s="1">
        <f ca="1">IFERROR(__xludf.DUMMYFUNCTION("""COMPUTED_VALUE"""),5210347)</f>
        <v>5210347</v>
      </c>
    </row>
    <row r="290" spans="1:6" x14ac:dyDescent="0.2">
      <c r="A290" s="2">
        <f ca="1">IFERROR(__xludf.DUMMYFUNCTION("""COMPUTED_VALUE"""),42695.6666666666)</f>
        <v>42695.666666666599</v>
      </c>
      <c r="B290" s="1">
        <f ca="1">IFERROR(__xludf.DUMMYFUNCTION("""COMPUTED_VALUE"""),12.34)</f>
        <v>12.34</v>
      </c>
      <c r="C290" s="1">
        <f ca="1">IFERROR(__xludf.DUMMYFUNCTION("""COMPUTED_VALUE"""),12.59)</f>
        <v>12.59</v>
      </c>
      <c r="D290" s="1">
        <f ca="1">IFERROR(__xludf.DUMMYFUNCTION("""COMPUTED_VALUE"""),12.29)</f>
        <v>12.29</v>
      </c>
      <c r="E290" s="1">
        <f ca="1">IFERROR(__xludf.DUMMYFUNCTION("""COMPUTED_VALUE"""),12.3)</f>
        <v>12.3</v>
      </c>
      <c r="F290" s="1">
        <f ca="1">IFERROR(__xludf.DUMMYFUNCTION("""COMPUTED_VALUE"""),4361043)</f>
        <v>4361043</v>
      </c>
    </row>
    <row r="291" spans="1:6" x14ac:dyDescent="0.2">
      <c r="A291" s="2">
        <f ca="1">IFERROR(__xludf.DUMMYFUNCTION("""COMPUTED_VALUE"""),42696.6666666666)</f>
        <v>42696.666666666599</v>
      </c>
      <c r="B291" s="1">
        <f ca="1">IFERROR(__xludf.DUMMYFUNCTION("""COMPUTED_VALUE"""),12.39)</f>
        <v>12.39</v>
      </c>
      <c r="C291" s="1">
        <f ca="1">IFERROR(__xludf.DUMMYFUNCTION("""COMPUTED_VALUE"""),12.76)</f>
        <v>12.76</v>
      </c>
      <c r="D291" s="1">
        <f ca="1">IFERROR(__xludf.DUMMYFUNCTION("""COMPUTED_VALUE"""),12.25)</f>
        <v>12.25</v>
      </c>
      <c r="E291" s="1">
        <f ca="1">IFERROR(__xludf.DUMMYFUNCTION("""COMPUTED_VALUE"""),12.74)</f>
        <v>12.74</v>
      </c>
      <c r="F291" s="1">
        <f ca="1">IFERROR(__xludf.DUMMYFUNCTION("""COMPUTED_VALUE"""),5603361)</f>
        <v>5603361</v>
      </c>
    </row>
    <row r="292" spans="1:6" x14ac:dyDescent="0.2">
      <c r="A292" s="2">
        <f ca="1">IFERROR(__xludf.DUMMYFUNCTION("""COMPUTED_VALUE"""),42697.6666666666)</f>
        <v>42697.666666666599</v>
      </c>
      <c r="B292" s="1">
        <f ca="1">IFERROR(__xludf.DUMMYFUNCTION("""COMPUTED_VALUE"""),12.71)</f>
        <v>12.71</v>
      </c>
      <c r="C292" s="1">
        <f ca="1">IFERROR(__xludf.DUMMYFUNCTION("""COMPUTED_VALUE"""),13.04)</f>
        <v>13.04</v>
      </c>
      <c r="D292" s="1">
        <f ca="1">IFERROR(__xludf.DUMMYFUNCTION("""COMPUTED_VALUE"""),12.6)</f>
        <v>12.6</v>
      </c>
      <c r="E292" s="1">
        <f ca="1">IFERROR(__xludf.DUMMYFUNCTION("""COMPUTED_VALUE"""),12.88)</f>
        <v>12.88</v>
      </c>
      <c r="F292" s="1">
        <f ca="1">IFERROR(__xludf.DUMMYFUNCTION("""COMPUTED_VALUE"""),4891893)</f>
        <v>4891893</v>
      </c>
    </row>
    <row r="293" spans="1:6" x14ac:dyDescent="0.2">
      <c r="A293" s="2">
        <f ca="1">IFERROR(__xludf.DUMMYFUNCTION("""COMPUTED_VALUE"""),42699.6666666666)</f>
        <v>42699.666666666599</v>
      </c>
      <c r="B293" s="1">
        <f ca="1">IFERROR(__xludf.DUMMYFUNCTION("""COMPUTED_VALUE"""),12.91)</f>
        <v>12.91</v>
      </c>
      <c r="C293" s="1">
        <f ca="1">IFERROR(__xludf.DUMMYFUNCTION("""COMPUTED_VALUE"""),13.15)</f>
        <v>13.15</v>
      </c>
      <c r="D293" s="1">
        <f ca="1">IFERROR(__xludf.DUMMYFUNCTION("""COMPUTED_VALUE"""),12.91)</f>
        <v>12.91</v>
      </c>
      <c r="E293" s="1">
        <f ca="1">IFERROR(__xludf.DUMMYFUNCTION("""COMPUTED_VALUE"""),13.11)</f>
        <v>13.11</v>
      </c>
      <c r="F293" s="1">
        <f ca="1">IFERROR(__xludf.DUMMYFUNCTION("""COMPUTED_VALUE"""),2366098)</f>
        <v>2366098</v>
      </c>
    </row>
    <row r="294" spans="1:6" x14ac:dyDescent="0.2">
      <c r="A294" s="2">
        <f ca="1">IFERROR(__xludf.DUMMYFUNCTION("""COMPUTED_VALUE"""),42702.6666666666)</f>
        <v>42702.666666666599</v>
      </c>
      <c r="B294" s="1">
        <f ca="1">IFERROR(__xludf.DUMMYFUNCTION("""COMPUTED_VALUE"""),13.03)</f>
        <v>13.03</v>
      </c>
      <c r="C294" s="1">
        <f ca="1">IFERROR(__xludf.DUMMYFUNCTION("""COMPUTED_VALUE"""),13.29)</f>
        <v>13.29</v>
      </c>
      <c r="D294" s="1">
        <f ca="1">IFERROR(__xludf.DUMMYFUNCTION("""COMPUTED_VALUE"""),12.97)</f>
        <v>12.97</v>
      </c>
      <c r="E294" s="1">
        <f ca="1">IFERROR(__xludf.DUMMYFUNCTION("""COMPUTED_VALUE"""),13.07)</f>
        <v>13.07</v>
      </c>
      <c r="F294" s="1">
        <f ca="1">IFERROR(__xludf.DUMMYFUNCTION("""COMPUTED_VALUE"""),4529182)</f>
        <v>4529182</v>
      </c>
    </row>
    <row r="295" spans="1:6" x14ac:dyDescent="0.2">
      <c r="A295" s="2">
        <f ca="1">IFERROR(__xludf.DUMMYFUNCTION("""COMPUTED_VALUE"""),42703.6666666666)</f>
        <v>42703.666666666599</v>
      </c>
      <c r="B295" s="1">
        <f ca="1">IFERROR(__xludf.DUMMYFUNCTION("""COMPUTED_VALUE"""),13.04)</f>
        <v>13.04</v>
      </c>
      <c r="C295" s="1">
        <f ca="1">IFERROR(__xludf.DUMMYFUNCTION("""COMPUTED_VALUE"""),13.12)</f>
        <v>13.12</v>
      </c>
      <c r="D295" s="1">
        <f ca="1">IFERROR(__xludf.DUMMYFUNCTION("""COMPUTED_VALUE"""),12.63)</f>
        <v>12.63</v>
      </c>
      <c r="E295" s="1">
        <f ca="1">IFERROR(__xludf.DUMMYFUNCTION("""COMPUTED_VALUE"""),12.64)</f>
        <v>12.64</v>
      </c>
      <c r="F295" s="1">
        <f ca="1">IFERROR(__xludf.DUMMYFUNCTION("""COMPUTED_VALUE"""),4439256)</f>
        <v>4439256</v>
      </c>
    </row>
    <row r="296" spans="1:6" x14ac:dyDescent="0.2">
      <c r="A296" s="2">
        <f ca="1">IFERROR(__xludf.DUMMYFUNCTION("""COMPUTED_VALUE"""),42704.6666666666)</f>
        <v>42704.666666666599</v>
      </c>
      <c r="B296" s="1">
        <f ca="1">IFERROR(__xludf.DUMMYFUNCTION("""COMPUTED_VALUE"""),12.73)</f>
        <v>12.73</v>
      </c>
      <c r="C296" s="1">
        <f ca="1">IFERROR(__xludf.DUMMYFUNCTION("""COMPUTED_VALUE"""),12.79)</f>
        <v>12.79</v>
      </c>
      <c r="D296" s="1">
        <f ca="1">IFERROR(__xludf.DUMMYFUNCTION("""COMPUTED_VALUE"""),12.5)</f>
        <v>12.5</v>
      </c>
      <c r="E296" s="1">
        <f ca="1">IFERROR(__xludf.DUMMYFUNCTION("""COMPUTED_VALUE"""),12.63)</f>
        <v>12.63</v>
      </c>
      <c r="F296" s="1">
        <f ca="1">IFERROR(__xludf.DUMMYFUNCTION("""COMPUTED_VALUE"""),3547104)</f>
        <v>3547104</v>
      </c>
    </row>
    <row r="297" spans="1:6" x14ac:dyDescent="0.2">
      <c r="A297" s="2">
        <f ca="1">IFERROR(__xludf.DUMMYFUNCTION("""COMPUTED_VALUE"""),42705.6666666666)</f>
        <v>42705.666666666599</v>
      </c>
      <c r="B297" s="1">
        <f ca="1">IFERROR(__xludf.DUMMYFUNCTION("""COMPUTED_VALUE"""),12.55)</f>
        <v>12.55</v>
      </c>
      <c r="C297" s="1">
        <f ca="1">IFERROR(__xludf.DUMMYFUNCTION("""COMPUTED_VALUE"""),12.57)</f>
        <v>12.57</v>
      </c>
      <c r="D297" s="1">
        <f ca="1">IFERROR(__xludf.DUMMYFUNCTION("""COMPUTED_VALUE"""),12.07)</f>
        <v>12.07</v>
      </c>
      <c r="E297" s="1">
        <f ca="1">IFERROR(__xludf.DUMMYFUNCTION("""COMPUTED_VALUE"""),12.13)</f>
        <v>12.13</v>
      </c>
      <c r="F297" s="1">
        <f ca="1">IFERROR(__xludf.DUMMYFUNCTION("""COMPUTED_VALUE"""),5126401)</f>
        <v>5126401</v>
      </c>
    </row>
    <row r="298" spans="1:6" x14ac:dyDescent="0.2">
      <c r="A298" s="2">
        <f ca="1">IFERROR(__xludf.DUMMYFUNCTION("""COMPUTED_VALUE"""),42706.6666666666)</f>
        <v>42706.666666666599</v>
      </c>
      <c r="B298" s="1">
        <f ca="1">IFERROR(__xludf.DUMMYFUNCTION("""COMPUTED_VALUE"""),12.19)</f>
        <v>12.19</v>
      </c>
      <c r="C298" s="1">
        <f ca="1">IFERROR(__xludf.DUMMYFUNCTION("""COMPUTED_VALUE"""),12.33)</f>
        <v>12.33</v>
      </c>
      <c r="D298" s="1">
        <f ca="1">IFERROR(__xludf.DUMMYFUNCTION("""COMPUTED_VALUE"""),12)</f>
        <v>12</v>
      </c>
      <c r="E298" s="1">
        <f ca="1">IFERROR(__xludf.DUMMYFUNCTION("""COMPUTED_VALUE"""),12.1)</f>
        <v>12.1</v>
      </c>
      <c r="F298" s="1">
        <f ca="1">IFERROR(__xludf.DUMMYFUNCTION("""COMPUTED_VALUE"""),4042324)</f>
        <v>4042324</v>
      </c>
    </row>
    <row r="299" spans="1:6" x14ac:dyDescent="0.2">
      <c r="A299" s="2">
        <f ca="1">IFERROR(__xludf.DUMMYFUNCTION("""COMPUTED_VALUE"""),42709.6666666666)</f>
        <v>42709.666666666599</v>
      </c>
      <c r="B299" s="1">
        <f ca="1">IFERROR(__xludf.DUMMYFUNCTION("""COMPUTED_VALUE"""),12.17)</f>
        <v>12.17</v>
      </c>
      <c r="C299" s="1">
        <f ca="1">IFERROR(__xludf.DUMMYFUNCTION("""COMPUTED_VALUE"""),12.59)</f>
        <v>12.59</v>
      </c>
      <c r="D299" s="1">
        <f ca="1">IFERROR(__xludf.DUMMYFUNCTION("""COMPUTED_VALUE"""),12.17)</f>
        <v>12.17</v>
      </c>
      <c r="E299" s="1">
        <f ca="1">IFERROR(__xludf.DUMMYFUNCTION("""COMPUTED_VALUE"""),12.45)</f>
        <v>12.45</v>
      </c>
      <c r="F299" s="1">
        <f ca="1">IFERROR(__xludf.DUMMYFUNCTION("""COMPUTED_VALUE"""),4072239)</f>
        <v>4072239</v>
      </c>
    </row>
    <row r="300" spans="1:6" x14ac:dyDescent="0.2">
      <c r="A300" s="2">
        <f ca="1">IFERROR(__xludf.DUMMYFUNCTION("""COMPUTED_VALUE"""),42710.6666666666)</f>
        <v>42710.666666666599</v>
      </c>
      <c r="B300" s="1">
        <f ca="1">IFERROR(__xludf.DUMMYFUNCTION("""COMPUTED_VALUE"""),12.37)</f>
        <v>12.37</v>
      </c>
      <c r="C300" s="1">
        <f ca="1">IFERROR(__xludf.DUMMYFUNCTION("""COMPUTED_VALUE"""),12.44)</f>
        <v>12.44</v>
      </c>
      <c r="D300" s="1">
        <f ca="1">IFERROR(__xludf.DUMMYFUNCTION("""COMPUTED_VALUE"""),12.18)</f>
        <v>12.18</v>
      </c>
      <c r="E300" s="1">
        <f ca="1">IFERROR(__xludf.DUMMYFUNCTION("""COMPUTED_VALUE"""),12.39)</f>
        <v>12.39</v>
      </c>
      <c r="F300" s="1">
        <f ca="1">IFERROR(__xludf.DUMMYFUNCTION("""COMPUTED_VALUE"""),3391622)</f>
        <v>3391622</v>
      </c>
    </row>
    <row r="301" spans="1:6" x14ac:dyDescent="0.2">
      <c r="A301" s="2">
        <f ca="1">IFERROR(__xludf.DUMMYFUNCTION("""COMPUTED_VALUE"""),42711.6666666666)</f>
        <v>42711.666666666599</v>
      </c>
      <c r="B301" s="1">
        <f ca="1">IFERROR(__xludf.DUMMYFUNCTION("""COMPUTED_VALUE"""),12.41)</f>
        <v>12.41</v>
      </c>
      <c r="C301" s="1">
        <f ca="1">IFERROR(__xludf.DUMMYFUNCTION("""COMPUTED_VALUE"""),12.89)</f>
        <v>12.89</v>
      </c>
      <c r="D301" s="1">
        <f ca="1">IFERROR(__xludf.DUMMYFUNCTION("""COMPUTED_VALUE"""),12.33)</f>
        <v>12.33</v>
      </c>
      <c r="E301" s="1">
        <f ca="1">IFERROR(__xludf.DUMMYFUNCTION("""COMPUTED_VALUE"""),12.88)</f>
        <v>12.88</v>
      </c>
      <c r="F301" s="1">
        <f ca="1">IFERROR(__xludf.DUMMYFUNCTION("""COMPUTED_VALUE"""),5461851)</f>
        <v>5461851</v>
      </c>
    </row>
    <row r="302" spans="1:6" x14ac:dyDescent="0.2">
      <c r="A302" s="2">
        <f ca="1">IFERROR(__xludf.DUMMYFUNCTION("""COMPUTED_VALUE"""),42712.6666666666)</f>
        <v>42712.666666666599</v>
      </c>
      <c r="B302" s="1">
        <f ca="1">IFERROR(__xludf.DUMMYFUNCTION("""COMPUTED_VALUE"""),12.8)</f>
        <v>12.8</v>
      </c>
      <c r="C302" s="1">
        <f ca="1">IFERROR(__xludf.DUMMYFUNCTION("""COMPUTED_VALUE"""),12.83)</f>
        <v>12.83</v>
      </c>
      <c r="D302" s="1">
        <f ca="1">IFERROR(__xludf.DUMMYFUNCTION("""COMPUTED_VALUE"""),12.64)</f>
        <v>12.64</v>
      </c>
      <c r="E302" s="1">
        <f ca="1">IFERROR(__xludf.DUMMYFUNCTION("""COMPUTED_VALUE"""),12.82)</f>
        <v>12.82</v>
      </c>
      <c r="F302" s="1">
        <f ca="1">IFERROR(__xludf.DUMMYFUNCTION("""COMPUTED_VALUE"""),3194148)</f>
        <v>3194148</v>
      </c>
    </row>
    <row r="303" spans="1:6" x14ac:dyDescent="0.2">
      <c r="A303" s="2">
        <f ca="1">IFERROR(__xludf.DUMMYFUNCTION("""COMPUTED_VALUE"""),42713.6666666666)</f>
        <v>42713.666666666599</v>
      </c>
      <c r="B303" s="1">
        <f ca="1">IFERROR(__xludf.DUMMYFUNCTION("""COMPUTED_VALUE"""),12.72)</f>
        <v>12.72</v>
      </c>
      <c r="C303" s="1">
        <f ca="1">IFERROR(__xludf.DUMMYFUNCTION("""COMPUTED_VALUE"""),12.92)</f>
        <v>12.92</v>
      </c>
      <c r="D303" s="1">
        <f ca="1">IFERROR(__xludf.DUMMYFUNCTION("""COMPUTED_VALUE"""),12.72)</f>
        <v>12.72</v>
      </c>
      <c r="E303" s="1">
        <f ca="1">IFERROR(__xludf.DUMMYFUNCTION("""COMPUTED_VALUE"""),12.81)</f>
        <v>12.81</v>
      </c>
      <c r="F303" s="1">
        <f ca="1">IFERROR(__xludf.DUMMYFUNCTION("""COMPUTED_VALUE"""),2722505)</f>
        <v>2722505</v>
      </c>
    </row>
    <row r="304" spans="1:6" x14ac:dyDescent="0.2">
      <c r="A304" s="2">
        <f ca="1">IFERROR(__xludf.DUMMYFUNCTION("""COMPUTED_VALUE"""),42716.6666666666)</f>
        <v>42716.666666666599</v>
      </c>
      <c r="B304" s="1">
        <f ca="1">IFERROR(__xludf.DUMMYFUNCTION("""COMPUTED_VALUE"""),12.85)</f>
        <v>12.85</v>
      </c>
      <c r="C304" s="1">
        <f ca="1">IFERROR(__xludf.DUMMYFUNCTION("""COMPUTED_VALUE"""),12.96)</f>
        <v>12.96</v>
      </c>
      <c r="D304" s="1">
        <f ca="1">IFERROR(__xludf.DUMMYFUNCTION("""COMPUTED_VALUE"""),12.74)</f>
        <v>12.74</v>
      </c>
      <c r="E304" s="1">
        <f ca="1">IFERROR(__xludf.DUMMYFUNCTION("""COMPUTED_VALUE"""),12.83)</f>
        <v>12.83</v>
      </c>
      <c r="F304" s="1">
        <f ca="1">IFERROR(__xludf.DUMMYFUNCTION("""COMPUTED_VALUE"""),2438876)</f>
        <v>2438876</v>
      </c>
    </row>
    <row r="305" spans="1:6" x14ac:dyDescent="0.2">
      <c r="A305" s="2">
        <f ca="1">IFERROR(__xludf.DUMMYFUNCTION("""COMPUTED_VALUE"""),42717.6666666666)</f>
        <v>42717.666666666599</v>
      </c>
      <c r="B305" s="1">
        <f ca="1">IFERROR(__xludf.DUMMYFUNCTION("""COMPUTED_VALUE"""),12.88)</f>
        <v>12.88</v>
      </c>
      <c r="C305" s="1">
        <f ca="1">IFERROR(__xludf.DUMMYFUNCTION("""COMPUTED_VALUE"""),13.42)</f>
        <v>13.42</v>
      </c>
      <c r="D305" s="1">
        <f ca="1">IFERROR(__xludf.DUMMYFUNCTION("""COMPUTED_VALUE"""),12.87)</f>
        <v>12.87</v>
      </c>
      <c r="E305" s="1">
        <f ca="1">IFERROR(__xludf.DUMMYFUNCTION("""COMPUTED_VALUE"""),13.21)</f>
        <v>13.21</v>
      </c>
      <c r="F305" s="1">
        <f ca="1">IFERROR(__xludf.DUMMYFUNCTION("""COMPUTED_VALUE"""),6823884)</f>
        <v>6823884</v>
      </c>
    </row>
    <row r="306" spans="1:6" x14ac:dyDescent="0.2">
      <c r="A306" s="2">
        <f ca="1">IFERROR(__xludf.DUMMYFUNCTION("""COMPUTED_VALUE"""),42718.6666666666)</f>
        <v>42718.666666666599</v>
      </c>
      <c r="B306" s="1">
        <f ca="1">IFERROR(__xludf.DUMMYFUNCTION("""COMPUTED_VALUE"""),13.25)</f>
        <v>13.25</v>
      </c>
      <c r="C306" s="1">
        <f ca="1">IFERROR(__xludf.DUMMYFUNCTION("""COMPUTED_VALUE"""),13.53)</f>
        <v>13.53</v>
      </c>
      <c r="D306" s="1">
        <f ca="1">IFERROR(__xludf.DUMMYFUNCTION("""COMPUTED_VALUE"""),13.12)</f>
        <v>13.12</v>
      </c>
      <c r="E306" s="1">
        <f ca="1">IFERROR(__xludf.DUMMYFUNCTION("""COMPUTED_VALUE"""),13.25)</f>
        <v>13.25</v>
      </c>
      <c r="F306" s="1">
        <f ca="1">IFERROR(__xludf.DUMMYFUNCTION("""COMPUTED_VALUE"""),4150927)</f>
        <v>4150927</v>
      </c>
    </row>
    <row r="307" spans="1:6" x14ac:dyDescent="0.2">
      <c r="A307" s="2">
        <f ca="1">IFERROR(__xludf.DUMMYFUNCTION("""COMPUTED_VALUE"""),42719.6666666666)</f>
        <v>42719.666666666599</v>
      </c>
      <c r="B307" s="1">
        <f ca="1">IFERROR(__xludf.DUMMYFUNCTION("""COMPUTED_VALUE"""),13.23)</f>
        <v>13.23</v>
      </c>
      <c r="C307" s="1">
        <f ca="1">IFERROR(__xludf.DUMMYFUNCTION("""COMPUTED_VALUE"""),13.38)</f>
        <v>13.38</v>
      </c>
      <c r="D307" s="1">
        <f ca="1">IFERROR(__xludf.DUMMYFUNCTION("""COMPUTED_VALUE"""),13.16)</f>
        <v>13.16</v>
      </c>
      <c r="E307" s="1">
        <f ca="1">IFERROR(__xludf.DUMMYFUNCTION("""COMPUTED_VALUE"""),13.17)</f>
        <v>13.17</v>
      </c>
      <c r="F307" s="1">
        <f ca="1">IFERROR(__xludf.DUMMYFUNCTION("""COMPUTED_VALUE"""),3219567)</f>
        <v>3219567</v>
      </c>
    </row>
    <row r="308" spans="1:6" x14ac:dyDescent="0.2">
      <c r="A308" s="2">
        <f ca="1">IFERROR(__xludf.DUMMYFUNCTION("""COMPUTED_VALUE"""),42720.6666666666)</f>
        <v>42720.666666666599</v>
      </c>
      <c r="B308" s="1">
        <f ca="1">IFERROR(__xludf.DUMMYFUNCTION("""COMPUTED_VALUE"""),13.21)</f>
        <v>13.21</v>
      </c>
      <c r="C308" s="1">
        <f ca="1">IFERROR(__xludf.DUMMYFUNCTION("""COMPUTED_VALUE"""),13.51)</f>
        <v>13.51</v>
      </c>
      <c r="D308" s="1">
        <f ca="1">IFERROR(__xludf.DUMMYFUNCTION("""COMPUTED_VALUE"""),13.17)</f>
        <v>13.17</v>
      </c>
      <c r="E308" s="1">
        <f ca="1">IFERROR(__xludf.DUMMYFUNCTION("""COMPUTED_VALUE"""),13.5)</f>
        <v>13.5</v>
      </c>
      <c r="F308" s="1">
        <f ca="1">IFERROR(__xludf.DUMMYFUNCTION("""COMPUTED_VALUE"""),3796889)</f>
        <v>3796889</v>
      </c>
    </row>
    <row r="309" spans="1:6" x14ac:dyDescent="0.2">
      <c r="A309" s="2">
        <f ca="1">IFERROR(__xludf.DUMMYFUNCTION("""COMPUTED_VALUE"""),42723.6666666666)</f>
        <v>42723.666666666599</v>
      </c>
      <c r="B309" s="1">
        <f ca="1">IFERROR(__xludf.DUMMYFUNCTION("""COMPUTED_VALUE"""),13.5)</f>
        <v>13.5</v>
      </c>
      <c r="C309" s="1">
        <f ca="1">IFERROR(__xludf.DUMMYFUNCTION("""COMPUTED_VALUE"""),13.63)</f>
        <v>13.63</v>
      </c>
      <c r="D309" s="1">
        <f ca="1">IFERROR(__xludf.DUMMYFUNCTION("""COMPUTED_VALUE"""),13.32)</f>
        <v>13.32</v>
      </c>
      <c r="E309" s="1">
        <f ca="1">IFERROR(__xludf.DUMMYFUNCTION("""COMPUTED_VALUE"""),13.52)</f>
        <v>13.52</v>
      </c>
      <c r="F309" s="1">
        <f ca="1">IFERROR(__xludf.DUMMYFUNCTION("""COMPUTED_VALUE"""),3488071)</f>
        <v>3488071</v>
      </c>
    </row>
    <row r="310" spans="1:6" x14ac:dyDescent="0.2">
      <c r="A310" s="2">
        <f ca="1">IFERROR(__xludf.DUMMYFUNCTION("""COMPUTED_VALUE"""),42724.6666666666)</f>
        <v>42724.666666666599</v>
      </c>
      <c r="B310" s="1">
        <f ca="1">IFERROR(__xludf.DUMMYFUNCTION("""COMPUTED_VALUE"""),13.54)</f>
        <v>13.54</v>
      </c>
      <c r="C310" s="1">
        <f ca="1">IFERROR(__xludf.DUMMYFUNCTION("""COMPUTED_VALUE"""),13.93)</f>
        <v>13.93</v>
      </c>
      <c r="D310" s="1">
        <f ca="1">IFERROR(__xludf.DUMMYFUNCTION("""COMPUTED_VALUE"""),13.5)</f>
        <v>13.5</v>
      </c>
      <c r="E310" s="1">
        <f ca="1">IFERROR(__xludf.DUMMYFUNCTION("""COMPUTED_VALUE"""),13.92)</f>
        <v>13.92</v>
      </c>
      <c r="F310" s="1">
        <f ca="1">IFERROR(__xludf.DUMMYFUNCTION("""COMPUTED_VALUE"""),4689071)</f>
        <v>4689071</v>
      </c>
    </row>
    <row r="311" spans="1:6" x14ac:dyDescent="0.2">
      <c r="A311" s="2">
        <f ca="1">IFERROR(__xludf.DUMMYFUNCTION("""COMPUTED_VALUE"""),42725.6666666666)</f>
        <v>42725.666666666599</v>
      </c>
      <c r="B311" s="1">
        <f ca="1">IFERROR(__xludf.DUMMYFUNCTION("""COMPUTED_VALUE"""),13.9)</f>
        <v>13.9</v>
      </c>
      <c r="C311" s="1">
        <f ca="1">IFERROR(__xludf.DUMMYFUNCTION("""COMPUTED_VALUE"""),14.15)</f>
        <v>14.15</v>
      </c>
      <c r="D311" s="1">
        <f ca="1">IFERROR(__xludf.DUMMYFUNCTION("""COMPUTED_VALUE"""),13.83)</f>
        <v>13.83</v>
      </c>
      <c r="E311" s="1">
        <f ca="1">IFERROR(__xludf.DUMMYFUNCTION("""COMPUTED_VALUE"""),13.85)</f>
        <v>13.85</v>
      </c>
      <c r="F311" s="1">
        <f ca="1">IFERROR(__xludf.DUMMYFUNCTION("""COMPUTED_VALUE"""),5207622)</f>
        <v>5207622</v>
      </c>
    </row>
    <row r="312" spans="1:6" x14ac:dyDescent="0.2">
      <c r="A312" s="2">
        <f ca="1">IFERROR(__xludf.DUMMYFUNCTION("""COMPUTED_VALUE"""),42726.6666666666)</f>
        <v>42726.666666666599</v>
      </c>
      <c r="B312" s="1">
        <f ca="1">IFERROR(__xludf.DUMMYFUNCTION("""COMPUTED_VALUE"""),13.88)</f>
        <v>13.88</v>
      </c>
      <c r="C312" s="1">
        <f ca="1">IFERROR(__xludf.DUMMYFUNCTION("""COMPUTED_VALUE"""),14)</f>
        <v>14</v>
      </c>
      <c r="D312" s="1">
        <f ca="1">IFERROR(__xludf.DUMMYFUNCTION("""COMPUTED_VALUE"""),13.77)</f>
        <v>13.77</v>
      </c>
      <c r="E312" s="1">
        <f ca="1">IFERROR(__xludf.DUMMYFUNCTION("""COMPUTED_VALUE"""),13.9)</f>
        <v>13.9</v>
      </c>
      <c r="F312" s="1">
        <f ca="1">IFERROR(__xludf.DUMMYFUNCTION("""COMPUTED_VALUE"""),3111108)</f>
        <v>3111108</v>
      </c>
    </row>
    <row r="313" spans="1:6" x14ac:dyDescent="0.2">
      <c r="A313" s="2">
        <f ca="1">IFERROR(__xludf.DUMMYFUNCTION("""COMPUTED_VALUE"""),42727.6666666666)</f>
        <v>42727.666666666599</v>
      </c>
      <c r="B313" s="1">
        <f ca="1">IFERROR(__xludf.DUMMYFUNCTION("""COMPUTED_VALUE"""),13.87)</f>
        <v>13.87</v>
      </c>
      <c r="C313" s="1">
        <f ca="1">IFERROR(__xludf.DUMMYFUNCTION("""COMPUTED_VALUE"""),14.23)</f>
        <v>14.23</v>
      </c>
      <c r="D313" s="1">
        <f ca="1">IFERROR(__xludf.DUMMYFUNCTION("""COMPUTED_VALUE"""),13.85)</f>
        <v>13.85</v>
      </c>
      <c r="E313" s="1">
        <f ca="1">IFERROR(__xludf.DUMMYFUNCTION("""COMPUTED_VALUE"""),14.22)</f>
        <v>14.22</v>
      </c>
      <c r="F313" s="1">
        <f ca="1">IFERROR(__xludf.DUMMYFUNCTION("""COMPUTED_VALUE"""),4670464)</f>
        <v>4670464</v>
      </c>
    </row>
    <row r="314" spans="1:6" x14ac:dyDescent="0.2">
      <c r="A314" s="2">
        <f ca="1">IFERROR(__xludf.DUMMYFUNCTION("""COMPUTED_VALUE"""),42731.6666666666)</f>
        <v>42731.666666666599</v>
      </c>
      <c r="B314" s="1">
        <f ca="1">IFERROR(__xludf.DUMMYFUNCTION("""COMPUTED_VALUE"""),14.33)</f>
        <v>14.33</v>
      </c>
      <c r="C314" s="1">
        <f ca="1">IFERROR(__xludf.DUMMYFUNCTION("""COMPUTED_VALUE"""),14.82)</f>
        <v>14.82</v>
      </c>
      <c r="D314" s="1">
        <f ca="1">IFERROR(__xludf.DUMMYFUNCTION("""COMPUTED_VALUE"""),14.29)</f>
        <v>14.29</v>
      </c>
      <c r="E314" s="1">
        <f ca="1">IFERROR(__xludf.DUMMYFUNCTION("""COMPUTED_VALUE"""),14.64)</f>
        <v>14.64</v>
      </c>
      <c r="F314" s="1">
        <f ca="1">IFERROR(__xludf.DUMMYFUNCTION("""COMPUTED_VALUE"""),5915732)</f>
        <v>5915732</v>
      </c>
    </row>
    <row r="315" spans="1:6" x14ac:dyDescent="0.2">
      <c r="A315" s="2">
        <f ca="1">IFERROR(__xludf.DUMMYFUNCTION("""COMPUTED_VALUE"""),42732.6666666666)</f>
        <v>42732.666666666599</v>
      </c>
      <c r="B315" s="1">
        <f ca="1">IFERROR(__xludf.DUMMYFUNCTION("""COMPUTED_VALUE"""),14.77)</f>
        <v>14.77</v>
      </c>
      <c r="C315" s="1">
        <f ca="1">IFERROR(__xludf.DUMMYFUNCTION("""COMPUTED_VALUE"""),14.92)</f>
        <v>14.92</v>
      </c>
      <c r="D315" s="1">
        <f ca="1">IFERROR(__xludf.DUMMYFUNCTION("""COMPUTED_VALUE"""),14.48)</f>
        <v>14.48</v>
      </c>
      <c r="E315" s="1">
        <f ca="1">IFERROR(__xludf.DUMMYFUNCTION("""COMPUTED_VALUE"""),14.65)</f>
        <v>14.65</v>
      </c>
      <c r="F315" s="1">
        <f ca="1">IFERROR(__xludf.DUMMYFUNCTION("""COMPUTED_VALUE"""),3782456)</f>
        <v>3782456</v>
      </c>
    </row>
    <row r="316" spans="1:6" x14ac:dyDescent="0.2">
      <c r="A316" s="2">
        <f ca="1">IFERROR(__xludf.DUMMYFUNCTION("""COMPUTED_VALUE"""),42733.6666666666)</f>
        <v>42733.666666666599</v>
      </c>
      <c r="B316" s="1">
        <f ca="1">IFERROR(__xludf.DUMMYFUNCTION("""COMPUTED_VALUE"""),14.57)</f>
        <v>14.57</v>
      </c>
      <c r="C316" s="1">
        <f ca="1">IFERROR(__xludf.DUMMYFUNCTION("""COMPUTED_VALUE"""),14.61)</f>
        <v>14.61</v>
      </c>
      <c r="D316" s="1">
        <f ca="1">IFERROR(__xludf.DUMMYFUNCTION("""COMPUTED_VALUE"""),14.27)</f>
        <v>14.27</v>
      </c>
      <c r="E316" s="1">
        <f ca="1">IFERROR(__xludf.DUMMYFUNCTION("""COMPUTED_VALUE"""),14.31)</f>
        <v>14.31</v>
      </c>
      <c r="F316" s="1">
        <f ca="1">IFERROR(__xludf.DUMMYFUNCTION("""COMPUTED_VALUE"""),4044968)</f>
        <v>4044968</v>
      </c>
    </row>
    <row r="317" spans="1:6" x14ac:dyDescent="0.2">
      <c r="A317" s="2">
        <f ca="1">IFERROR(__xludf.DUMMYFUNCTION("""COMPUTED_VALUE"""),42734.6666666666)</f>
        <v>42734.666666666599</v>
      </c>
      <c r="B317" s="1">
        <f ca="1">IFERROR(__xludf.DUMMYFUNCTION("""COMPUTED_VALUE"""),14.42)</f>
        <v>14.42</v>
      </c>
      <c r="C317" s="1">
        <f ca="1">IFERROR(__xludf.DUMMYFUNCTION("""COMPUTED_VALUE"""),14.5)</f>
        <v>14.5</v>
      </c>
      <c r="D317" s="1">
        <f ca="1">IFERROR(__xludf.DUMMYFUNCTION("""COMPUTED_VALUE"""),14.11)</f>
        <v>14.11</v>
      </c>
      <c r="E317" s="1">
        <f ca="1">IFERROR(__xludf.DUMMYFUNCTION("""COMPUTED_VALUE"""),14.25)</f>
        <v>14.25</v>
      </c>
      <c r="F317" s="1">
        <f ca="1">IFERROR(__xludf.DUMMYFUNCTION("""COMPUTED_VALUE"""),4642620)</f>
        <v>4642620</v>
      </c>
    </row>
    <row r="318" spans="1:6" x14ac:dyDescent="0.2">
      <c r="A318" s="2">
        <f ca="1">IFERROR(__xludf.DUMMYFUNCTION("""COMPUTED_VALUE"""),42738.6666666666)</f>
        <v>42738.666666666599</v>
      </c>
      <c r="B318" s="1">
        <f ca="1">IFERROR(__xludf.DUMMYFUNCTION("""COMPUTED_VALUE"""),14.32)</f>
        <v>14.32</v>
      </c>
      <c r="C318" s="1">
        <f ca="1">IFERROR(__xludf.DUMMYFUNCTION("""COMPUTED_VALUE"""),14.69)</f>
        <v>14.69</v>
      </c>
      <c r="D318" s="1">
        <f ca="1">IFERROR(__xludf.DUMMYFUNCTION("""COMPUTED_VALUE"""),14.06)</f>
        <v>14.06</v>
      </c>
      <c r="E318" s="1">
        <f ca="1">IFERROR(__xludf.DUMMYFUNCTION("""COMPUTED_VALUE"""),14.47)</f>
        <v>14.47</v>
      </c>
      <c r="F318" s="1">
        <f ca="1">IFERROR(__xludf.DUMMYFUNCTION("""COMPUTED_VALUE"""),5923254)</f>
        <v>5923254</v>
      </c>
    </row>
    <row r="319" spans="1:6" x14ac:dyDescent="0.2">
      <c r="A319" s="2">
        <f ca="1">IFERROR(__xludf.DUMMYFUNCTION("""COMPUTED_VALUE"""),42739.6666666666)</f>
        <v>42739.666666666599</v>
      </c>
      <c r="B319" s="1">
        <f ca="1">IFERROR(__xludf.DUMMYFUNCTION("""COMPUTED_VALUE"""),14.32)</f>
        <v>14.32</v>
      </c>
      <c r="C319" s="1">
        <f ca="1">IFERROR(__xludf.DUMMYFUNCTION("""COMPUTED_VALUE"""),15.2)</f>
        <v>15.2</v>
      </c>
      <c r="D319" s="1">
        <f ca="1">IFERROR(__xludf.DUMMYFUNCTION("""COMPUTED_VALUE"""),14.29)</f>
        <v>14.29</v>
      </c>
      <c r="E319" s="1">
        <f ca="1">IFERROR(__xludf.DUMMYFUNCTION("""COMPUTED_VALUE"""),15.13)</f>
        <v>15.13</v>
      </c>
      <c r="F319" s="1">
        <f ca="1">IFERROR(__xludf.DUMMYFUNCTION("""COMPUTED_VALUE"""),11213471)</f>
        <v>11213471</v>
      </c>
    </row>
    <row r="320" spans="1:6" x14ac:dyDescent="0.2">
      <c r="A320" s="2">
        <f ca="1">IFERROR(__xludf.DUMMYFUNCTION("""COMPUTED_VALUE"""),42740.6666666666)</f>
        <v>42740.666666666599</v>
      </c>
      <c r="B320" s="1">
        <f ca="1">IFERROR(__xludf.DUMMYFUNCTION("""COMPUTED_VALUE"""),15.09)</f>
        <v>15.09</v>
      </c>
      <c r="C320" s="1">
        <f ca="1">IFERROR(__xludf.DUMMYFUNCTION("""COMPUTED_VALUE"""),15.17)</f>
        <v>15.17</v>
      </c>
      <c r="D320" s="1">
        <f ca="1">IFERROR(__xludf.DUMMYFUNCTION("""COMPUTED_VALUE"""),14.8)</f>
        <v>14.8</v>
      </c>
      <c r="E320" s="1">
        <f ca="1">IFERROR(__xludf.DUMMYFUNCTION("""COMPUTED_VALUE"""),15.12)</f>
        <v>15.12</v>
      </c>
      <c r="F320" s="1">
        <f ca="1">IFERROR(__xludf.DUMMYFUNCTION("""COMPUTED_VALUE"""),5911695)</f>
        <v>5911695</v>
      </c>
    </row>
    <row r="321" spans="1:6" x14ac:dyDescent="0.2">
      <c r="A321" s="2">
        <f ca="1">IFERROR(__xludf.DUMMYFUNCTION("""COMPUTED_VALUE"""),42741.6666666666)</f>
        <v>42741.666666666599</v>
      </c>
      <c r="B321" s="1">
        <f ca="1">IFERROR(__xludf.DUMMYFUNCTION("""COMPUTED_VALUE"""),15.13)</f>
        <v>15.13</v>
      </c>
      <c r="C321" s="1">
        <f ca="1">IFERROR(__xludf.DUMMYFUNCTION("""COMPUTED_VALUE"""),15.35)</f>
        <v>15.35</v>
      </c>
      <c r="D321" s="1">
        <f ca="1">IFERROR(__xludf.DUMMYFUNCTION("""COMPUTED_VALUE"""),15.03)</f>
        <v>15.03</v>
      </c>
      <c r="E321" s="1">
        <f ca="1">IFERROR(__xludf.DUMMYFUNCTION("""COMPUTED_VALUE"""),15.27)</f>
        <v>15.27</v>
      </c>
      <c r="F321" s="1">
        <f ca="1">IFERROR(__xludf.DUMMYFUNCTION("""COMPUTED_VALUE"""),5527893)</f>
        <v>5527893</v>
      </c>
    </row>
    <row r="322" spans="1:6" x14ac:dyDescent="0.2">
      <c r="A322" s="2">
        <f ca="1">IFERROR(__xludf.DUMMYFUNCTION("""COMPUTED_VALUE"""),42744.6666666666)</f>
        <v>42744.666666666599</v>
      </c>
      <c r="B322" s="1">
        <f ca="1">IFERROR(__xludf.DUMMYFUNCTION("""COMPUTED_VALUE"""),15.26)</f>
        <v>15.26</v>
      </c>
      <c r="C322" s="1">
        <f ca="1">IFERROR(__xludf.DUMMYFUNCTION("""COMPUTED_VALUE"""),15.46)</f>
        <v>15.46</v>
      </c>
      <c r="D322" s="1">
        <f ca="1">IFERROR(__xludf.DUMMYFUNCTION("""COMPUTED_VALUE"""),15.2)</f>
        <v>15.2</v>
      </c>
      <c r="E322" s="1">
        <f ca="1">IFERROR(__xludf.DUMMYFUNCTION("""COMPUTED_VALUE"""),15.42)</f>
        <v>15.42</v>
      </c>
      <c r="F322" s="1">
        <f ca="1">IFERROR(__xludf.DUMMYFUNCTION("""COMPUTED_VALUE"""),3979484)</f>
        <v>3979484</v>
      </c>
    </row>
    <row r="323" spans="1:6" x14ac:dyDescent="0.2">
      <c r="A323" s="2">
        <f ca="1">IFERROR(__xludf.DUMMYFUNCTION("""COMPUTED_VALUE"""),42745.6666666666)</f>
        <v>42745.666666666599</v>
      </c>
      <c r="B323" s="1">
        <f ca="1">IFERROR(__xludf.DUMMYFUNCTION("""COMPUTED_VALUE"""),15.47)</f>
        <v>15.47</v>
      </c>
      <c r="C323" s="1">
        <f ca="1">IFERROR(__xludf.DUMMYFUNCTION("""COMPUTED_VALUE"""),15.47)</f>
        <v>15.47</v>
      </c>
      <c r="D323" s="1">
        <f ca="1">IFERROR(__xludf.DUMMYFUNCTION("""COMPUTED_VALUE"""),15.13)</f>
        <v>15.13</v>
      </c>
      <c r="E323" s="1">
        <f ca="1">IFERROR(__xludf.DUMMYFUNCTION("""COMPUTED_VALUE"""),15.32)</f>
        <v>15.32</v>
      </c>
      <c r="F323" s="1">
        <f ca="1">IFERROR(__xludf.DUMMYFUNCTION("""COMPUTED_VALUE"""),3659955)</f>
        <v>3659955</v>
      </c>
    </row>
    <row r="324" spans="1:6" x14ac:dyDescent="0.2">
      <c r="A324" s="2">
        <f ca="1">IFERROR(__xludf.DUMMYFUNCTION("""COMPUTED_VALUE"""),42746.6666666666)</f>
        <v>42746.666666666599</v>
      </c>
      <c r="B324" s="1">
        <f ca="1">IFERROR(__xludf.DUMMYFUNCTION("""COMPUTED_VALUE"""),15.27)</f>
        <v>15.27</v>
      </c>
      <c r="C324" s="1">
        <f ca="1">IFERROR(__xludf.DUMMYFUNCTION("""COMPUTED_VALUE"""),15.33)</f>
        <v>15.33</v>
      </c>
      <c r="D324" s="1">
        <f ca="1">IFERROR(__xludf.DUMMYFUNCTION("""COMPUTED_VALUE"""),15.11)</f>
        <v>15.11</v>
      </c>
      <c r="E324" s="1">
        <f ca="1">IFERROR(__xludf.DUMMYFUNCTION("""COMPUTED_VALUE"""),15.32)</f>
        <v>15.32</v>
      </c>
      <c r="F324" s="1">
        <f ca="1">IFERROR(__xludf.DUMMYFUNCTION("""COMPUTED_VALUE"""),3650825)</f>
        <v>3650825</v>
      </c>
    </row>
    <row r="325" spans="1:6" x14ac:dyDescent="0.2">
      <c r="A325" s="2">
        <f ca="1">IFERROR(__xludf.DUMMYFUNCTION("""COMPUTED_VALUE"""),42747.6666666666)</f>
        <v>42747.666666666599</v>
      </c>
      <c r="B325" s="1">
        <f ca="1">IFERROR(__xludf.DUMMYFUNCTION("""COMPUTED_VALUE"""),15.27)</f>
        <v>15.27</v>
      </c>
      <c r="C325" s="1">
        <f ca="1">IFERROR(__xludf.DUMMYFUNCTION("""COMPUTED_VALUE"""),15.38)</f>
        <v>15.38</v>
      </c>
      <c r="D325" s="1">
        <f ca="1">IFERROR(__xludf.DUMMYFUNCTION("""COMPUTED_VALUE"""),15.04)</f>
        <v>15.04</v>
      </c>
      <c r="E325" s="1">
        <f ca="1">IFERROR(__xludf.DUMMYFUNCTION("""COMPUTED_VALUE"""),15.31)</f>
        <v>15.31</v>
      </c>
      <c r="F325" s="1">
        <f ca="1">IFERROR(__xludf.DUMMYFUNCTION("""COMPUTED_VALUE"""),3790229)</f>
        <v>3790229</v>
      </c>
    </row>
    <row r="326" spans="1:6" x14ac:dyDescent="0.2">
      <c r="A326" s="2">
        <f ca="1">IFERROR(__xludf.DUMMYFUNCTION("""COMPUTED_VALUE"""),42748.6666666666)</f>
        <v>42748.666666666599</v>
      </c>
      <c r="B326" s="1">
        <f ca="1">IFERROR(__xludf.DUMMYFUNCTION("""COMPUTED_VALUE"""),15.33)</f>
        <v>15.33</v>
      </c>
      <c r="C326" s="1">
        <f ca="1">IFERROR(__xludf.DUMMYFUNCTION("""COMPUTED_VALUE"""),15.86)</f>
        <v>15.86</v>
      </c>
      <c r="D326" s="1">
        <f ca="1">IFERROR(__xludf.DUMMYFUNCTION("""COMPUTED_VALUE"""),15.31)</f>
        <v>15.31</v>
      </c>
      <c r="E326" s="1">
        <f ca="1">IFERROR(__xludf.DUMMYFUNCTION("""COMPUTED_VALUE"""),15.85)</f>
        <v>15.85</v>
      </c>
      <c r="F326" s="1">
        <f ca="1">IFERROR(__xludf.DUMMYFUNCTION("""COMPUTED_VALUE"""),6092960)</f>
        <v>6092960</v>
      </c>
    </row>
    <row r="327" spans="1:6" x14ac:dyDescent="0.2">
      <c r="A327" s="2">
        <f ca="1">IFERROR(__xludf.DUMMYFUNCTION("""COMPUTED_VALUE"""),42752.6666666666)</f>
        <v>42752.666666666599</v>
      </c>
      <c r="B327" s="1">
        <f ca="1">IFERROR(__xludf.DUMMYFUNCTION("""COMPUTED_VALUE"""),15.78)</f>
        <v>15.78</v>
      </c>
      <c r="C327" s="1">
        <f ca="1">IFERROR(__xludf.DUMMYFUNCTION("""COMPUTED_VALUE"""),16)</f>
        <v>16</v>
      </c>
      <c r="D327" s="1">
        <f ca="1">IFERROR(__xludf.DUMMYFUNCTION("""COMPUTED_VALUE"""),15.62)</f>
        <v>15.62</v>
      </c>
      <c r="E327" s="1">
        <f ca="1">IFERROR(__xludf.DUMMYFUNCTION("""COMPUTED_VALUE"""),15.71)</f>
        <v>15.71</v>
      </c>
      <c r="F327" s="1">
        <f ca="1">IFERROR(__xludf.DUMMYFUNCTION("""COMPUTED_VALUE"""),4617522)</f>
        <v>4617522</v>
      </c>
    </row>
    <row r="328" spans="1:6" x14ac:dyDescent="0.2">
      <c r="A328" s="2">
        <f ca="1">IFERROR(__xludf.DUMMYFUNCTION("""COMPUTED_VALUE"""),42753.6666666666)</f>
        <v>42753.666666666599</v>
      </c>
      <c r="B328" s="1">
        <f ca="1">IFERROR(__xludf.DUMMYFUNCTION("""COMPUTED_VALUE"""),15.78)</f>
        <v>15.78</v>
      </c>
      <c r="C328" s="1">
        <f ca="1">IFERROR(__xludf.DUMMYFUNCTION("""COMPUTED_VALUE"""),15.98)</f>
        <v>15.98</v>
      </c>
      <c r="D328" s="1">
        <f ca="1">IFERROR(__xludf.DUMMYFUNCTION("""COMPUTED_VALUE"""),15.71)</f>
        <v>15.71</v>
      </c>
      <c r="E328" s="1">
        <f ca="1">IFERROR(__xludf.DUMMYFUNCTION("""COMPUTED_VALUE"""),15.89)</f>
        <v>15.89</v>
      </c>
      <c r="F328" s="1">
        <f ca="1">IFERROR(__xludf.DUMMYFUNCTION("""COMPUTED_VALUE"""),3768967)</f>
        <v>3768967</v>
      </c>
    </row>
    <row r="329" spans="1:6" x14ac:dyDescent="0.2">
      <c r="A329" s="2">
        <f ca="1">IFERROR(__xludf.DUMMYFUNCTION("""COMPUTED_VALUE"""),42754.6666666666)</f>
        <v>42754.666666666599</v>
      </c>
      <c r="B329" s="1">
        <f ca="1">IFERROR(__xludf.DUMMYFUNCTION("""COMPUTED_VALUE"""),16.48)</f>
        <v>16.48</v>
      </c>
      <c r="C329" s="1">
        <f ca="1">IFERROR(__xludf.DUMMYFUNCTION("""COMPUTED_VALUE"""),16.58)</f>
        <v>16.579999999999998</v>
      </c>
      <c r="D329" s="1">
        <f ca="1">IFERROR(__xludf.DUMMYFUNCTION("""COMPUTED_VALUE"""),16.05)</f>
        <v>16.05</v>
      </c>
      <c r="E329" s="1">
        <f ca="1">IFERROR(__xludf.DUMMYFUNCTION("""COMPUTED_VALUE"""),16.25)</f>
        <v>16.25</v>
      </c>
      <c r="F329" s="1">
        <f ca="1">IFERROR(__xludf.DUMMYFUNCTION("""COMPUTED_VALUE"""),7732303)</f>
        <v>7732303</v>
      </c>
    </row>
    <row r="330" spans="1:6" x14ac:dyDescent="0.2">
      <c r="A330" s="2">
        <f ca="1">IFERROR(__xludf.DUMMYFUNCTION("""COMPUTED_VALUE"""),42755.6666666666)</f>
        <v>42755.666666666599</v>
      </c>
      <c r="B330" s="1">
        <f ca="1">IFERROR(__xludf.DUMMYFUNCTION("""COMPUTED_VALUE"""),16.36)</f>
        <v>16.36</v>
      </c>
      <c r="C330" s="1">
        <f ca="1">IFERROR(__xludf.DUMMYFUNCTION("""COMPUTED_VALUE"""),16.4)</f>
        <v>16.399999999999999</v>
      </c>
      <c r="D330" s="1">
        <f ca="1">IFERROR(__xludf.DUMMYFUNCTION("""COMPUTED_VALUE"""),16.2)</f>
        <v>16.2</v>
      </c>
      <c r="E330" s="1">
        <f ca="1">IFERROR(__xludf.DUMMYFUNCTION("""COMPUTED_VALUE"""),16.32)</f>
        <v>16.32</v>
      </c>
      <c r="F330" s="1">
        <f ca="1">IFERROR(__xludf.DUMMYFUNCTION("""COMPUTED_VALUE"""),4204275)</f>
        <v>4204275</v>
      </c>
    </row>
    <row r="331" spans="1:6" x14ac:dyDescent="0.2">
      <c r="A331" s="2">
        <f ca="1">IFERROR(__xludf.DUMMYFUNCTION("""COMPUTED_VALUE"""),42758.6666666666)</f>
        <v>42758.666666666599</v>
      </c>
      <c r="B331" s="1">
        <f ca="1">IFERROR(__xludf.DUMMYFUNCTION("""COMPUTED_VALUE"""),16.39)</f>
        <v>16.39</v>
      </c>
      <c r="C331" s="1">
        <f ca="1">IFERROR(__xludf.DUMMYFUNCTION("""COMPUTED_VALUE"""),16.73)</f>
        <v>16.73</v>
      </c>
      <c r="D331" s="1">
        <f ca="1">IFERROR(__xludf.DUMMYFUNCTION("""COMPUTED_VALUE"""),16.37)</f>
        <v>16.37</v>
      </c>
      <c r="E331" s="1">
        <f ca="1">IFERROR(__xludf.DUMMYFUNCTION("""COMPUTED_VALUE"""),16.59)</f>
        <v>16.59</v>
      </c>
      <c r="F331" s="1">
        <f ca="1">IFERROR(__xludf.DUMMYFUNCTION("""COMPUTED_VALUE"""),6262938)</f>
        <v>6262938</v>
      </c>
    </row>
    <row r="332" spans="1:6" x14ac:dyDescent="0.2">
      <c r="A332" s="2">
        <f ca="1">IFERROR(__xludf.DUMMYFUNCTION("""COMPUTED_VALUE"""),42759.6666666666)</f>
        <v>42759.666666666599</v>
      </c>
      <c r="B332" s="1">
        <f ca="1">IFERROR(__xludf.DUMMYFUNCTION("""COMPUTED_VALUE"""),16.67)</f>
        <v>16.670000000000002</v>
      </c>
      <c r="C332" s="1">
        <f ca="1">IFERROR(__xludf.DUMMYFUNCTION("""COMPUTED_VALUE"""),16.99)</f>
        <v>16.989999999999998</v>
      </c>
      <c r="D332" s="1">
        <f ca="1">IFERROR(__xludf.DUMMYFUNCTION("""COMPUTED_VALUE"""),16.64)</f>
        <v>16.64</v>
      </c>
      <c r="E332" s="1">
        <f ca="1">IFERROR(__xludf.DUMMYFUNCTION("""COMPUTED_VALUE"""),16.97)</f>
        <v>16.97</v>
      </c>
      <c r="F332" s="1">
        <f ca="1">IFERROR(__xludf.DUMMYFUNCTION("""COMPUTED_VALUE"""),4965451)</f>
        <v>4965451</v>
      </c>
    </row>
    <row r="333" spans="1:6" x14ac:dyDescent="0.2">
      <c r="A333" s="2">
        <f ca="1">IFERROR(__xludf.DUMMYFUNCTION("""COMPUTED_VALUE"""),42760.6666666666)</f>
        <v>42760.666666666599</v>
      </c>
      <c r="B333" s="1">
        <f ca="1">IFERROR(__xludf.DUMMYFUNCTION("""COMPUTED_VALUE"""),17.15)</f>
        <v>17.149999999999999</v>
      </c>
      <c r="C333" s="1">
        <f ca="1">IFERROR(__xludf.DUMMYFUNCTION("""COMPUTED_VALUE"""),17.23)</f>
        <v>17.23</v>
      </c>
      <c r="D333" s="1">
        <f ca="1">IFERROR(__xludf.DUMMYFUNCTION("""COMPUTED_VALUE"""),16.79)</f>
        <v>16.79</v>
      </c>
      <c r="E333" s="1">
        <f ca="1">IFERROR(__xludf.DUMMYFUNCTION("""COMPUTED_VALUE"""),16.96)</f>
        <v>16.96</v>
      </c>
      <c r="F333" s="1">
        <f ca="1">IFERROR(__xludf.DUMMYFUNCTION("""COMPUTED_VALUE"""),5146361)</f>
        <v>5146361</v>
      </c>
    </row>
    <row r="334" spans="1:6" x14ac:dyDescent="0.2">
      <c r="A334" s="2">
        <f ca="1">IFERROR(__xludf.DUMMYFUNCTION("""COMPUTED_VALUE"""),42761.6666666666)</f>
        <v>42761.666666666599</v>
      </c>
      <c r="B334" s="1">
        <f ca="1">IFERROR(__xludf.DUMMYFUNCTION("""COMPUTED_VALUE"""),16.95)</f>
        <v>16.95</v>
      </c>
      <c r="C334" s="1">
        <f ca="1">IFERROR(__xludf.DUMMYFUNCTION("""COMPUTED_VALUE"""),17.05)</f>
        <v>17.05</v>
      </c>
      <c r="D334" s="1">
        <f ca="1">IFERROR(__xludf.DUMMYFUNCTION("""COMPUTED_VALUE"""),16.72)</f>
        <v>16.72</v>
      </c>
      <c r="E334" s="1">
        <f ca="1">IFERROR(__xludf.DUMMYFUNCTION("""COMPUTED_VALUE"""),16.83)</f>
        <v>16.829999999999998</v>
      </c>
      <c r="F334" s="1">
        <f ca="1">IFERROR(__xludf.DUMMYFUNCTION("""COMPUTED_VALUE"""),3152123)</f>
        <v>3152123</v>
      </c>
    </row>
    <row r="335" spans="1:6" x14ac:dyDescent="0.2">
      <c r="A335" s="2">
        <f ca="1">IFERROR(__xludf.DUMMYFUNCTION("""COMPUTED_VALUE"""),42762.6666666666)</f>
        <v>42762.666666666599</v>
      </c>
      <c r="B335" s="1">
        <f ca="1">IFERROR(__xludf.DUMMYFUNCTION("""COMPUTED_VALUE"""),16.76)</f>
        <v>16.760000000000002</v>
      </c>
      <c r="C335" s="1">
        <f ca="1">IFERROR(__xludf.DUMMYFUNCTION("""COMPUTED_VALUE"""),16.87)</f>
        <v>16.87</v>
      </c>
      <c r="D335" s="1">
        <f ca="1">IFERROR(__xludf.DUMMYFUNCTION("""COMPUTED_VALUE"""),16.57)</f>
        <v>16.57</v>
      </c>
      <c r="E335" s="1">
        <f ca="1">IFERROR(__xludf.DUMMYFUNCTION("""COMPUTED_VALUE"""),16.86)</f>
        <v>16.86</v>
      </c>
      <c r="F335" s="1">
        <f ca="1">IFERROR(__xludf.DUMMYFUNCTION("""COMPUTED_VALUE"""),3166336)</f>
        <v>3166336</v>
      </c>
    </row>
    <row r="336" spans="1:6" x14ac:dyDescent="0.2">
      <c r="A336" s="2">
        <f ca="1">IFERROR(__xludf.DUMMYFUNCTION("""COMPUTED_VALUE"""),42765.6666666666)</f>
        <v>42765.666666666599</v>
      </c>
      <c r="B336" s="1">
        <f ca="1">IFERROR(__xludf.DUMMYFUNCTION("""COMPUTED_VALUE"""),16.84)</f>
        <v>16.84</v>
      </c>
      <c r="C336" s="1">
        <f ca="1">IFERROR(__xludf.DUMMYFUNCTION("""COMPUTED_VALUE"""),17.02)</f>
        <v>17.02</v>
      </c>
      <c r="D336" s="1">
        <f ca="1">IFERROR(__xludf.DUMMYFUNCTION("""COMPUTED_VALUE"""),16.47)</f>
        <v>16.47</v>
      </c>
      <c r="E336" s="1">
        <f ca="1">IFERROR(__xludf.DUMMYFUNCTION("""COMPUTED_VALUE"""),16.71)</f>
        <v>16.71</v>
      </c>
      <c r="F336" s="1">
        <f ca="1">IFERROR(__xludf.DUMMYFUNCTION("""COMPUTED_VALUE"""),3801074)</f>
        <v>3801074</v>
      </c>
    </row>
    <row r="337" spans="1:6" x14ac:dyDescent="0.2">
      <c r="A337" s="2">
        <f ca="1">IFERROR(__xludf.DUMMYFUNCTION("""COMPUTED_VALUE"""),42766.6666666666)</f>
        <v>42766.666666666599</v>
      </c>
      <c r="B337" s="1">
        <f ca="1">IFERROR(__xludf.DUMMYFUNCTION("""COMPUTED_VALUE"""),16.62)</f>
        <v>16.62</v>
      </c>
      <c r="C337" s="1">
        <f ca="1">IFERROR(__xludf.DUMMYFUNCTION("""COMPUTED_VALUE"""),17.06)</f>
        <v>17.059999999999999</v>
      </c>
      <c r="D337" s="1">
        <f ca="1">IFERROR(__xludf.DUMMYFUNCTION("""COMPUTED_VALUE"""),16.51)</f>
        <v>16.510000000000002</v>
      </c>
      <c r="E337" s="1">
        <f ca="1">IFERROR(__xludf.DUMMYFUNCTION("""COMPUTED_VALUE"""),16.8)</f>
        <v>16.8</v>
      </c>
      <c r="F337" s="1">
        <f ca="1">IFERROR(__xludf.DUMMYFUNCTION("""COMPUTED_VALUE"""),4116104)</f>
        <v>4116104</v>
      </c>
    </row>
    <row r="338" spans="1:6" x14ac:dyDescent="0.2">
      <c r="A338" s="2">
        <f ca="1">IFERROR(__xludf.DUMMYFUNCTION("""COMPUTED_VALUE"""),42767.6666666666)</f>
        <v>42767.666666666599</v>
      </c>
      <c r="B338" s="1">
        <f ca="1">IFERROR(__xludf.DUMMYFUNCTION("""COMPUTED_VALUE"""),16.87)</f>
        <v>16.87</v>
      </c>
      <c r="C338" s="1">
        <f ca="1">IFERROR(__xludf.DUMMYFUNCTION("""COMPUTED_VALUE"""),16.88)</f>
        <v>16.88</v>
      </c>
      <c r="D338" s="1">
        <f ca="1">IFERROR(__xludf.DUMMYFUNCTION("""COMPUTED_VALUE"""),16.6)</f>
        <v>16.600000000000001</v>
      </c>
      <c r="E338" s="1">
        <f ca="1">IFERROR(__xludf.DUMMYFUNCTION("""COMPUTED_VALUE"""),16.62)</f>
        <v>16.62</v>
      </c>
      <c r="F338" s="1">
        <f ca="1">IFERROR(__xludf.DUMMYFUNCTION("""COMPUTED_VALUE"""),3958829)</f>
        <v>3958829</v>
      </c>
    </row>
    <row r="339" spans="1:6" x14ac:dyDescent="0.2">
      <c r="A339" s="2">
        <f ca="1">IFERROR(__xludf.DUMMYFUNCTION("""COMPUTED_VALUE"""),42768.6666666666)</f>
        <v>42768.666666666599</v>
      </c>
      <c r="B339" s="1">
        <f ca="1">IFERROR(__xludf.DUMMYFUNCTION("""COMPUTED_VALUE"""),16.56)</f>
        <v>16.559999999999999</v>
      </c>
      <c r="C339" s="1">
        <f ca="1">IFERROR(__xludf.DUMMYFUNCTION("""COMPUTED_VALUE"""),16.83)</f>
        <v>16.829999999999998</v>
      </c>
      <c r="D339" s="1">
        <f ca="1">IFERROR(__xludf.DUMMYFUNCTION("""COMPUTED_VALUE"""),16.51)</f>
        <v>16.510000000000002</v>
      </c>
      <c r="E339" s="1">
        <f ca="1">IFERROR(__xludf.DUMMYFUNCTION("""COMPUTED_VALUE"""),16.77)</f>
        <v>16.77</v>
      </c>
      <c r="F339" s="1">
        <f ca="1">IFERROR(__xludf.DUMMYFUNCTION("""COMPUTED_VALUE"""),2499775)</f>
        <v>2499775</v>
      </c>
    </row>
    <row r="340" spans="1:6" x14ac:dyDescent="0.2">
      <c r="A340" s="2">
        <f ca="1">IFERROR(__xludf.DUMMYFUNCTION("""COMPUTED_VALUE"""),42769.6666666666)</f>
        <v>42769.666666666599</v>
      </c>
      <c r="B340" s="1">
        <f ca="1">IFERROR(__xludf.DUMMYFUNCTION("""COMPUTED_VALUE"""),16.79)</f>
        <v>16.79</v>
      </c>
      <c r="C340" s="1">
        <f ca="1">IFERROR(__xludf.DUMMYFUNCTION("""COMPUTED_VALUE"""),16.81)</f>
        <v>16.809999999999999</v>
      </c>
      <c r="D340" s="1">
        <f ca="1">IFERROR(__xludf.DUMMYFUNCTION("""COMPUTED_VALUE"""),16.65)</f>
        <v>16.649999999999999</v>
      </c>
      <c r="E340" s="1">
        <f ca="1">IFERROR(__xludf.DUMMYFUNCTION("""COMPUTED_VALUE"""),16.76)</f>
        <v>16.760000000000002</v>
      </c>
      <c r="F340" s="1">
        <f ca="1">IFERROR(__xludf.DUMMYFUNCTION("""COMPUTED_VALUE"""),2186723)</f>
        <v>2186723</v>
      </c>
    </row>
    <row r="341" spans="1:6" x14ac:dyDescent="0.2">
      <c r="A341" s="2">
        <f ca="1">IFERROR(__xludf.DUMMYFUNCTION("""COMPUTED_VALUE"""),42772.6666666666)</f>
        <v>42772.666666666599</v>
      </c>
      <c r="B341" s="1">
        <f ca="1">IFERROR(__xludf.DUMMYFUNCTION("""COMPUTED_VALUE"""),16.73)</f>
        <v>16.73</v>
      </c>
      <c r="C341" s="1">
        <f ca="1">IFERROR(__xludf.DUMMYFUNCTION("""COMPUTED_VALUE"""),17.19)</f>
        <v>17.190000000000001</v>
      </c>
      <c r="D341" s="1">
        <f ca="1">IFERROR(__xludf.DUMMYFUNCTION("""COMPUTED_VALUE"""),16.71)</f>
        <v>16.71</v>
      </c>
      <c r="E341" s="1">
        <f ca="1">IFERROR(__xludf.DUMMYFUNCTION("""COMPUTED_VALUE"""),17.18)</f>
        <v>17.18</v>
      </c>
      <c r="F341" s="1">
        <f ca="1">IFERROR(__xludf.DUMMYFUNCTION("""COMPUTED_VALUE"""),3562517)</f>
        <v>3562517</v>
      </c>
    </row>
    <row r="342" spans="1:6" x14ac:dyDescent="0.2">
      <c r="A342" s="2">
        <f ca="1">IFERROR(__xludf.DUMMYFUNCTION("""COMPUTED_VALUE"""),42773.6666666666)</f>
        <v>42773.666666666599</v>
      </c>
      <c r="B342" s="1">
        <f ca="1">IFERROR(__xludf.DUMMYFUNCTION("""COMPUTED_VALUE"""),17.21)</f>
        <v>17.21</v>
      </c>
      <c r="C342" s="1">
        <f ca="1">IFERROR(__xludf.DUMMYFUNCTION("""COMPUTED_VALUE"""),17.33)</f>
        <v>17.329999999999998</v>
      </c>
      <c r="D342" s="1">
        <f ca="1">IFERROR(__xludf.DUMMYFUNCTION("""COMPUTED_VALUE"""),17.09)</f>
        <v>17.09</v>
      </c>
      <c r="E342" s="1">
        <f ca="1">IFERROR(__xludf.DUMMYFUNCTION("""COMPUTED_VALUE"""),17.17)</f>
        <v>17.170000000000002</v>
      </c>
      <c r="F342" s="1">
        <f ca="1">IFERROR(__xludf.DUMMYFUNCTION("""COMPUTED_VALUE"""),4244775)</f>
        <v>4244775</v>
      </c>
    </row>
    <row r="343" spans="1:6" x14ac:dyDescent="0.2">
      <c r="A343" s="2">
        <f ca="1">IFERROR(__xludf.DUMMYFUNCTION("""COMPUTED_VALUE"""),42774.6666666666)</f>
        <v>42774.666666666599</v>
      </c>
      <c r="B343" s="1">
        <f ca="1">IFERROR(__xludf.DUMMYFUNCTION("""COMPUTED_VALUE"""),17.16)</f>
        <v>17.16</v>
      </c>
      <c r="C343" s="1">
        <f ca="1">IFERROR(__xludf.DUMMYFUNCTION("""COMPUTED_VALUE"""),17.56)</f>
        <v>17.559999999999999</v>
      </c>
      <c r="D343" s="1">
        <f ca="1">IFERROR(__xludf.DUMMYFUNCTION("""COMPUTED_VALUE"""),17.08)</f>
        <v>17.079999999999998</v>
      </c>
      <c r="E343" s="1">
        <f ca="1">IFERROR(__xludf.DUMMYFUNCTION("""COMPUTED_VALUE"""),17.47)</f>
        <v>17.47</v>
      </c>
      <c r="F343" s="1">
        <f ca="1">IFERROR(__xludf.DUMMYFUNCTION("""COMPUTED_VALUE"""),3933014)</f>
        <v>3933014</v>
      </c>
    </row>
    <row r="344" spans="1:6" x14ac:dyDescent="0.2">
      <c r="A344" s="2">
        <f ca="1">IFERROR(__xludf.DUMMYFUNCTION("""COMPUTED_VALUE"""),42775.6666666666)</f>
        <v>42775.666666666599</v>
      </c>
      <c r="B344" s="1">
        <f ca="1">IFERROR(__xludf.DUMMYFUNCTION("""COMPUTED_VALUE"""),17.75)</f>
        <v>17.75</v>
      </c>
      <c r="C344" s="1">
        <f ca="1">IFERROR(__xludf.DUMMYFUNCTION("""COMPUTED_VALUE"""),18.08)</f>
        <v>18.079999999999998</v>
      </c>
      <c r="D344" s="1">
        <f ca="1">IFERROR(__xludf.DUMMYFUNCTION("""COMPUTED_VALUE"""),17.74)</f>
        <v>17.739999999999998</v>
      </c>
      <c r="E344" s="1">
        <f ca="1">IFERROR(__xludf.DUMMYFUNCTION("""COMPUTED_VALUE"""),17.95)</f>
        <v>17.95</v>
      </c>
      <c r="F344" s="1">
        <f ca="1">IFERROR(__xludf.DUMMYFUNCTION("""COMPUTED_VALUE"""),7820222)</f>
        <v>7820222</v>
      </c>
    </row>
    <row r="345" spans="1:6" x14ac:dyDescent="0.2">
      <c r="A345" s="2">
        <f ca="1">IFERROR(__xludf.DUMMYFUNCTION("""COMPUTED_VALUE"""),42776.6666666666)</f>
        <v>42776.666666666599</v>
      </c>
      <c r="B345" s="1">
        <f ca="1">IFERROR(__xludf.DUMMYFUNCTION("""COMPUTED_VALUE"""),17.99)</f>
        <v>17.989999999999998</v>
      </c>
      <c r="C345" s="1">
        <f ca="1">IFERROR(__xludf.DUMMYFUNCTION("""COMPUTED_VALUE"""),18.06)</f>
        <v>18.059999999999999</v>
      </c>
      <c r="D345" s="1">
        <f ca="1">IFERROR(__xludf.DUMMYFUNCTION("""COMPUTED_VALUE"""),17.74)</f>
        <v>17.739999999999998</v>
      </c>
      <c r="E345" s="1">
        <f ca="1">IFERROR(__xludf.DUMMYFUNCTION("""COMPUTED_VALUE"""),17.95)</f>
        <v>17.95</v>
      </c>
      <c r="F345" s="1">
        <f ca="1">IFERROR(__xludf.DUMMYFUNCTION("""COMPUTED_VALUE"""),3619739)</f>
        <v>3619739</v>
      </c>
    </row>
    <row r="346" spans="1:6" x14ac:dyDescent="0.2">
      <c r="A346" s="2">
        <f ca="1">IFERROR(__xludf.DUMMYFUNCTION("""COMPUTED_VALUE"""),42779.6666666666)</f>
        <v>42779.666666666599</v>
      </c>
      <c r="B346" s="1">
        <f ca="1">IFERROR(__xludf.DUMMYFUNCTION("""COMPUTED_VALUE"""),18.05)</f>
        <v>18.05</v>
      </c>
      <c r="C346" s="1">
        <f ca="1">IFERROR(__xludf.DUMMYFUNCTION("""COMPUTED_VALUE"""),18.72)</f>
        <v>18.72</v>
      </c>
      <c r="D346" s="1">
        <f ca="1">IFERROR(__xludf.DUMMYFUNCTION("""COMPUTED_VALUE"""),18.03)</f>
        <v>18.03</v>
      </c>
      <c r="E346" s="1">
        <f ca="1">IFERROR(__xludf.DUMMYFUNCTION("""COMPUTED_VALUE"""),18.71)</f>
        <v>18.71</v>
      </c>
      <c r="F346" s="1">
        <f ca="1">IFERROR(__xludf.DUMMYFUNCTION("""COMPUTED_VALUE"""),7029605)</f>
        <v>7029605</v>
      </c>
    </row>
    <row r="347" spans="1:6" x14ac:dyDescent="0.2">
      <c r="A347" s="2">
        <f ca="1">IFERROR(__xludf.DUMMYFUNCTION("""COMPUTED_VALUE"""),42780.6666666666)</f>
        <v>42780.666666666599</v>
      </c>
      <c r="B347" s="1">
        <f ca="1">IFERROR(__xludf.DUMMYFUNCTION("""COMPUTED_VALUE"""),18.6)</f>
        <v>18.600000000000001</v>
      </c>
      <c r="C347" s="1">
        <f ca="1">IFERROR(__xludf.DUMMYFUNCTION("""COMPUTED_VALUE"""),19.16)</f>
        <v>19.16</v>
      </c>
      <c r="D347" s="1">
        <f ca="1">IFERROR(__xludf.DUMMYFUNCTION("""COMPUTED_VALUE"""),18.57)</f>
        <v>18.57</v>
      </c>
      <c r="E347" s="1">
        <f ca="1">IFERROR(__xludf.DUMMYFUNCTION("""COMPUTED_VALUE"""),18.73)</f>
        <v>18.73</v>
      </c>
      <c r="F347" s="1">
        <f ca="1">IFERROR(__xludf.DUMMYFUNCTION("""COMPUTED_VALUE"""),7345224)</f>
        <v>7345224</v>
      </c>
    </row>
    <row r="348" spans="1:6" x14ac:dyDescent="0.2">
      <c r="A348" s="2">
        <f ca="1">IFERROR(__xludf.DUMMYFUNCTION("""COMPUTED_VALUE"""),42781.6666666666)</f>
        <v>42781.666666666599</v>
      </c>
      <c r="B348" s="1">
        <f ca="1">IFERROR(__xludf.DUMMYFUNCTION("""COMPUTED_VALUE"""),18.67)</f>
        <v>18.670000000000002</v>
      </c>
      <c r="C348" s="1">
        <f ca="1">IFERROR(__xludf.DUMMYFUNCTION("""COMPUTED_VALUE"""),18.82)</f>
        <v>18.82</v>
      </c>
      <c r="D348" s="1">
        <f ca="1">IFERROR(__xludf.DUMMYFUNCTION("""COMPUTED_VALUE"""),18.43)</f>
        <v>18.43</v>
      </c>
      <c r="E348" s="1">
        <f ca="1">IFERROR(__xludf.DUMMYFUNCTION("""COMPUTED_VALUE"""),18.65)</f>
        <v>18.649999999999999</v>
      </c>
      <c r="F348" s="1">
        <f ca="1">IFERROR(__xludf.DUMMYFUNCTION("""COMPUTED_VALUE"""),4947856)</f>
        <v>4947856</v>
      </c>
    </row>
    <row r="349" spans="1:6" x14ac:dyDescent="0.2">
      <c r="A349" s="2">
        <f ca="1">IFERROR(__xludf.DUMMYFUNCTION("""COMPUTED_VALUE"""),42782.6666666666)</f>
        <v>42782.666666666599</v>
      </c>
      <c r="B349" s="1">
        <f ca="1">IFERROR(__xludf.DUMMYFUNCTION("""COMPUTED_VALUE"""),18.51)</f>
        <v>18.510000000000002</v>
      </c>
      <c r="C349" s="1">
        <f ca="1">IFERROR(__xludf.DUMMYFUNCTION("""COMPUTED_VALUE"""),18.67)</f>
        <v>18.670000000000002</v>
      </c>
      <c r="D349" s="1">
        <f ca="1">IFERROR(__xludf.DUMMYFUNCTION("""COMPUTED_VALUE"""),17.9)</f>
        <v>17.899999999999999</v>
      </c>
      <c r="E349" s="1">
        <f ca="1">IFERROR(__xludf.DUMMYFUNCTION("""COMPUTED_VALUE"""),17.93)</f>
        <v>17.93</v>
      </c>
      <c r="F349" s="1">
        <f ca="1">IFERROR(__xludf.DUMMYFUNCTION("""COMPUTED_VALUE"""),7077322)</f>
        <v>7077322</v>
      </c>
    </row>
    <row r="350" spans="1:6" x14ac:dyDescent="0.2">
      <c r="A350" s="2">
        <f ca="1">IFERROR(__xludf.DUMMYFUNCTION("""COMPUTED_VALUE"""),42783.6666666666)</f>
        <v>42783.666666666599</v>
      </c>
      <c r="B350" s="1">
        <f ca="1">IFERROR(__xludf.DUMMYFUNCTION("""COMPUTED_VALUE"""),17.72)</f>
        <v>17.72</v>
      </c>
      <c r="C350" s="1">
        <f ca="1">IFERROR(__xludf.DUMMYFUNCTION("""COMPUTED_VALUE"""),18.19)</f>
        <v>18.190000000000001</v>
      </c>
      <c r="D350" s="1">
        <f ca="1">IFERROR(__xludf.DUMMYFUNCTION("""COMPUTED_VALUE"""),17.61)</f>
        <v>17.61</v>
      </c>
      <c r="E350" s="1">
        <f ca="1">IFERROR(__xludf.DUMMYFUNCTION("""COMPUTED_VALUE"""),18.15)</f>
        <v>18.149999999999999</v>
      </c>
      <c r="F350" s="1">
        <f ca="1">IFERROR(__xludf.DUMMYFUNCTION("""COMPUTED_VALUE"""),6257149)</f>
        <v>6257149</v>
      </c>
    </row>
    <row r="351" spans="1:6" x14ac:dyDescent="0.2">
      <c r="A351" s="2">
        <f ca="1">IFERROR(__xludf.DUMMYFUNCTION("""COMPUTED_VALUE"""),42787.6666666666)</f>
        <v>42787.666666666599</v>
      </c>
      <c r="B351" s="1">
        <f ca="1">IFERROR(__xludf.DUMMYFUNCTION("""COMPUTED_VALUE"""),18.36)</f>
        <v>18.36</v>
      </c>
      <c r="C351" s="1">
        <f ca="1">IFERROR(__xludf.DUMMYFUNCTION("""COMPUTED_VALUE"""),18.76)</f>
        <v>18.760000000000002</v>
      </c>
      <c r="D351" s="1">
        <f ca="1">IFERROR(__xludf.DUMMYFUNCTION("""COMPUTED_VALUE"""),18.27)</f>
        <v>18.27</v>
      </c>
      <c r="E351" s="1">
        <f ca="1">IFERROR(__xludf.DUMMYFUNCTION("""COMPUTED_VALUE"""),18.49)</f>
        <v>18.489999999999998</v>
      </c>
      <c r="F351" s="1">
        <f ca="1">IFERROR(__xludf.DUMMYFUNCTION("""COMPUTED_VALUE"""),5676747)</f>
        <v>5676747</v>
      </c>
    </row>
    <row r="352" spans="1:6" x14ac:dyDescent="0.2">
      <c r="A352" s="2">
        <f ca="1">IFERROR(__xludf.DUMMYFUNCTION("""COMPUTED_VALUE"""),42788.6666666666)</f>
        <v>42788.666666666599</v>
      </c>
      <c r="B352" s="1">
        <f ca="1">IFERROR(__xludf.DUMMYFUNCTION("""COMPUTED_VALUE"""),18.69)</f>
        <v>18.690000000000001</v>
      </c>
      <c r="C352" s="1">
        <f ca="1">IFERROR(__xludf.DUMMYFUNCTION("""COMPUTED_VALUE"""),18.9)</f>
        <v>18.899999999999999</v>
      </c>
      <c r="D352" s="1">
        <f ca="1">IFERROR(__xludf.DUMMYFUNCTION("""COMPUTED_VALUE"""),18.17)</f>
        <v>18.170000000000002</v>
      </c>
      <c r="E352" s="1">
        <f ca="1">IFERROR(__xludf.DUMMYFUNCTION("""COMPUTED_VALUE"""),18.23)</f>
        <v>18.23</v>
      </c>
      <c r="F352" s="1">
        <f ca="1">IFERROR(__xludf.DUMMYFUNCTION("""COMPUTED_VALUE"""),8754975)</f>
        <v>8754975</v>
      </c>
    </row>
    <row r="353" spans="1:6" x14ac:dyDescent="0.2">
      <c r="A353" s="2">
        <f ca="1">IFERROR(__xludf.DUMMYFUNCTION("""COMPUTED_VALUE"""),42789.6666666666)</f>
        <v>42789.666666666599</v>
      </c>
      <c r="B353" s="1">
        <f ca="1">IFERROR(__xludf.DUMMYFUNCTION("""COMPUTED_VALUE"""),17.6)</f>
        <v>17.600000000000001</v>
      </c>
      <c r="C353" s="1">
        <f ca="1">IFERROR(__xludf.DUMMYFUNCTION("""COMPUTED_VALUE"""),17.64)</f>
        <v>17.64</v>
      </c>
      <c r="D353" s="1">
        <f ca="1">IFERROR(__xludf.DUMMYFUNCTION("""COMPUTED_VALUE"""),17.04)</f>
        <v>17.04</v>
      </c>
      <c r="E353" s="1">
        <f ca="1">IFERROR(__xludf.DUMMYFUNCTION("""COMPUTED_VALUE"""),17.07)</f>
        <v>17.07</v>
      </c>
      <c r="F353" s="1">
        <f ca="1">IFERROR(__xludf.DUMMYFUNCTION("""COMPUTED_VALUE"""),14915249)</f>
        <v>14915249</v>
      </c>
    </row>
    <row r="354" spans="1:6" x14ac:dyDescent="0.2">
      <c r="A354" s="2">
        <f ca="1">IFERROR(__xludf.DUMMYFUNCTION("""COMPUTED_VALUE"""),42790.6666666666)</f>
        <v>42790.666666666599</v>
      </c>
      <c r="B354" s="1">
        <f ca="1">IFERROR(__xludf.DUMMYFUNCTION("""COMPUTED_VALUE"""),16.84)</f>
        <v>16.84</v>
      </c>
      <c r="C354" s="1">
        <f ca="1">IFERROR(__xludf.DUMMYFUNCTION("""COMPUTED_VALUE"""),17.22)</f>
        <v>17.22</v>
      </c>
      <c r="D354" s="1">
        <f ca="1">IFERROR(__xludf.DUMMYFUNCTION("""COMPUTED_VALUE"""),16.68)</f>
        <v>16.68</v>
      </c>
      <c r="E354" s="1">
        <f ca="1">IFERROR(__xludf.DUMMYFUNCTION("""COMPUTED_VALUE"""),17.13)</f>
        <v>17.13</v>
      </c>
      <c r="F354" s="1">
        <f ca="1">IFERROR(__xludf.DUMMYFUNCTION("""COMPUTED_VALUE"""),8171626)</f>
        <v>8171626</v>
      </c>
    </row>
    <row r="355" spans="1:6" x14ac:dyDescent="0.2">
      <c r="A355" s="2">
        <f ca="1">IFERROR(__xludf.DUMMYFUNCTION("""COMPUTED_VALUE"""),42793.6666666666)</f>
        <v>42793.666666666599</v>
      </c>
      <c r="B355" s="1">
        <f ca="1">IFERROR(__xludf.DUMMYFUNCTION("""COMPUTED_VALUE"""),16.54)</f>
        <v>16.54</v>
      </c>
      <c r="C355" s="1">
        <f ca="1">IFERROR(__xludf.DUMMYFUNCTION("""COMPUTED_VALUE"""),16.56)</f>
        <v>16.559999999999999</v>
      </c>
      <c r="D355" s="1">
        <f ca="1">IFERROR(__xludf.DUMMYFUNCTION("""COMPUTED_VALUE"""),16.13)</f>
        <v>16.13</v>
      </c>
      <c r="E355" s="1">
        <f ca="1">IFERROR(__xludf.DUMMYFUNCTION("""COMPUTED_VALUE"""),16.42)</f>
        <v>16.420000000000002</v>
      </c>
      <c r="F355" s="1">
        <f ca="1">IFERROR(__xludf.DUMMYFUNCTION("""COMPUTED_VALUE"""),11460810)</f>
        <v>11460810</v>
      </c>
    </row>
    <row r="356" spans="1:6" x14ac:dyDescent="0.2">
      <c r="A356" s="2">
        <f ca="1">IFERROR(__xludf.DUMMYFUNCTION("""COMPUTED_VALUE"""),42794.6666666666)</f>
        <v>42794.666666666599</v>
      </c>
      <c r="B356" s="1">
        <f ca="1">IFERROR(__xludf.DUMMYFUNCTION("""COMPUTED_VALUE"""),16.28)</f>
        <v>16.28</v>
      </c>
      <c r="C356" s="1">
        <f ca="1">IFERROR(__xludf.DUMMYFUNCTION("""COMPUTED_VALUE"""),16.73)</f>
        <v>16.73</v>
      </c>
      <c r="D356" s="1">
        <f ca="1">IFERROR(__xludf.DUMMYFUNCTION("""COMPUTED_VALUE"""),16.26)</f>
        <v>16.260000000000002</v>
      </c>
      <c r="E356" s="1">
        <f ca="1">IFERROR(__xludf.DUMMYFUNCTION("""COMPUTED_VALUE"""),16.67)</f>
        <v>16.670000000000002</v>
      </c>
      <c r="F356" s="1">
        <f ca="1">IFERROR(__xludf.DUMMYFUNCTION("""COMPUTED_VALUE"""),6078145)</f>
        <v>6078145</v>
      </c>
    </row>
    <row r="357" spans="1:6" x14ac:dyDescent="0.2">
      <c r="A357" s="2">
        <f ca="1">IFERROR(__xludf.DUMMYFUNCTION("""COMPUTED_VALUE"""),42795.6666666666)</f>
        <v>42795.666666666599</v>
      </c>
      <c r="B357" s="1">
        <f ca="1">IFERROR(__xludf.DUMMYFUNCTION("""COMPUTED_VALUE"""),16.95)</f>
        <v>16.95</v>
      </c>
      <c r="C357" s="1">
        <f ca="1">IFERROR(__xludf.DUMMYFUNCTION("""COMPUTED_VALUE"""),16.99)</f>
        <v>16.989999999999998</v>
      </c>
      <c r="D357" s="1">
        <f ca="1">IFERROR(__xludf.DUMMYFUNCTION("""COMPUTED_VALUE"""),16.61)</f>
        <v>16.61</v>
      </c>
      <c r="E357" s="1">
        <f ca="1">IFERROR(__xludf.DUMMYFUNCTION("""COMPUTED_VALUE"""),16.67)</f>
        <v>16.670000000000002</v>
      </c>
      <c r="F357" s="1">
        <f ca="1">IFERROR(__xludf.DUMMYFUNCTION("""COMPUTED_VALUE"""),4809488)</f>
        <v>4809488</v>
      </c>
    </row>
    <row r="358" spans="1:6" x14ac:dyDescent="0.2">
      <c r="A358" s="2">
        <f ca="1">IFERROR(__xludf.DUMMYFUNCTION("""COMPUTED_VALUE"""),42796.6666666666)</f>
        <v>42796.666666666599</v>
      </c>
      <c r="B358" s="1">
        <f ca="1">IFERROR(__xludf.DUMMYFUNCTION("""COMPUTED_VALUE"""),16.65)</f>
        <v>16.649999999999999</v>
      </c>
      <c r="C358" s="1">
        <f ca="1">IFERROR(__xludf.DUMMYFUNCTION("""COMPUTED_VALUE"""),16.89)</f>
        <v>16.89</v>
      </c>
      <c r="D358" s="1">
        <f ca="1">IFERROR(__xludf.DUMMYFUNCTION("""COMPUTED_VALUE"""),16.55)</f>
        <v>16.55</v>
      </c>
      <c r="E358" s="1">
        <f ca="1">IFERROR(__xludf.DUMMYFUNCTION("""COMPUTED_VALUE"""),16.7)</f>
        <v>16.7</v>
      </c>
      <c r="F358" s="1">
        <f ca="1">IFERROR(__xludf.DUMMYFUNCTION("""COMPUTED_VALUE"""),3351833)</f>
        <v>3351833</v>
      </c>
    </row>
    <row r="359" spans="1:6" x14ac:dyDescent="0.2">
      <c r="A359" s="2">
        <f ca="1">IFERROR(__xludf.DUMMYFUNCTION("""COMPUTED_VALUE"""),42797.6666666666)</f>
        <v>42797.666666666599</v>
      </c>
      <c r="B359" s="1">
        <f ca="1">IFERROR(__xludf.DUMMYFUNCTION("""COMPUTED_VALUE"""),16.72)</f>
        <v>16.72</v>
      </c>
      <c r="C359" s="1">
        <f ca="1">IFERROR(__xludf.DUMMYFUNCTION("""COMPUTED_VALUE"""),16.79)</f>
        <v>16.79</v>
      </c>
      <c r="D359" s="1">
        <f ca="1">IFERROR(__xludf.DUMMYFUNCTION("""COMPUTED_VALUE"""),16.6)</f>
        <v>16.600000000000001</v>
      </c>
      <c r="E359" s="1">
        <f ca="1">IFERROR(__xludf.DUMMYFUNCTION("""COMPUTED_VALUE"""),16.77)</f>
        <v>16.77</v>
      </c>
      <c r="F359" s="1">
        <f ca="1">IFERROR(__xludf.DUMMYFUNCTION("""COMPUTED_VALUE"""),2929234)</f>
        <v>2929234</v>
      </c>
    </row>
    <row r="360" spans="1:6" x14ac:dyDescent="0.2">
      <c r="A360" s="2">
        <f ca="1">IFERROR(__xludf.DUMMYFUNCTION("""COMPUTED_VALUE"""),42800.6666666666)</f>
        <v>42800.666666666599</v>
      </c>
      <c r="B360" s="1">
        <f ca="1">IFERROR(__xludf.DUMMYFUNCTION("""COMPUTED_VALUE"""),16.53)</f>
        <v>16.53</v>
      </c>
      <c r="C360" s="1">
        <f ca="1">IFERROR(__xludf.DUMMYFUNCTION("""COMPUTED_VALUE"""),16.78)</f>
        <v>16.78</v>
      </c>
      <c r="D360" s="1">
        <f ca="1">IFERROR(__xludf.DUMMYFUNCTION("""COMPUTED_VALUE"""),16.5)</f>
        <v>16.5</v>
      </c>
      <c r="E360" s="1">
        <f ca="1">IFERROR(__xludf.DUMMYFUNCTION("""COMPUTED_VALUE"""),16.75)</f>
        <v>16.75</v>
      </c>
      <c r="F360" s="1">
        <f ca="1">IFERROR(__xludf.DUMMYFUNCTION("""COMPUTED_VALUE"""),3355500)</f>
        <v>3355500</v>
      </c>
    </row>
    <row r="361" spans="1:6" x14ac:dyDescent="0.2">
      <c r="A361" s="2">
        <f ca="1">IFERROR(__xludf.DUMMYFUNCTION("""COMPUTED_VALUE"""),42801.6666666666)</f>
        <v>42801.666666666599</v>
      </c>
      <c r="B361" s="1">
        <f ca="1">IFERROR(__xludf.DUMMYFUNCTION("""COMPUTED_VALUE"""),16.79)</f>
        <v>16.79</v>
      </c>
      <c r="C361" s="1">
        <f ca="1">IFERROR(__xludf.DUMMYFUNCTION("""COMPUTED_VALUE"""),16.93)</f>
        <v>16.93</v>
      </c>
      <c r="D361" s="1">
        <f ca="1">IFERROR(__xludf.DUMMYFUNCTION("""COMPUTED_VALUE"""),16.55)</f>
        <v>16.55</v>
      </c>
      <c r="E361" s="1">
        <f ca="1">IFERROR(__xludf.DUMMYFUNCTION("""COMPUTED_VALUE"""),16.57)</f>
        <v>16.57</v>
      </c>
      <c r="F361" s="1">
        <f ca="1">IFERROR(__xludf.DUMMYFUNCTION("""COMPUTED_VALUE"""),3459470)</f>
        <v>3459470</v>
      </c>
    </row>
    <row r="362" spans="1:6" x14ac:dyDescent="0.2">
      <c r="A362" s="2">
        <f ca="1">IFERROR(__xludf.DUMMYFUNCTION("""COMPUTED_VALUE"""),42802.6666666666)</f>
        <v>42802.666666666599</v>
      </c>
      <c r="B362" s="1">
        <f ca="1">IFERROR(__xludf.DUMMYFUNCTION("""COMPUTED_VALUE"""),16.47)</f>
        <v>16.47</v>
      </c>
      <c r="C362" s="1">
        <f ca="1">IFERROR(__xludf.DUMMYFUNCTION("""COMPUTED_VALUE"""),16.67)</f>
        <v>16.670000000000002</v>
      </c>
      <c r="D362" s="1">
        <f ca="1">IFERROR(__xludf.DUMMYFUNCTION("""COMPUTED_VALUE"""),16.35)</f>
        <v>16.350000000000001</v>
      </c>
      <c r="E362" s="1">
        <f ca="1">IFERROR(__xludf.DUMMYFUNCTION("""COMPUTED_VALUE"""),16.46)</f>
        <v>16.46</v>
      </c>
      <c r="F362" s="1">
        <f ca="1">IFERROR(__xludf.DUMMYFUNCTION("""COMPUTED_VALUE"""),3728649)</f>
        <v>3728649</v>
      </c>
    </row>
    <row r="363" spans="1:6" x14ac:dyDescent="0.2">
      <c r="A363" s="2">
        <f ca="1">IFERROR(__xludf.DUMMYFUNCTION("""COMPUTED_VALUE"""),42803.6666666666)</f>
        <v>42803.666666666599</v>
      </c>
      <c r="B363" s="1">
        <f ca="1">IFERROR(__xludf.DUMMYFUNCTION("""COMPUTED_VALUE"""),16.51)</f>
        <v>16.510000000000002</v>
      </c>
      <c r="C363" s="1">
        <f ca="1">IFERROR(__xludf.DUMMYFUNCTION("""COMPUTED_VALUE"""),16.58)</f>
        <v>16.579999999999998</v>
      </c>
      <c r="D363" s="1">
        <f ca="1">IFERROR(__xludf.DUMMYFUNCTION("""COMPUTED_VALUE"""),16.2)</f>
        <v>16.2</v>
      </c>
      <c r="E363" s="1">
        <f ca="1">IFERROR(__xludf.DUMMYFUNCTION("""COMPUTED_VALUE"""),16.33)</f>
        <v>16.329999999999998</v>
      </c>
      <c r="F363" s="1">
        <f ca="1">IFERROR(__xludf.DUMMYFUNCTION("""COMPUTED_VALUE"""),3879293)</f>
        <v>3879293</v>
      </c>
    </row>
    <row r="364" spans="1:6" x14ac:dyDescent="0.2">
      <c r="A364" s="2">
        <f ca="1">IFERROR(__xludf.DUMMYFUNCTION("""COMPUTED_VALUE"""),42804.6666666666)</f>
        <v>42804.666666666599</v>
      </c>
      <c r="B364" s="1">
        <f ca="1">IFERROR(__xludf.DUMMYFUNCTION("""COMPUTED_VALUE"""),16.41)</f>
        <v>16.41</v>
      </c>
      <c r="C364" s="1">
        <f ca="1">IFERROR(__xludf.DUMMYFUNCTION("""COMPUTED_VALUE"""),16.43)</f>
        <v>16.43</v>
      </c>
      <c r="D364" s="1">
        <f ca="1">IFERROR(__xludf.DUMMYFUNCTION("""COMPUTED_VALUE"""),16.2)</f>
        <v>16.2</v>
      </c>
      <c r="E364" s="1">
        <f ca="1">IFERROR(__xludf.DUMMYFUNCTION("""COMPUTED_VALUE"""),16.25)</f>
        <v>16.25</v>
      </c>
      <c r="F364" s="1">
        <f ca="1">IFERROR(__xludf.DUMMYFUNCTION("""COMPUTED_VALUE"""),3066272)</f>
        <v>3066272</v>
      </c>
    </row>
    <row r="365" spans="1:6" x14ac:dyDescent="0.2">
      <c r="A365" s="2">
        <f ca="1">IFERROR(__xludf.DUMMYFUNCTION("""COMPUTED_VALUE"""),42807.6666666666)</f>
        <v>42807.666666666599</v>
      </c>
      <c r="B365" s="1">
        <f ca="1">IFERROR(__xludf.DUMMYFUNCTION("""COMPUTED_VALUE"""),16.29)</f>
        <v>16.29</v>
      </c>
      <c r="C365" s="1">
        <f ca="1">IFERROR(__xludf.DUMMYFUNCTION("""COMPUTED_VALUE"""),16.46)</f>
        <v>16.46</v>
      </c>
      <c r="D365" s="1">
        <f ca="1">IFERROR(__xludf.DUMMYFUNCTION("""COMPUTED_VALUE"""),16.19)</f>
        <v>16.190000000000001</v>
      </c>
      <c r="E365" s="1">
        <f ca="1">IFERROR(__xludf.DUMMYFUNCTION("""COMPUTED_VALUE"""),16.41)</f>
        <v>16.41</v>
      </c>
      <c r="F365" s="1">
        <f ca="1">IFERROR(__xludf.DUMMYFUNCTION("""COMPUTED_VALUE"""),3022625)</f>
        <v>3022625</v>
      </c>
    </row>
    <row r="366" spans="1:6" x14ac:dyDescent="0.2">
      <c r="A366" s="2">
        <f ca="1">IFERROR(__xludf.DUMMYFUNCTION("""COMPUTED_VALUE"""),42808.6666666666)</f>
        <v>42808.666666666599</v>
      </c>
      <c r="B366" s="1">
        <f ca="1">IFERROR(__xludf.DUMMYFUNCTION("""COMPUTED_VALUE"""),16.41)</f>
        <v>16.41</v>
      </c>
      <c r="C366" s="1">
        <f ca="1">IFERROR(__xludf.DUMMYFUNCTION("""COMPUTED_VALUE"""),17.21)</f>
        <v>17.21</v>
      </c>
      <c r="D366" s="1">
        <f ca="1">IFERROR(__xludf.DUMMYFUNCTION("""COMPUTED_VALUE"""),16.4)</f>
        <v>16.399999999999999</v>
      </c>
      <c r="E366" s="1">
        <f ca="1">IFERROR(__xludf.DUMMYFUNCTION("""COMPUTED_VALUE"""),17.2)</f>
        <v>17.2</v>
      </c>
      <c r="F366" s="1">
        <f ca="1">IFERROR(__xludf.DUMMYFUNCTION("""COMPUTED_VALUE"""),7598446)</f>
        <v>7598446</v>
      </c>
    </row>
    <row r="367" spans="1:6" x14ac:dyDescent="0.2">
      <c r="A367" s="2">
        <f ca="1">IFERROR(__xludf.DUMMYFUNCTION("""COMPUTED_VALUE"""),42809.6666666666)</f>
        <v>42809.666666666599</v>
      </c>
      <c r="B367" s="1">
        <f ca="1">IFERROR(__xludf.DUMMYFUNCTION("""COMPUTED_VALUE"""),17.13)</f>
        <v>17.13</v>
      </c>
      <c r="C367" s="1">
        <f ca="1">IFERROR(__xludf.DUMMYFUNCTION("""COMPUTED_VALUE"""),17.4)</f>
        <v>17.399999999999999</v>
      </c>
      <c r="D367" s="1">
        <f ca="1">IFERROR(__xludf.DUMMYFUNCTION("""COMPUTED_VALUE"""),16.95)</f>
        <v>16.95</v>
      </c>
      <c r="E367" s="1">
        <f ca="1">IFERROR(__xludf.DUMMYFUNCTION("""COMPUTED_VALUE"""),17.05)</f>
        <v>17.05</v>
      </c>
      <c r="F367" s="1">
        <f ca="1">IFERROR(__xludf.DUMMYFUNCTION("""COMPUTED_VALUE"""),5330806)</f>
        <v>5330806</v>
      </c>
    </row>
    <row r="368" spans="1:6" x14ac:dyDescent="0.2">
      <c r="A368" s="2">
        <f ca="1">IFERROR(__xludf.DUMMYFUNCTION("""COMPUTED_VALUE"""),42810.6666666666)</f>
        <v>42810.666666666599</v>
      </c>
      <c r="B368" s="1">
        <f ca="1">IFERROR(__xludf.DUMMYFUNCTION("""COMPUTED_VALUE"""),17.49)</f>
        <v>17.489999999999998</v>
      </c>
      <c r="C368" s="1">
        <f ca="1">IFERROR(__xludf.DUMMYFUNCTION("""COMPUTED_VALUE"""),17.72)</f>
        <v>17.72</v>
      </c>
      <c r="D368" s="1">
        <f ca="1">IFERROR(__xludf.DUMMYFUNCTION("""COMPUTED_VALUE"""),17.27)</f>
        <v>17.27</v>
      </c>
      <c r="E368" s="1">
        <f ca="1">IFERROR(__xludf.DUMMYFUNCTION("""COMPUTED_VALUE"""),17.47)</f>
        <v>17.47</v>
      </c>
      <c r="F368" s="1">
        <f ca="1">IFERROR(__xludf.DUMMYFUNCTION("""COMPUTED_VALUE"""),7132153)</f>
        <v>7132153</v>
      </c>
    </row>
    <row r="369" spans="1:6" x14ac:dyDescent="0.2">
      <c r="A369" s="2">
        <f ca="1">IFERROR(__xludf.DUMMYFUNCTION("""COMPUTED_VALUE"""),42811.6666666666)</f>
        <v>42811.666666666599</v>
      </c>
      <c r="B369" s="1">
        <f ca="1">IFERROR(__xludf.DUMMYFUNCTION("""COMPUTED_VALUE"""),17.6)</f>
        <v>17.600000000000001</v>
      </c>
      <c r="C369" s="1">
        <f ca="1">IFERROR(__xludf.DUMMYFUNCTION("""COMPUTED_VALUE"""),17.69)</f>
        <v>17.690000000000001</v>
      </c>
      <c r="D369" s="1">
        <f ca="1">IFERROR(__xludf.DUMMYFUNCTION("""COMPUTED_VALUE"""),17.41)</f>
        <v>17.41</v>
      </c>
      <c r="E369" s="1">
        <f ca="1">IFERROR(__xludf.DUMMYFUNCTION("""COMPUTED_VALUE"""),17.43)</f>
        <v>17.43</v>
      </c>
      <c r="F369" s="1">
        <f ca="1">IFERROR(__xludf.DUMMYFUNCTION("""COMPUTED_VALUE"""),6497496)</f>
        <v>6497496</v>
      </c>
    </row>
    <row r="370" spans="1:6" x14ac:dyDescent="0.2">
      <c r="A370" s="2">
        <f ca="1">IFERROR(__xludf.DUMMYFUNCTION("""COMPUTED_VALUE"""),42814.6666666666)</f>
        <v>42814.666666666599</v>
      </c>
      <c r="B370" s="1">
        <f ca="1">IFERROR(__xludf.DUMMYFUNCTION("""COMPUTED_VALUE"""),17.37)</f>
        <v>17.37</v>
      </c>
      <c r="C370" s="1">
        <f ca="1">IFERROR(__xludf.DUMMYFUNCTION("""COMPUTED_VALUE"""),17.64)</f>
        <v>17.64</v>
      </c>
      <c r="D370" s="1">
        <f ca="1">IFERROR(__xludf.DUMMYFUNCTION("""COMPUTED_VALUE"""),17.25)</f>
        <v>17.25</v>
      </c>
      <c r="E370" s="1">
        <f ca="1">IFERROR(__xludf.DUMMYFUNCTION("""COMPUTED_VALUE"""),17.46)</f>
        <v>17.46</v>
      </c>
      <c r="F370" s="1">
        <f ca="1">IFERROR(__xludf.DUMMYFUNCTION("""COMPUTED_VALUE"""),3614294)</f>
        <v>3614294</v>
      </c>
    </row>
    <row r="371" spans="1:6" x14ac:dyDescent="0.2">
      <c r="A371" s="2">
        <f ca="1">IFERROR(__xludf.DUMMYFUNCTION("""COMPUTED_VALUE"""),42815.6666666666)</f>
        <v>42815.666666666599</v>
      </c>
      <c r="B371" s="1">
        <f ca="1">IFERROR(__xludf.DUMMYFUNCTION("""COMPUTED_VALUE"""),17.52)</f>
        <v>17.52</v>
      </c>
      <c r="C371" s="1">
        <f ca="1">IFERROR(__xludf.DUMMYFUNCTION("""COMPUTED_VALUE"""),17.65)</f>
        <v>17.649999999999999</v>
      </c>
      <c r="D371" s="1">
        <f ca="1">IFERROR(__xludf.DUMMYFUNCTION("""COMPUTED_VALUE"""),16.68)</f>
        <v>16.68</v>
      </c>
      <c r="E371" s="1">
        <f ca="1">IFERROR(__xludf.DUMMYFUNCTION("""COMPUTED_VALUE"""),16.71)</f>
        <v>16.71</v>
      </c>
      <c r="F371" s="1">
        <f ca="1">IFERROR(__xludf.DUMMYFUNCTION("""COMPUTED_VALUE"""),6908554)</f>
        <v>6908554</v>
      </c>
    </row>
    <row r="372" spans="1:6" x14ac:dyDescent="0.2">
      <c r="A372" s="2">
        <f ca="1">IFERROR(__xludf.DUMMYFUNCTION("""COMPUTED_VALUE"""),42816.6666666666)</f>
        <v>42816.666666666599</v>
      </c>
      <c r="B372" s="1">
        <f ca="1">IFERROR(__xludf.DUMMYFUNCTION("""COMPUTED_VALUE"""),16.77)</f>
        <v>16.77</v>
      </c>
      <c r="C372" s="1">
        <f ca="1">IFERROR(__xludf.DUMMYFUNCTION("""COMPUTED_VALUE"""),17)</f>
        <v>17</v>
      </c>
      <c r="D372" s="1">
        <f ca="1">IFERROR(__xludf.DUMMYFUNCTION("""COMPUTED_VALUE"""),16.7)</f>
        <v>16.7</v>
      </c>
      <c r="E372" s="1">
        <f ca="1">IFERROR(__xludf.DUMMYFUNCTION("""COMPUTED_VALUE"""),17)</f>
        <v>17</v>
      </c>
      <c r="F372" s="1">
        <f ca="1">IFERROR(__xludf.DUMMYFUNCTION("""COMPUTED_VALUE"""),4059297)</f>
        <v>4059297</v>
      </c>
    </row>
    <row r="373" spans="1:6" x14ac:dyDescent="0.2">
      <c r="A373" s="2">
        <f ca="1">IFERROR(__xludf.DUMMYFUNCTION("""COMPUTED_VALUE"""),42817.6666666666)</f>
        <v>42817.666666666599</v>
      </c>
      <c r="B373" s="1">
        <f ca="1">IFERROR(__xludf.DUMMYFUNCTION("""COMPUTED_VALUE"""),17.03)</f>
        <v>17.03</v>
      </c>
      <c r="C373" s="1">
        <f ca="1">IFERROR(__xludf.DUMMYFUNCTION("""COMPUTED_VALUE"""),17.18)</f>
        <v>17.18</v>
      </c>
      <c r="D373" s="1">
        <f ca="1">IFERROR(__xludf.DUMMYFUNCTION("""COMPUTED_VALUE"""),16.89)</f>
        <v>16.89</v>
      </c>
      <c r="E373" s="1">
        <f ca="1">IFERROR(__xludf.DUMMYFUNCTION("""COMPUTED_VALUE"""),16.99)</f>
        <v>16.989999999999998</v>
      </c>
      <c r="F373" s="1">
        <f ca="1">IFERROR(__xludf.DUMMYFUNCTION("""COMPUTED_VALUE"""),3320245)</f>
        <v>3320245</v>
      </c>
    </row>
    <row r="374" spans="1:6" x14ac:dyDescent="0.2">
      <c r="A374" s="2">
        <f ca="1">IFERROR(__xludf.DUMMYFUNCTION("""COMPUTED_VALUE"""),42818.6666666666)</f>
        <v>42818.666666666599</v>
      </c>
      <c r="B374" s="1">
        <f ca="1">IFERROR(__xludf.DUMMYFUNCTION("""COMPUTED_VALUE"""),17.05)</f>
        <v>17.05</v>
      </c>
      <c r="C374" s="1">
        <f ca="1">IFERROR(__xludf.DUMMYFUNCTION("""COMPUTED_VALUE"""),17.59)</f>
        <v>17.59</v>
      </c>
      <c r="D374" s="1">
        <f ca="1">IFERROR(__xludf.DUMMYFUNCTION("""COMPUTED_VALUE"""),17)</f>
        <v>17</v>
      </c>
      <c r="E374" s="1">
        <f ca="1">IFERROR(__xludf.DUMMYFUNCTION("""COMPUTED_VALUE"""),17.54)</f>
        <v>17.54</v>
      </c>
      <c r="F374" s="1">
        <f ca="1">IFERROR(__xludf.DUMMYFUNCTION("""COMPUTED_VALUE"""),5647253)</f>
        <v>5647253</v>
      </c>
    </row>
    <row r="375" spans="1:6" x14ac:dyDescent="0.2">
      <c r="A375" s="2">
        <f ca="1">IFERROR(__xludf.DUMMYFUNCTION("""COMPUTED_VALUE"""),42821.6666666666)</f>
        <v>42821.666666666599</v>
      </c>
      <c r="B375" s="1">
        <f ca="1">IFERROR(__xludf.DUMMYFUNCTION("""COMPUTED_VALUE"""),17.37)</f>
        <v>17.37</v>
      </c>
      <c r="C375" s="1">
        <f ca="1">IFERROR(__xludf.DUMMYFUNCTION("""COMPUTED_VALUE"""),18.04)</f>
        <v>18.04</v>
      </c>
      <c r="D375" s="1">
        <f ca="1">IFERROR(__xludf.DUMMYFUNCTION("""COMPUTED_VALUE"""),17.32)</f>
        <v>17.32</v>
      </c>
      <c r="E375" s="1">
        <f ca="1">IFERROR(__xludf.DUMMYFUNCTION("""COMPUTED_VALUE"""),18.01)</f>
        <v>18.010000000000002</v>
      </c>
      <c r="F375" s="1">
        <f ca="1">IFERROR(__xludf.DUMMYFUNCTION("""COMPUTED_VALUE"""),6230795)</f>
        <v>6230795</v>
      </c>
    </row>
    <row r="376" spans="1:6" x14ac:dyDescent="0.2">
      <c r="A376" s="2">
        <f ca="1">IFERROR(__xludf.DUMMYFUNCTION("""COMPUTED_VALUE"""),42822.6666666666)</f>
        <v>42822.666666666599</v>
      </c>
      <c r="B376" s="1">
        <f ca="1">IFERROR(__xludf.DUMMYFUNCTION("""COMPUTED_VALUE"""),18.47)</f>
        <v>18.47</v>
      </c>
      <c r="C376" s="1">
        <f ca="1">IFERROR(__xludf.DUMMYFUNCTION("""COMPUTED_VALUE"""),18.71)</f>
        <v>18.71</v>
      </c>
      <c r="D376" s="1">
        <f ca="1">IFERROR(__xludf.DUMMYFUNCTION("""COMPUTED_VALUE"""),18.33)</f>
        <v>18.329999999999998</v>
      </c>
      <c r="E376" s="1">
        <f ca="1">IFERROR(__xludf.DUMMYFUNCTION("""COMPUTED_VALUE"""),18.5)</f>
        <v>18.5</v>
      </c>
      <c r="F376" s="1">
        <f ca="1">IFERROR(__xludf.DUMMYFUNCTION("""COMPUTED_VALUE"""),7987604)</f>
        <v>7987604</v>
      </c>
    </row>
    <row r="377" spans="1:6" x14ac:dyDescent="0.2">
      <c r="A377" s="2">
        <f ca="1">IFERROR(__xludf.DUMMYFUNCTION("""COMPUTED_VALUE"""),42823.6666666666)</f>
        <v>42823.666666666599</v>
      </c>
      <c r="B377" s="1">
        <f ca="1">IFERROR(__xludf.DUMMYFUNCTION("""COMPUTED_VALUE"""),18.56)</f>
        <v>18.559999999999999</v>
      </c>
      <c r="C377" s="1">
        <f ca="1">IFERROR(__xludf.DUMMYFUNCTION("""COMPUTED_VALUE"""),18.64)</f>
        <v>18.64</v>
      </c>
      <c r="D377" s="1">
        <f ca="1">IFERROR(__xludf.DUMMYFUNCTION("""COMPUTED_VALUE"""),18.37)</f>
        <v>18.37</v>
      </c>
      <c r="E377" s="1">
        <f ca="1">IFERROR(__xludf.DUMMYFUNCTION("""COMPUTED_VALUE"""),18.49)</f>
        <v>18.489999999999998</v>
      </c>
      <c r="F377" s="1">
        <f ca="1">IFERROR(__xludf.DUMMYFUNCTION("""COMPUTED_VALUE"""),3676157)</f>
        <v>3676157</v>
      </c>
    </row>
    <row r="378" spans="1:6" x14ac:dyDescent="0.2">
      <c r="A378" s="2">
        <f ca="1">IFERROR(__xludf.DUMMYFUNCTION("""COMPUTED_VALUE"""),42824.6666666666)</f>
        <v>42824.666666666599</v>
      </c>
      <c r="B378" s="1">
        <f ca="1">IFERROR(__xludf.DUMMYFUNCTION("""COMPUTED_VALUE"""),18.54)</f>
        <v>18.54</v>
      </c>
      <c r="C378" s="1">
        <f ca="1">IFERROR(__xludf.DUMMYFUNCTION("""COMPUTED_VALUE"""),18.8)</f>
        <v>18.8</v>
      </c>
      <c r="D378" s="1">
        <f ca="1">IFERROR(__xludf.DUMMYFUNCTION("""COMPUTED_VALUE"""),18.48)</f>
        <v>18.48</v>
      </c>
      <c r="E378" s="1">
        <f ca="1">IFERROR(__xludf.DUMMYFUNCTION("""COMPUTED_VALUE"""),18.53)</f>
        <v>18.53</v>
      </c>
      <c r="F378" s="1">
        <f ca="1">IFERROR(__xludf.DUMMYFUNCTION("""COMPUTED_VALUE"""),4148426)</f>
        <v>4148426</v>
      </c>
    </row>
    <row r="379" spans="1:6" x14ac:dyDescent="0.2">
      <c r="A379" s="2">
        <f ca="1">IFERROR(__xludf.DUMMYFUNCTION("""COMPUTED_VALUE"""),42825.6666666666)</f>
        <v>42825.666666666599</v>
      </c>
      <c r="B379" s="1">
        <f ca="1">IFERROR(__xludf.DUMMYFUNCTION("""COMPUTED_VALUE"""),18.58)</f>
        <v>18.579999999999998</v>
      </c>
      <c r="C379" s="1">
        <f ca="1">IFERROR(__xludf.DUMMYFUNCTION("""COMPUTED_VALUE"""),18.65)</f>
        <v>18.649999999999999</v>
      </c>
      <c r="D379" s="1">
        <f ca="1">IFERROR(__xludf.DUMMYFUNCTION("""COMPUTED_VALUE"""),18.42)</f>
        <v>18.420000000000002</v>
      </c>
      <c r="E379" s="1">
        <f ca="1">IFERROR(__xludf.DUMMYFUNCTION("""COMPUTED_VALUE"""),18.55)</f>
        <v>18.55</v>
      </c>
      <c r="F379" s="1">
        <f ca="1">IFERROR(__xludf.DUMMYFUNCTION("""COMPUTED_VALUE"""),3294640)</f>
        <v>3294640</v>
      </c>
    </row>
    <row r="380" spans="1:6" x14ac:dyDescent="0.2">
      <c r="A380" s="2">
        <f ca="1">IFERROR(__xludf.DUMMYFUNCTION("""COMPUTED_VALUE"""),42828.6666666666)</f>
        <v>42828.666666666599</v>
      </c>
      <c r="B380" s="1">
        <f ca="1">IFERROR(__xludf.DUMMYFUNCTION("""COMPUTED_VALUE"""),19.13)</f>
        <v>19.13</v>
      </c>
      <c r="C380" s="1">
        <f ca="1">IFERROR(__xludf.DUMMYFUNCTION("""COMPUTED_VALUE"""),19.93)</f>
        <v>19.93</v>
      </c>
      <c r="D380" s="1">
        <f ca="1">IFERROR(__xludf.DUMMYFUNCTION("""COMPUTED_VALUE"""),18.97)</f>
        <v>18.97</v>
      </c>
      <c r="E380" s="1">
        <f ca="1">IFERROR(__xludf.DUMMYFUNCTION("""COMPUTED_VALUE"""),19.9)</f>
        <v>19.899999999999999</v>
      </c>
      <c r="F380" s="1">
        <f ca="1">IFERROR(__xludf.DUMMYFUNCTION("""COMPUTED_VALUE"""),13888618)</f>
        <v>13888618</v>
      </c>
    </row>
    <row r="381" spans="1:6" x14ac:dyDescent="0.2">
      <c r="A381" s="2">
        <f ca="1">IFERROR(__xludf.DUMMYFUNCTION("""COMPUTED_VALUE"""),42829.6666666666)</f>
        <v>42829.666666666599</v>
      </c>
      <c r="B381" s="1">
        <f ca="1">IFERROR(__xludf.DUMMYFUNCTION("""COMPUTED_VALUE"""),19.79)</f>
        <v>19.79</v>
      </c>
      <c r="C381" s="1">
        <f ca="1">IFERROR(__xludf.DUMMYFUNCTION("""COMPUTED_VALUE"""),20.32)</f>
        <v>20.32</v>
      </c>
      <c r="D381" s="1">
        <f ca="1">IFERROR(__xludf.DUMMYFUNCTION("""COMPUTED_VALUE"""),19.64)</f>
        <v>19.64</v>
      </c>
      <c r="E381" s="1">
        <f ca="1">IFERROR(__xludf.DUMMYFUNCTION("""COMPUTED_VALUE"""),20.25)</f>
        <v>20.25</v>
      </c>
      <c r="F381" s="1">
        <f ca="1">IFERROR(__xludf.DUMMYFUNCTION("""COMPUTED_VALUE"""),10134556)</f>
        <v>10134556</v>
      </c>
    </row>
    <row r="382" spans="1:6" x14ac:dyDescent="0.2">
      <c r="A382" s="2">
        <f ca="1">IFERROR(__xludf.DUMMYFUNCTION("""COMPUTED_VALUE"""),42830.6666666666)</f>
        <v>42830.666666666599</v>
      </c>
      <c r="B382" s="1">
        <f ca="1">IFERROR(__xludf.DUMMYFUNCTION("""COMPUTED_VALUE"""),20.14)</f>
        <v>20.14</v>
      </c>
      <c r="C382" s="1">
        <f ca="1">IFERROR(__xludf.DUMMYFUNCTION("""COMPUTED_VALUE"""),20.33)</f>
        <v>20.329999999999998</v>
      </c>
      <c r="D382" s="1">
        <f ca="1">IFERROR(__xludf.DUMMYFUNCTION("""COMPUTED_VALUE"""),19.61)</f>
        <v>19.61</v>
      </c>
      <c r="E382" s="1">
        <f ca="1">IFERROR(__xludf.DUMMYFUNCTION("""COMPUTED_VALUE"""),19.67)</f>
        <v>19.670000000000002</v>
      </c>
      <c r="F382" s="1">
        <f ca="1">IFERROR(__xludf.DUMMYFUNCTION("""COMPUTED_VALUE"""),7880938)</f>
        <v>7880938</v>
      </c>
    </row>
    <row r="383" spans="1:6" x14ac:dyDescent="0.2">
      <c r="A383" s="2">
        <f ca="1">IFERROR(__xludf.DUMMYFUNCTION("""COMPUTED_VALUE"""),42831.6666666666)</f>
        <v>42831.666666666599</v>
      </c>
      <c r="B383" s="1">
        <f ca="1">IFERROR(__xludf.DUMMYFUNCTION("""COMPUTED_VALUE"""),19.79)</f>
        <v>19.79</v>
      </c>
      <c r="C383" s="1">
        <f ca="1">IFERROR(__xludf.DUMMYFUNCTION("""COMPUTED_VALUE"""),20.13)</f>
        <v>20.13</v>
      </c>
      <c r="D383" s="1">
        <f ca="1">IFERROR(__xludf.DUMMYFUNCTION("""COMPUTED_VALUE"""),19.61)</f>
        <v>19.61</v>
      </c>
      <c r="E383" s="1">
        <f ca="1">IFERROR(__xludf.DUMMYFUNCTION("""COMPUTED_VALUE"""),19.91)</f>
        <v>19.91</v>
      </c>
      <c r="F383" s="1">
        <f ca="1">IFERROR(__xludf.DUMMYFUNCTION("""COMPUTED_VALUE"""),5520588)</f>
        <v>5520588</v>
      </c>
    </row>
    <row r="384" spans="1:6" x14ac:dyDescent="0.2">
      <c r="A384" s="2">
        <f ca="1">IFERROR(__xludf.DUMMYFUNCTION("""COMPUTED_VALUE"""),42832.6666666666)</f>
        <v>42832.666666666599</v>
      </c>
      <c r="B384" s="1">
        <f ca="1">IFERROR(__xludf.DUMMYFUNCTION("""COMPUTED_VALUE"""),19.83)</f>
        <v>19.829999999999998</v>
      </c>
      <c r="C384" s="1">
        <f ca="1">IFERROR(__xludf.DUMMYFUNCTION("""COMPUTED_VALUE"""),20.18)</f>
        <v>20.18</v>
      </c>
      <c r="D384" s="1">
        <f ca="1">IFERROR(__xludf.DUMMYFUNCTION("""COMPUTED_VALUE"""),19.81)</f>
        <v>19.809999999999999</v>
      </c>
      <c r="E384" s="1">
        <f ca="1">IFERROR(__xludf.DUMMYFUNCTION("""COMPUTED_VALUE"""),20.17)</f>
        <v>20.170000000000002</v>
      </c>
      <c r="F384" s="1">
        <f ca="1">IFERROR(__xludf.DUMMYFUNCTION("""COMPUTED_VALUE"""),4579613)</f>
        <v>4579613</v>
      </c>
    </row>
    <row r="385" spans="1:6" x14ac:dyDescent="0.2">
      <c r="A385" s="2">
        <f ca="1">IFERROR(__xludf.DUMMYFUNCTION("""COMPUTED_VALUE"""),42835.6666666666)</f>
        <v>42835.666666666599</v>
      </c>
      <c r="B385" s="1">
        <f ca="1">IFERROR(__xludf.DUMMYFUNCTION("""COMPUTED_VALUE"""),20.61)</f>
        <v>20.61</v>
      </c>
      <c r="C385" s="1">
        <f ca="1">IFERROR(__xludf.DUMMYFUNCTION("""COMPUTED_VALUE"""),20.92)</f>
        <v>20.92</v>
      </c>
      <c r="D385" s="1">
        <f ca="1">IFERROR(__xludf.DUMMYFUNCTION("""COMPUTED_VALUE"""),20.58)</f>
        <v>20.58</v>
      </c>
      <c r="E385" s="1">
        <f ca="1">IFERROR(__xludf.DUMMYFUNCTION("""COMPUTED_VALUE"""),20.83)</f>
        <v>20.83</v>
      </c>
      <c r="F385" s="1">
        <f ca="1">IFERROR(__xludf.DUMMYFUNCTION("""COMPUTED_VALUE"""),7664458)</f>
        <v>7664458</v>
      </c>
    </row>
    <row r="386" spans="1:6" x14ac:dyDescent="0.2">
      <c r="A386" s="2">
        <f ca="1">IFERROR(__xludf.DUMMYFUNCTION("""COMPUTED_VALUE"""),42836.6666666666)</f>
        <v>42836.666666666599</v>
      </c>
      <c r="B386" s="1">
        <f ca="1">IFERROR(__xludf.DUMMYFUNCTION("""COMPUTED_VALUE"""),20.89)</f>
        <v>20.89</v>
      </c>
      <c r="C386" s="1">
        <f ca="1">IFERROR(__xludf.DUMMYFUNCTION("""COMPUTED_VALUE"""),20.9)</f>
        <v>20.9</v>
      </c>
      <c r="D386" s="1">
        <f ca="1">IFERROR(__xludf.DUMMYFUNCTION("""COMPUTED_VALUE"""),20.37)</f>
        <v>20.37</v>
      </c>
      <c r="E386" s="1">
        <f ca="1">IFERROR(__xludf.DUMMYFUNCTION("""COMPUTED_VALUE"""),20.58)</f>
        <v>20.58</v>
      </c>
      <c r="F386" s="1">
        <f ca="1">IFERROR(__xludf.DUMMYFUNCTION("""COMPUTED_VALUE"""),5724577)</f>
        <v>5724577</v>
      </c>
    </row>
    <row r="387" spans="1:6" x14ac:dyDescent="0.2">
      <c r="A387" s="2">
        <f ca="1">IFERROR(__xludf.DUMMYFUNCTION("""COMPUTED_VALUE"""),42837.6666666666)</f>
        <v>42837.666666666599</v>
      </c>
      <c r="B387" s="1">
        <f ca="1">IFERROR(__xludf.DUMMYFUNCTION("""COMPUTED_VALUE"""),20.42)</f>
        <v>20.420000000000002</v>
      </c>
      <c r="C387" s="1">
        <f ca="1">IFERROR(__xludf.DUMMYFUNCTION("""COMPUTED_VALUE"""),20.56)</f>
        <v>20.56</v>
      </c>
      <c r="D387" s="1">
        <f ca="1">IFERROR(__xludf.DUMMYFUNCTION("""COMPUTED_VALUE"""),19.75)</f>
        <v>19.75</v>
      </c>
      <c r="E387" s="1">
        <f ca="1">IFERROR(__xludf.DUMMYFUNCTION("""COMPUTED_VALUE"""),19.79)</f>
        <v>19.79</v>
      </c>
      <c r="F387" s="1">
        <f ca="1">IFERROR(__xludf.DUMMYFUNCTION("""COMPUTED_VALUE"""),6050682)</f>
        <v>6050682</v>
      </c>
    </row>
    <row r="388" spans="1:6" x14ac:dyDescent="0.2">
      <c r="A388" s="2">
        <f ca="1">IFERROR(__xludf.DUMMYFUNCTION("""COMPUTED_VALUE"""),42838.6666666666)</f>
        <v>42838.666666666599</v>
      </c>
      <c r="B388" s="1">
        <f ca="1">IFERROR(__xludf.DUMMYFUNCTION("""COMPUTED_VALUE"""),19.78)</f>
        <v>19.78</v>
      </c>
      <c r="C388" s="1">
        <f ca="1">IFERROR(__xludf.DUMMYFUNCTION("""COMPUTED_VALUE"""),20.49)</f>
        <v>20.49</v>
      </c>
      <c r="D388" s="1">
        <f ca="1">IFERROR(__xludf.DUMMYFUNCTION("""COMPUTED_VALUE"""),19.69)</f>
        <v>19.690000000000001</v>
      </c>
      <c r="E388" s="1">
        <f ca="1">IFERROR(__xludf.DUMMYFUNCTION("""COMPUTED_VALUE"""),20.27)</f>
        <v>20.27</v>
      </c>
      <c r="F388" s="1">
        <f ca="1">IFERROR(__xludf.DUMMYFUNCTION("""COMPUTED_VALUE"""),9284634)</f>
        <v>9284634</v>
      </c>
    </row>
    <row r="389" spans="1:6" x14ac:dyDescent="0.2">
      <c r="A389" s="2">
        <f ca="1">IFERROR(__xludf.DUMMYFUNCTION("""COMPUTED_VALUE"""),42842.6666666666)</f>
        <v>42842.666666666599</v>
      </c>
      <c r="B389" s="1">
        <f ca="1">IFERROR(__xludf.DUMMYFUNCTION("""COMPUTED_VALUE"""),20.18)</f>
        <v>20.18</v>
      </c>
      <c r="C389" s="1">
        <f ca="1">IFERROR(__xludf.DUMMYFUNCTION("""COMPUTED_VALUE"""),20.27)</f>
        <v>20.27</v>
      </c>
      <c r="D389" s="1">
        <f ca="1">IFERROR(__xludf.DUMMYFUNCTION("""COMPUTED_VALUE"""),19.91)</f>
        <v>19.91</v>
      </c>
      <c r="E389" s="1">
        <f ca="1">IFERROR(__xludf.DUMMYFUNCTION("""COMPUTED_VALUE"""),20.1)</f>
        <v>20.100000000000001</v>
      </c>
      <c r="F389" s="1">
        <f ca="1">IFERROR(__xludf.DUMMYFUNCTION("""COMPUTED_VALUE"""),4138736)</f>
        <v>4138736</v>
      </c>
    </row>
    <row r="390" spans="1:6" x14ac:dyDescent="0.2">
      <c r="A390" s="2">
        <f ca="1">IFERROR(__xludf.DUMMYFUNCTION("""COMPUTED_VALUE"""),42843.6666666666)</f>
        <v>42843.666666666599</v>
      </c>
      <c r="B390" s="1">
        <f ca="1">IFERROR(__xludf.DUMMYFUNCTION("""COMPUTED_VALUE"""),19.98)</f>
        <v>19.98</v>
      </c>
      <c r="C390" s="1">
        <f ca="1">IFERROR(__xludf.DUMMYFUNCTION("""COMPUTED_VALUE"""),20.06)</f>
        <v>20.059999999999999</v>
      </c>
      <c r="D390" s="1">
        <f ca="1">IFERROR(__xludf.DUMMYFUNCTION("""COMPUTED_VALUE"""),19.86)</f>
        <v>19.86</v>
      </c>
      <c r="E390" s="1">
        <f ca="1">IFERROR(__xludf.DUMMYFUNCTION("""COMPUTED_VALUE"""),20.02)</f>
        <v>20.02</v>
      </c>
      <c r="F390" s="1">
        <f ca="1">IFERROR(__xludf.DUMMYFUNCTION("""COMPUTED_VALUE"""),3035698)</f>
        <v>3035698</v>
      </c>
    </row>
    <row r="391" spans="1:6" x14ac:dyDescent="0.2">
      <c r="A391" s="2">
        <f ca="1">IFERROR(__xludf.DUMMYFUNCTION("""COMPUTED_VALUE"""),42844.6666666666)</f>
        <v>42844.666666666599</v>
      </c>
      <c r="B391" s="1">
        <f ca="1">IFERROR(__xludf.DUMMYFUNCTION("""COMPUTED_VALUE"""),20.16)</f>
        <v>20.16</v>
      </c>
      <c r="C391" s="1">
        <f ca="1">IFERROR(__xludf.DUMMYFUNCTION("""COMPUTED_VALUE"""),20.44)</f>
        <v>20.440000000000001</v>
      </c>
      <c r="D391" s="1">
        <f ca="1">IFERROR(__xludf.DUMMYFUNCTION("""COMPUTED_VALUE"""),20.14)</f>
        <v>20.14</v>
      </c>
      <c r="E391" s="1">
        <f ca="1">IFERROR(__xludf.DUMMYFUNCTION("""COMPUTED_VALUE"""),20.37)</f>
        <v>20.37</v>
      </c>
      <c r="F391" s="1">
        <f ca="1">IFERROR(__xludf.DUMMYFUNCTION("""COMPUTED_VALUE"""),3898024)</f>
        <v>3898024</v>
      </c>
    </row>
    <row r="392" spans="1:6" x14ac:dyDescent="0.2">
      <c r="A392" s="2">
        <f ca="1">IFERROR(__xludf.DUMMYFUNCTION("""COMPUTED_VALUE"""),42845.6666666666)</f>
        <v>42845.666666666599</v>
      </c>
      <c r="B392" s="1">
        <f ca="1">IFERROR(__xludf.DUMMYFUNCTION("""COMPUTED_VALUE"""),20.43)</f>
        <v>20.43</v>
      </c>
      <c r="C392" s="1">
        <f ca="1">IFERROR(__xludf.DUMMYFUNCTION("""COMPUTED_VALUE"""),20.61)</f>
        <v>20.61</v>
      </c>
      <c r="D392" s="1">
        <f ca="1">IFERROR(__xludf.DUMMYFUNCTION("""COMPUTED_VALUE"""),20.02)</f>
        <v>20.02</v>
      </c>
      <c r="E392" s="1">
        <f ca="1">IFERROR(__xludf.DUMMYFUNCTION("""COMPUTED_VALUE"""),20.17)</f>
        <v>20.170000000000002</v>
      </c>
      <c r="F392" s="1">
        <f ca="1">IFERROR(__xludf.DUMMYFUNCTION("""COMPUTED_VALUE"""),6149352)</f>
        <v>6149352</v>
      </c>
    </row>
    <row r="393" spans="1:6" x14ac:dyDescent="0.2">
      <c r="A393" s="2">
        <f ca="1">IFERROR(__xludf.DUMMYFUNCTION("""COMPUTED_VALUE"""),42846.6666666666)</f>
        <v>42846.666666666599</v>
      </c>
      <c r="B393" s="1">
        <f ca="1">IFERROR(__xludf.DUMMYFUNCTION("""COMPUTED_VALUE"""),20.13)</f>
        <v>20.13</v>
      </c>
      <c r="C393" s="1">
        <f ca="1">IFERROR(__xludf.DUMMYFUNCTION("""COMPUTED_VALUE"""),20.43)</f>
        <v>20.43</v>
      </c>
      <c r="D393" s="1">
        <f ca="1">IFERROR(__xludf.DUMMYFUNCTION("""COMPUTED_VALUE"""),20.03)</f>
        <v>20.03</v>
      </c>
      <c r="E393" s="1">
        <f ca="1">IFERROR(__xludf.DUMMYFUNCTION("""COMPUTED_VALUE"""),20.37)</f>
        <v>20.37</v>
      </c>
      <c r="F393" s="1">
        <f ca="1">IFERROR(__xludf.DUMMYFUNCTION("""COMPUTED_VALUE"""),4509756)</f>
        <v>4509756</v>
      </c>
    </row>
    <row r="394" spans="1:6" x14ac:dyDescent="0.2">
      <c r="A394" s="2">
        <f ca="1">IFERROR(__xludf.DUMMYFUNCTION("""COMPUTED_VALUE"""),42849.6666666666)</f>
        <v>42849.666666666599</v>
      </c>
      <c r="B394" s="1">
        <f ca="1">IFERROR(__xludf.DUMMYFUNCTION("""COMPUTED_VALUE"""),20.61)</f>
        <v>20.61</v>
      </c>
      <c r="C394" s="1">
        <f ca="1">IFERROR(__xludf.DUMMYFUNCTION("""COMPUTED_VALUE"""),20.7)</f>
        <v>20.7</v>
      </c>
      <c r="D394" s="1">
        <f ca="1">IFERROR(__xludf.DUMMYFUNCTION("""COMPUTED_VALUE"""),20.4)</f>
        <v>20.399999999999999</v>
      </c>
      <c r="E394" s="1">
        <f ca="1">IFERROR(__xludf.DUMMYFUNCTION("""COMPUTED_VALUE"""),20.54)</f>
        <v>20.54</v>
      </c>
      <c r="F394" s="1">
        <f ca="1">IFERROR(__xludf.DUMMYFUNCTION("""COMPUTED_VALUE"""),5083505)</f>
        <v>5083505</v>
      </c>
    </row>
    <row r="395" spans="1:6" x14ac:dyDescent="0.2">
      <c r="A395" s="2">
        <f ca="1">IFERROR(__xludf.DUMMYFUNCTION("""COMPUTED_VALUE"""),42850.6666666666)</f>
        <v>42850.666666666599</v>
      </c>
      <c r="B395" s="1">
        <f ca="1">IFERROR(__xludf.DUMMYFUNCTION("""COMPUTED_VALUE"""),20.53)</f>
        <v>20.53</v>
      </c>
      <c r="C395" s="1">
        <f ca="1">IFERROR(__xludf.DUMMYFUNCTION("""COMPUTED_VALUE"""),20.93)</f>
        <v>20.93</v>
      </c>
      <c r="D395" s="1">
        <f ca="1">IFERROR(__xludf.DUMMYFUNCTION("""COMPUTED_VALUE"""),20.39)</f>
        <v>20.39</v>
      </c>
      <c r="E395" s="1">
        <f ca="1">IFERROR(__xludf.DUMMYFUNCTION("""COMPUTED_VALUE"""),20.92)</f>
        <v>20.92</v>
      </c>
      <c r="F395" s="1">
        <f ca="1">IFERROR(__xludf.DUMMYFUNCTION("""COMPUTED_VALUE"""),6737708)</f>
        <v>6737708</v>
      </c>
    </row>
    <row r="396" spans="1:6" x14ac:dyDescent="0.2">
      <c r="A396" s="2">
        <f ca="1">IFERROR(__xludf.DUMMYFUNCTION("""COMPUTED_VALUE"""),42851.6666666666)</f>
        <v>42851.666666666599</v>
      </c>
      <c r="B396" s="1">
        <f ca="1">IFERROR(__xludf.DUMMYFUNCTION("""COMPUTED_VALUE"""),20.82)</f>
        <v>20.82</v>
      </c>
      <c r="C396" s="1">
        <f ca="1">IFERROR(__xludf.DUMMYFUNCTION("""COMPUTED_VALUE"""),20.97)</f>
        <v>20.97</v>
      </c>
      <c r="D396" s="1">
        <f ca="1">IFERROR(__xludf.DUMMYFUNCTION("""COMPUTED_VALUE"""),20.6)</f>
        <v>20.6</v>
      </c>
      <c r="E396" s="1">
        <f ca="1">IFERROR(__xludf.DUMMYFUNCTION("""COMPUTED_VALUE"""),20.68)</f>
        <v>20.68</v>
      </c>
      <c r="F396" s="1">
        <f ca="1">IFERROR(__xludf.DUMMYFUNCTION("""COMPUTED_VALUE"""),4695044)</f>
        <v>4695044</v>
      </c>
    </row>
    <row r="397" spans="1:6" x14ac:dyDescent="0.2">
      <c r="A397" s="2">
        <f ca="1">IFERROR(__xludf.DUMMYFUNCTION("""COMPUTED_VALUE"""),42852.6666666666)</f>
        <v>42852.666666666599</v>
      </c>
      <c r="B397" s="1">
        <f ca="1">IFERROR(__xludf.DUMMYFUNCTION("""COMPUTED_VALUE"""),20.78)</f>
        <v>20.78</v>
      </c>
      <c r="C397" s="1">
        <f ca="1">IFERROR(__xludf.DUMMYFUNCTION("""COMPUTED_VALUE"""),20.87)</f>
        <v>20.87</v>
      </c>
      <c r="D397" s="1">
        <f ca="1">IFERROR(__xludf.DUMMYFUNCTION("""COMPUTED_VALUE"""),20.5)</f>
        <v>20.5</v>
      </c>
      <c r="E397" s="1">
        <f ca="1">IFERROR(__xludf.DUMMYFUNCTION("""COMPUTED_VALUE"""),20.58)</f>
        <v>20.58</v>
      </c>
      <c r="F397" s="1">
        <f ca="1">IFERROR(__xludf.DUMMYFUNCTION("""COMPUTED_VALUE"""),3468569)</f>
        <v>3468569</v>
      </c>
    </row>
    <row r="398" spans="1:6" x14ac:dyDescent="0.2">
      <c r="A398" s="2">
        <f ca="1">IFERROR(__xludf.DUMMYFUNCTION("""COMPUTED_VALUE"""),42853.6666666666)</f>
        <v>42853.666666666599</v>
      </c>
      <c r="B398" s="1">
        <f ca="1">IFERROR(__xludf.DUMMYFUNCTION("""COMPUTED_VALUE"""),20.66)</f>
        <v>20.66</v>
      </c>
      <c r="C398" s="1">
        <f ca="1">IFERROR(__xludf.DUMMYFUNCTION("""COMPUTED_VALUE"""),20.99)</f>
        <v>20.99</v>
      </c>
      <c r="D398" s="1">
        <f ca="1">IFERROR(__xludf.DUMMYFUNCTION("""COMPUTED_VALUE"""),20.53)</f>
        <v>20.53</v>
      </c>
      <c r="E398" s="1">
        <f ca="1">IFERROR(__xludf.DUMMYFUNCTION("""COMPUTED_VALUE"""),20.94)</f>
        <v>20.94</v>
      </c>
      <c r="F398" s="1">
        <f ca="1">IFERROR(__xludf.DUMMYFUNCTION("""COMPUTED_VALUE"""),4505478)</f>
        <v>4505478</v>
      </c>
    </row>
    <row r="399" spans="1:6" x14ac:dyDescent="0.2">
      <c r="A399" s="2">
        <f ca="1">IFERROR(__xludf.DUMMYFUNCTION("""COMPUTED_VALUE"""),42856.6666666666)</f>
        <v>42856.666666666599</v>
      </c>
      <c r="B399" s="1">
        <f ca="1">IFERROR(__xludf.DUMMYFUNCTION("""COMPUTED_VALUE"""),20.99)</f>
        <v>20.99</v>
      </c>
      <c r="C399" s="1">
        <f ca="1">IFERROR(__xludf.DUMMYFUNCTION("""COMPUTED_VALUE"""),21.82)</f>
        <v>21.82</v>
      </c>
      <c r="D399" s="1">
        <f ca="1">IFERROR(__xludf.DUMMYFUNCTION("""COMPUTED_VALUE"""),20.99)</f>
        <v>20.99</v>
      </c>
      <c r="E399" s="1">
        <f ca="1">IFERROR(__xludf.DUMMYFUNCTION("""COMPUTED_VALUE"""),21.52)</f>
        <v>21.52</v>
      </c>
      <c r="F399" s="1">
        <f ca="1">IFERROR(__xludf.DUMMYFUNCTION("""COMPUTED_VALUE"""),8829565)</f>
        <v>8829565</v>
      </c>
    </row>
    <row r="400" spans="1:6" x14ac:dyDescent="0.2">
      <c r="A400" s="2">
        <f ca="1">IFERROR(__xludf.DUMMYFUNCTION("""COMPUTED_VALUE"""),42857.6666666666)</f>
        <v>42857.666666666599</v>
      </c>
      <c r="B400" s="1">
        <f ca="1">IFERROR(__xludf.DUMMYFUNCTION("""COMPUTED_VALUE"""),21.6)</f>
        <v>21.6</v>
      </c>
      <c r="C400" s="1">
        <f ca="1">IFERROR(__xludf.DUMMYFUNCTION("""COMPUTED_VALUE"""),21.84)</f>
        <v>21.84</v>
      </c>
      <c r="D400" s="1">
        <f ca="1">IFERROR(__xludf.DUMMYFUNCTION("""COMPUTED_VALUE"""),21.1)</f>
        <v>21.1</v>
      </c>
      <c r="E400" s="1">
        <f ca="1">IFERROR(__xludf.DUMMYFUNCTION("""COMPUTED_VALUE"""),21.26)</f>
        <v>21.26</v>
      </c>
      <c r="F400" s="1">
        <f ca="1">IFERROR(__xludf.DUMMYFUNCTION("""COMPUTED_VALUE"""),5382777)</f>
        <v>5382777</v>
      </c>
    </row>
    <row r="401" spans="1:6" x14ac:dyDescent="0.2">
      <c r="A401" s="2">
        <f ca="1">IFERROR(__xludf.DUMMYFUNCTION("""COMPUTED_VALUE"""),42858.6666666666)</f>
        <v>42858.666666666599</v>
      </c>
      <c r="B401" s="1">
        <f ca="1">IFERROR(__xludf.DUMMYFUNCTION("""COMPUTED_VALUE"""),21.18)</f>
        <v>21.18</v>
      </c>
      <c r="C401" s="1">
        <f ca="1">IFERROR(__xludf.DUMMYFUNCTION("""COMPUTED_VALUE"""),21.44)</f>
        <v>21.44</v>
      </c>
      <c r="D401" s="1">
        <f ca="1">IFERROR(__xludf.DUMMYFUNCTION("""COMPUTED_VALUE"""),20.7)</f>
        <v>20.7</v>
      </c>
      <c r="E401" s="1">
        <f ca="1">IFERROR(__xludf.DUMMYFUNCTION("""COMPUTED_VALUE"""),20.73)</f>
        <v>20.73</v>
      </c>
      <c r="F401" s="1">
        <f ca="1">IFERROR(__xludf.DUMMYFUNCTION("""COMPUTED_VALUE"""),7133365)</f>
        <v>7133365</v>
      </c>
    </row>
    <row r="402" spans="1:6" x14ac:dyDescent="0.2">
      <c r="A402" s="2">
        <f ca="1">IFERROR(__xludf.DUMMYFUNCTION("""COMPUTED_VALUE"""),42859.6666666666)</f>
        <v>42859.666666666599</v>
      </c>
      <c r="B402" s="1">
        <f ca="1">IFERROR(__xludf.DUMMYFUNCTION("""COMPUTED_VALUE"""),20.5)</f>
        <v>20.5</v>
      </c>
      <c r="C402" s="1">
        <f ca="1">IFERROR(__xludf.DUMMYFUNCTION("""COMPUTED_VALUE"""),20.52)</f>
        <v>20.52</v>
      </c>
      <c r="D402" s="1">
        <f ca="1">IFERROR(__xludf.DUMMYFUNCTION("""COMPUTED_VALUE"""),19.38)</f>
        <v>19.38</v>
      </c>
      <c r="E402" s="1">
        <f ca="1">IFERROR(__xludf.DUMMYFUNCTION("""COMPUTED_VALUE"""),19.7)</f>
        <v>19.7</v>
      </c>
      <c r="F402" s="1">
        <f ca="1">IFERROR(__xludf.DUMMYFUNCTION("""COMPUTED_VALUE"""),14152008)</f>
        <v>14152008</v>
      </c>
    </row>
    <row r="403" spans="1:6" x14ac:dyDescent="0.2">
      <c r="A403" s="2">
        <f ca="1">IFERROR(__xludf.DUMMYFUNCTION("""COMPUTED_VALUE"""),42860.6666666666)</f>
        <v>42860.666666666599</v>
      </c>
      <c r="B403" s="1">
        <f ca="1">IFERROR(__xludf.DUMMYFUNCTION("""COMPUTED_VALUE"""),19.87)</f>
        <v>19.87</v>
      </c>
      <c r="C403" s="1">
        <f ca="1">IFERROR(__xludf.DUMMYFUNCTION("""COMPUTED_VALUE"""),20.57)</f>
        <v>20.57</v>
      </c>
      <c r="D403" s="1">
        <f ca="1">IFERROR(__xludf.DUMMYFUNCTION("""COMPUTED_VALUE"""),19.79)</f>
        <v>19.79</v>
      </c>
      <c r="E403" s="1">
        <f ca="1">IFERROR(__xludf.DUMMYFUNCTION("""COMPUTED_VALUE"""),20.56)</f>
        <v>20.56</v>
      </c>
      <c r="F403" s="1">
        <f ca="1">IFERROR(__xludf.DUMMYFUNCTION("""COMPUTED_VALUE"""),8177347)</f>
        <v>8177347</v>
      </c>
    </row>
    <row r="404" spans="1:6" x14ac:dyDescent="0.2">
      <c r="A404" s="2">
        <f ca="1">IFERROR(__xludf.DUMMYFUNCTION("""COMPUTED_VALUE"""),42863.6666666666)</f>
        <v>42863.666666666599</v>
      </c>
      <c r="B404" s="1">
        <f ca="1">IFERROR(__xludf.DUMMYFUNCTION("""COMPUTED_VALUE"""),20.73)</f>
        <v>20.73</v>
      </c>
      <c r="C404" s="1">
        <f ca="1">IFERROR(__xludf.DUMMYFUNCTION("""COMPUTED_VALUE"""),20.92)</f>
        <v>20.92</v>
      </c>
      <c r="D404" s="1">
        <f ca="1">IFERROR(__xludf.DUMMYFUNCTION("""COMPUTED_VALUE"""),20.39)</f>
        <v>20.39</v>
      </c>
      <c r="E404" s="1">
        <f ca="1">IFERROR(__xludf.DUMMYFUNCTION("""COMPUTED_VALUE"""),20.48)</f>
        <v>20.48</v>
      </c>
      <c r="F404" s="1">
        <f ca="1">IFERROR(__xludf.DUMMYFUNCTION("""COMPUTED_VALUE"""),7006471)</f>
        <v>7006471</v>
      </c>
    </row>
    <row r="405" spans="1:6" x14ac:dyDescent="0.2">
      <c r="A405" s="2">
        <f ca="1">IFERROR(__xludf.DUMMYFUNCTION("""COMPUTED_VALUE"""),42864.6666666666)</f>
        <v>42864.666666666599</v>
      </c>
      <c r="B405" s="1">
        <f ca="1">IFERROR(__xludf.DUMMYFUNCTION("""COMPUTED_VALUE"""),20.63)</f>
        <v>20.63</v>
      </c>
      <c r="C405" s="1">
        <f ca="1">IFERROR(__xludf.DUMMYFUNCTION("""COMPUTED_VALUE"""),21.47)</f>
        <v>21.47</v>
      </c>
      <c r="D405" s="1">
        <f ca="1">IFERROR(__xludf.DUMMYFUNCTION("""COMPUTED_VALUE"""),20.61)</f>
        <v>20.61</v>
      </c>
      <c r="E405" s="1">
        <f ca="1">IFERROR(__xludf.DUMMYFUNCTION("""COMPUTED_VALUE"""),21.42)</f>
        <v>21.42</v>
      </c>
      <c r="F405" s="1">
        <f ca="1">IFERROR(__xludf.DUMMYFUNCTION("""COMPUTED_VALUE"""),9676537)</f>
        <v>9676537</v>
      </c>
    </row>
    <row r="406" spans="1:6" x14ac:dyDescent="0.2">
      <c r="A406" s="2">
        <f ca="1">IFERROR(__xludf.DUMMYFUNCTION("""COMPUTED_VALUE"""),42865.6666666666)</f>
        <v>42865.666666666599</v>
      </c>
      <c r="B406" s="1">
        <f ca="1">IFERROR(__xludf.DUMMYFUNCTION("""COMPUTED_VALUE"""),21.44)</f>
        <v>21.44</v>
      </c>
      <c r="C406" s="1">
        <f ca="1">IFERROR(__xludf.DUMMYFUNCTION("""COMPUTED_VALUE"""),21.7)</f>
        <v>21.7</v>
      </c>
      <c r="D406" s="1">
        <f ca="1">IFERROR(__xludf.DUMMYFUNCTION("""COMPUTED_VALUE"""),21.21)</f>
        <v>21.21</v>
      </c>
      <c r="E406" s="1">
        <f ca="1">IFERROR(__xludf.DUMMYFUNCTION("""COMPUTED_VALUE"""),21.68)</f>
        <v>21.68</v>
      </c>
      <c r="F406" s="1">
        <f ca="1">IFERROR(__xludf.DUMMYFUNCTION("""COMPUTED_VALUE"""),5741607)</f>
        <v>5741607</v>
      </c>
    </row>
    <row r="407" spans="1:6" x14ac:dyDescent="0.2">
      <c r="A407" s="2">
        <f ca="1">IFERROR(__xludf.DUMMYFUNCTION("""COMPUTED_VALUE"""),42866.6666666666)</f>
        <v>42866.666666666599</v>
      </c>
      <c r="B407" s="1">
        <f ca="1">IFERROR(__xludf.DUMMYFUNCTION("""COMPUTED_VALUE"""),21.56)</f>
        <v>21.56</v>
      </c>
      <c r="C407" s="1">
        <f ca="1">IFERROR(__xludf.DUMMYFUNCTION("""COMPUTED_VALUE"""),21.73)</f>
        <v>21.73</v>
      </c>
      <c r="D407" s="1">
        <f ca="1">IFERROR(__xludf.DUMMYFUNCTION("""COMPUTED_VALUE"""),21.31)</f>
        <v>21.31</v>
      </c>
      <c r="E407" s="1">
        <f ca="1">IFERROR(__xludf.DUMMYFUNCTION("""COMPUTED_VALUE"""),21.54)</f>
        <v>21.54</v>
      </c>
      <c r="F407" s="1">
        <f ca="1">IFERROR(__xludf.DUMMYFUNCTION("""COMPUTED_VALUE"""),4753819)</f>
        <v>4753819</v>
      </c>
    </row>
    <row r="408" spans="1:6" x14ac:dyDescent="0.2">
      <c r="A408" s="2">
        <f ca="1">IFERROR(__xludf.DUMMYFUNCTION("""COMPUTED_VALUE"""),42867.6666666666)</f>
        <v>42867.666666666599</v>
      </c>
      <c r="B408" s="1">
        <f ca="1">IFERROR(__xludf.DUMMYFUNCTION("""COMPUTED_VALUE"""),21.7)</f>
        <v>21.7</v>
      </c>
      <c r="C408" s="1">
        <f ca="1">IFERROR(__xludf.DUMMYFUNCTION("""COMPUTED_VALUE"""),21.8)</f>
        <v>21.8</v>
      </c>
      <c r="D408" s="1">
        <f ca="1">IFERROR(__xludf.DUMMYFUNCTION("""COMPUTED_VALUE"""),21.44)</f>
        <v>21.44</v>
      </c>
      <c r="E408" s="1">
        <f ca="1">IFERROR(__xludf.DUMMYFUNCTION("""COMPUTED_VALUE"""),21.65)</f>
        <v>21.65</v>
      </c>
      <c r="F408" s="1">
        <f ca="1">IFERROR(__xludf.DUMMYFUNCTION("""COMPUTED_VALUE"""),4121612)</f>
        <v>4121612</v>
      </c>
    </row>
    <row r="409" spans="1:6" x14ac:dyDescent="0.2">
      <c r="A409" s="2">
        <f ca="1">IFERROR(__xludf.DUMMYFUNCTION("""COMPUTED_VALUE"""),42870.6666666666)</f>
        <v>42870.666666666599</v>
      </c>
      <c r="B409" s="1">
        <f ca="1">IFERROR(__xludf.DUMMYFUNCTION("""COMPUTED_VALUE"""),21.23)</f>
        <v>21.23</v>
      </c>
      <c r="C409" s="1">
        <f ca="1">IFERROR(__xludf.DUMMYFUNCTION("""COMPUTED_VALUE"""),21.35)</f>
        <v>21.35</v>
      </c>
      <c r="D409" s="1">
        <f ca="1">IFERROR(__xludf.DUMMYFUNCTION("""COMPUTED_VALUE"""),20.84)</f>
        <v>20.84</v>
      </c>
      <c r="E409" s="1">
        <f ca="1">IFERROR(__xludf.DUMMYFUNCTION("""COMPUTED_VALUE"""),21.06)</f>
        <v>21.06</v>
      </c>
      <c r="F409" s="1">
        <f ca="1">IFERROR(__xludf.DUMMYFUNCTION("""COMPUTED_VALUE"""),7622004)</f>
        <v>7622004</v>
      </c>
    </row>
    <row r="410" spans="1:6" x14ac:dyDescent="0.2">
      <c r="A410" s="2">
        <f ca="1">IFERROR(__xludf.DUMMYFUNCTION("""COMPUTED_VALUE"""),42871.6666666666)</f>
        <v>42871.666666666599</v>
      </c>
      <c r="B410" s="1">
        <f ca="1">IFERROR(__xludf.DUMMYFUNCTION("""COMPUTED_VALUE"""),21.17)</f>
        <v>21.17</v>
      </c>
      <c r="C410" s="1">
        <f ca="1">IFERROR(__xludf.DUMMYFUNCTION("""COMPUTED_VALUE"""),21.34)</f>
        <v>21.34</v>
      </c>
      <c r="D410" s="1">
        <f ca="1">IFERROR(__xludf.DUMMYFUNCTION("""COMPUTED_VALUE"""),21.01)</f>
        <v>21.01</v>
      </c>
      <c r="E410" s="1">
        <f ca="1">IFERROR(__xludf.DUMMYFUNCTION("""COMPUTED_VALUE"""),21.13)</f>
        <v>21.13</v>
      </c>
      <c r="F410" s="1">
        <f ca="1">IFERROR(__xludf.DUMMYFUNCTION("""COMPUTED_VALUE"""),4152484)</f>
        <v>4152484</v>
      </c>
    </row>
    <row r="411" spans="1:6" x14ac:dyDescent="0.2">
      <c r="A411" s="2">
        <f ca="1">IFERROR(__xludf.DUMMYFUNCTION("""COMPUTED_VALUE"""),42872.6666666666)</f>
        <v>42872.666666666599</v>
      </c>
      <c r="B411" s="1">
        <f ca="1">IFERROR(__xludf.DUMMYFUNCTION("""COMPUTED_VALUE"""),20.96)</f>
        <v>20.96</v>
      </c>
      <c r="C411" s="1">
        <f ca="1">IFERROR(__xludf.DUMMYFUNCTION("""COMPUTED_VALUE"""),20.98)</f>
        <v>20.98</v>
      </c>
      <c r="D411" s="1">
        <f ca="1">IFERROR(__xludf.DUMMYFUNCTION("""COMPUTED_VALUE"""),20.37)</f>
        <v>20.37</v>
      </c>
      <c r="E411" s="1">
        <f ca="1">IFERROR(__xludf.DUMMYFUNCTION("""COMPUTED_VALUE"""),20.41)</f>
        <v>20.41</v>
      </c>
      <c r="F411" s="1">
        <f ca="1">IFERROR(__xludf.DUMMYFUNCTION("""COMPUTED_VALUE"""),6711940)</f>
        <v>6711940</v>
      </c>
    </row>
    <row r="412" spans="1:6" x14ac:dyDescent="0.2">
      <c r="A412" s="2">
        <f ca="1">IFERROR(__xludf.DUMMYFUNCTION("""COMPUTED_VALUE"""),42873.6666666666)</f>
        <v>42873.666666666599</v>
      </c>
      <c r="B412" s="1">
        <f ca="1">IFERROR(__xludf.DUMMYFUNCTION("""COMPUTED_VALUE"""),20.47)</f>
        <v>20.47</v>
      </c>
      <c r="C412" s="1">
        <f ca="1">IFERROR(__xludf.DUMMYFUNCTION("""COMPUTED_VALUE"""),20.93)</f>
        <v>20.93</v>
      </c>
      <c r="D412" s="1">
        <f ca="1">IFERROR(__xludf.DUMMYFUNCTION("""COMPUTED_VALUE"""),20.35)</f>
        <v>20.350000000000001</v>
      </c>
      <c r="E412" s="1">
        <f ca="1">IFERROR(__xludf.DUMMYFUNCTION("""COMPUTED_VALUE"""),20.87)</f>
        <v>20.87</v>
      </c>
      <c r="F412" s="1">
        <f ca="1">IFERROR(__xludf.DUMMYFUNCTION("""COMPUTED_VALUE"""),5653801)</f>
        <v>5653801</v>
      </c>
    </row>
    <row r="413" spans="1:6" x14ac:dyDescent="0.2">
      <c r="A413" s="2">
        <f ca="1">IFERROR(__xludf.DUMMYFUNCTION("""COMPUTED_VALUE"""),42874.6666666666)</f>
        <v>42874.666666666599</v>
      </c>
      <c r="B413" s="1">
        <f ca="1">IFERROR(__xludf.DUMMYFUNCTION("""COMPUTED_VALUE"""),21.03)</f>
        <v>21.03</v>
      </c>
      <c r="C413" s="1">
        <f ca="1">IFERROR(__xludf.DUMMYFUNCTION("""COMPUTED_VALUE"""),21.1)</f>
        <v>21.1</v>
      </c>
      <c r="D413" s="1">
        <f ca="1">IFERROR(__xludf.DUMMYFUNCTION("""COMPUTED_VALUE"""),20.68)</f>
        <v>20.68</v>
      </c>
      <c r="E413" s="1">
        <f ca="1">IFERROR(__xludf.DUMMYFUNCTION("""COMPUTED_VALUE"""),20.72)</f>
        <v>20.72</v>
      </c>
      <c r="F413" s="1">
        <f ca="1">IFERROR(__xludf.DUMMYFUNCTION("""COMPUTED_VALUE"""),4687572)</f>
        <v>4687572</v>
      </c>
    </row>
    <row r="414" spans="1:6" x14ac:dyDescent="0.2">
      <c r="A414" s="2">
        <f ca="1">IFERROR(__xludf.DUMMYFUNCTION("""COMPUTED_VALUE"""),42877.6666666666)</f>
        <v>42877.666666666599</v>
      </c>
      <c r="B414" s="1">
        <f ca="1">IFERROR(__xludf.DUMMYFUNCTION("""COMPUTED_VALUE"""),20.85)</f>
        <v>20.85</v>
      </c>
      <c r="C414" s="1">
        <f ca="1">IFERROR(__xludf.DUMMYFUNCTION("""COMPUTED_VALUE"""),20.96)</f>
        <v>20.96</v>
      </c>
      <c r="D414" s="1">
        <f ca="1">IFERROR(__xludf.DUMMYFUNCTION("""COMPUTED_VALUE"""),20.45)</f>
        <v>20.45</v>
      </c>
      <c r="E414" s="1">
        <f ca="1">IFERROR(__xludf.DUMMYFUNCTION("""COMPUTED_VALUE"""),20.69)</f>
        <v>20.69</v>
      </c>
      <c r="F414" s="1">
        <f ca="1">IFERROR(__xludf.DUMMYFUNCTION("""COMPUTED_VALUE"""),4329178)</f>
        <v>4329178</v>
      </c>
    </row>
    <row r="415" spans="1:6" x14ac:dyDescent="0.2">
      <c r="A415" s="2">
        <f ca="1">IFERROR(__xludf.DUMMYFUNCTION("""COMPUTED_VALUE"""),42878.6666666666)</f>
        <v>42878.666666666599</v>
      </c>
      <c r="B415" s="1">
        <f ca="1">IFERROR(__xludf.DUMMYFUNCTION("""COMPUTED_VALUE"""),20.7)</f>
        <v>20.7</v>
      </c>
      <c r="C415" s="1">
        <f ca="1">IFERROR(__xludf.DUMMYFUNCTION("""COMPUTED_VALUE"""),20.72)</f>
        <v>20.72</v>
      </c>
      <c r="D415" s="1">
        <f ca="1">IFERROR(__xludf.DUMMYFUNCTION("""COMPUTED_VALUE"""),20.23)</f>
        <v>20.23</v>
      </c>
      <c r="E415" s="1">
        <f ca="1">IFERROR(__xludf.DUMMYFUNCTION("""COMPUTED_VALUE"""),20.26)</f>
        <v>20.260000000000002</v>
      </c>
      <c r="F415" s="1">
        <f ca="1">IFERROR(__xludf.DUMMYFUNCTION("""COMPUTED_VALUE"""),4318354)</f>
        <v>4318354</v>
      </c>
    </row>
    <row r="416" spans="1:6" x14ac:dyDescent="0.2">
      <c r="A416" s="2">
        <f ca="1">IFERROR(__xludf.DUMMYFUNCTION("""COMPUTED_VALUE"""),42879.6666666666)</f>
        <v>42879.666666666599</v>
      </c>
      <c r="B416" s="1">
        <f ca="1">IFERROR(__xludf.DUMMYFUNCTION("""COMPUTED_VALUE"""),20.43)</f>
        <v>20.43</v>
      </c>
      <c r="C416" s="1">
        <f ca="1">IFERROR(__xludf.DUMMYFUNCTION("""COMPUTED_VALUE"""),20.73)</f>
        <v>20.73</v>
      </c>
      <c r="D416" s="1">
        <f ca="1">IFERROR(__xludf.DUMMYFUNCTION("""COMPUTED_VALUE"""),20.36)</f>
        <v>20.36</v>
      </c>
      <c r="E416" s="1">
        <f ca="1">IFERROR(__xludf.DUMMYFUNCTION("""COMPUTED_VALUE"""),20.68)</f>
        <v>20.68</v>
      </c>
      <c r="F416" s="1">
        <f ca="1">IFERROR(__xludf.DUMMYFUNCTION("""COMPUTED_VALUE"""),5041692)</f>
        <v>5041692</v>
      </c>
    </row>
    <row r="417" spans="1:6" x14ac:dyDescent="0.2">
      <c r="A417" s="2">
        <f ca="1">IFERROR(__xludf.DUMMYFUNCTION("""COMPUTED_VALUE"""),42880.6666666666)</f>
        <v>42880.666666666599</v>
      </c>
      <c r="B417" s="1">
        <f ca="1">IFERROR(__xludf.DUMMYFUNCTION("""COMPUTED_VALUE"""),20.73)</f>
        <v>20.73</v>
      </c>
      <c r="C417" s="1">
        <f ca="1">IFERROR(__xludf.DUMMYFUNCTION("""COMPUTED_VALUE"""),21.13)</f>
        <v>21.13</v>
      </c>
      <c r="D417" s="1">
        <f ca="1">IFERROR(__xludf.DUMMYFUNCTION("""COMPUTED_VALUE"""),20.52)</f>
        <v>20.52</v>
      </c>
      <c r="E417" s="1">
        <f ca="1">IFERROR(__xludf.DUMMYFUNCTION("""COMPUTED_VALUE"""),21.12)</f>
        <v>21.12</v>
      </c>
      <c r="F417" s="1">
        <f ca="1">IFERROR(__xludf.DUMMYFUNCTION("""COMPUTED_VALUE"""),5013963)</f>
        <v>5013963</v>
      </c>
    </row>
    <row r="418" spans="1:6" x14ac:dyDescent="0.2">
      <c r="A418" s="2">
        <f ca="1">IFERROR(__xludf.DUMMYFUNCTION("""COMPUTED_VALUE"""),42881.6666666666)</f>
        <v>42881.666666666599</v>
      </c>
      <c r="B418" s="1">
        <f ca="1">IFERROR(__xludf.DUMMYFUNCTION("""COMPUTED_VALUE"""),21.15)</f>
        <v>21.15</v>
      </c>
      <c r="C418" s="1">
        <f ca="1">IFERROR(__xludf.DUMMYFUNCTION("""COMPUTED_VALUE"""),21.7)</f>
        <v>21.7</v>
      </c>
      <c r="D418" s="1">
        <f ca="1">IFERROR(__xludf.DUMMYFUNCTION("""COMPUTED_VALUE"""),21.09)</f>
        <v>21.09</v>
      </c>
      <c r="E418" s="1">
        <f ca="1">IFERROR(__xludf.DUMMYFUNCTION("""COMPUTED_VALUE"""),21.68)</f>
        <v>21.68</v>
      </c>
      <c r="F418" s="1">
        <f ca="1">IFERROR(__xludf.DUMMYFUNCTION("""COMPUTED_VALUE"""),7802199)</f>
        <v>7802199</v>
      </c>
    </row>
    <row r="419" spans="1:6" x14ac:dyDescent="0.2">
      <c r="A419" s="2">
        <f ca="1">IFERROR(__xludf.DUMMYFUNCTION("""COMPUTED_VALUE"""),42885.6666666666)</f>
        <v>42885.666666666599</v>
      </c>
      <c r="B419" s="1">
        <f ca="1">IFERROR(__xludf.DUMMYFUNCTION("""COMPUTED_VALUE"""),21.73)</f>
        <v>21.73</v>
      </c>
      <c r="C419" s="1">
        <f ca="1">IFERROR(__xludf.DUMMYFUNCTION("""COMPUTED_VALUE"""),22.42)</f>
        <v>22.42</v>
      </c>
      <c r="D419" s="1">
        <f ca="1">IFERROR(__xludf.DUMMYFUNCTION("""COMPUTED_VALUE"""),21.72)</f>
        <v>21.72</v>
      </c>
      <c r="E419" s="1">
        <f ca="1">IFERROR(__xludf.DUMMYFUNCTION("""COMPUTED_VALUE"""),22.34)</f>
        <v>22.34</v>
      </c>
      <c r="F419" s="1">
        <f ca="1">IFERROR(__xludf.DUMMYFUNCTION("""COMPUTED_VALUE"""),7782916)</f>
        <v>7782916</v>
      </c>
    </row>
    <row r="420" spans="1:6" x14ac:dyDescent="0.2">
      <c r="A420" s="2">
        <f ca="1">IFERROR(__xludf.DUMMYFUNCTION("""COMPUTED_VALUE"""),42886.6666666666)</f>
        <v>42886.666666666599</v>
      </c>
      <c r="B420" s="1">
        <f ca="1">IFERROR(__xludf.DUMMYFUNCTION("""COMPUTED_VALUE"""),22.51)</f>
        <v>22.51</v>
      </c>
      <c r="C420" s="1">
        <f ca="1">IFERROR(__xludf.DUMMYFUNCTION("""COMPUTED_VALUE"""),22.86)</f>
        <v>22.86</v>
      </c>
      <c r="D420" s="1">
        <f ca="1">IFERROR(__xludf.DUMMYFUNCTION("""COMPUTED_VALUE"""),22.34)</f>
        <v>22.34</v>
      </c>
      <c r="E420" s="1">
        <f ca="1">IFERROR(__xludf.DUMMYFUNCTION("""COMPUTED_VALUE"""),22.73)</f>
        <v>22.73</v>
      </c>
      <c r="F420" s="1">
        <f ca="1">IFERROR(__xludf.DUMMYFUNCTION("""COMPUTED_VALUE"""),9963444)</f>
        <v>9963444</v>
      </c>
    </row>
    <row r="421" spans="1:6" x14ac:dyDescent="0.2">
      <c r="A421" s="2">
        <f ca="1">IFERROR(__xludf.DUMMYFUNCTION("""COMPUTED_VALUE"""),42887.6666666666)</f>
        <v>42887.666666666599</v>
      </c>
      <c r="B421" s="1">
        <f ca="1">IFERROR(__xludf.DUMMYFUNCTION("""COMPUTED_VALUE"""),22.93)</f>
        <v>22.93</v>
      </c>
      <c r="C421" s="1">
        <f ca="1">IFERROR(__xludf.DUMMYFUNCTION("""COMPUTED_VALUE"""),22.99)</f>
        <v>22.99</v>
      </c>
      <c r="D421" s="1">
        <f ca="1">IFERROR(__xludf.DUMMYFUNCTION("""COMPUTED_VALUE"""),22.49)</f>
        <v>22.49</v>
      </c>
      <c r="E421" s="1">
        <f ca="1">IFERROR(__xludf.DUMMYFUNCTION("""COMPUTED_VALUE"""),22.69)</f>
        <v>22.69</v>
      </c>
      <c r="F421" s="1">
        <f ca="1">IFERROR(__xludf.DUMMYFUNCTION("""COMPUTED_VALUE"""),7607996)</f>
        <v>7607996</v>
      </c>
    </row>
    <row r="422" spans="1:6" x14ac:dyDescent="0.2">
      <c r="A422" s="2">
        <f ca="1">IFERROR(__xludf.DUMMYFUNCTION("""COMPUTED_VALUE"""),42888.6666666666)</f>
        <v>42888.666666666599</v>
      </c>
      <c r="B422" s="1">
        <f ca="1">IFERROR(__xludf.DUMMYFUNCTION("""COMPUTED_VALUE"""),22.65)</f>
        <v>22.65</v>
      </c>
      <c r="C422" s="1">
        <f ca="1">IFERROR(__xludf.DUMMYFUNCTION("""COMPUTED_VALUE"""),22.86)</f>
        <v>22.86</v>
      </c>
      <c r="D422" s="1">
        <f ca="1">IFERROR(__xludf.DUMMYFUNCTION("""COMPUTED_VALUE"""),22.4)</f>
        <v>22.4</v>
      </c>
      <c r="E422" s="1">
        <f ca="1">IFERROR(__xludf.DUMMYFUNCTION("""COMPUTED_VALUE"""),22.66)</f>
        <v>22.66</v>
      </c>
      <c r="F422" s="1">
        <f ca="1">IFERROR(__xludf.DUMMYFUNCTION("""COMPUTED_VALUE"""),5590239)</f>
        <v>5590239</v>
      </c>
    </row>
    <row r="423" spans="1:6" x14ac:dyDescent="0.2">
      <c r="A423" s="2">
        <f ca="1">IFERROR(__xludf.DUMMYFUNCTION("""COMPUTED_VALUE"""),42891.6666666666)</f>
        <v>42891.666666666599</v>
      </c>
      <c r="B423" s="1">
        <f ca="1">IFERROR(__xludf.DUMMYFUNCTION("""COMPUTED_VALUE"""),22.57)</f>
        <v>22.57</v>
      </c>
      <c r="C423" s="1">
        <f ca="1">IFERROR(__xludf.DUMMYFUNCTION("""COMPUTED_VALUE"""),23.23)</f>
        <v>23.23</v>
      </c>
      <c r="D423" s="1">
        <f ca="1">IFERROR(__xludf.DUMMYFUNCTION("""COMPUTED_VALUE"""),22.28)</f>
        <v>22.28</v>
      </c>
      <c r="E423" s="1">
        <f ca="1">IFERROR(__xludf.DUMMYFUNCTION("""COMPUTED_VALUE"""),23.15)</f>
        <v>23.15</v>
      </c>
      <c r="F423" s="1">
        <f ca="1">IFERROR(__xludf.DUMMYFUNCTION("""COMPUTED_VALUE"""),6784368)</f>
        <v>6784368</v>
      </c>
    </row>
    <row r="424" spans="1:6" x14ac:dyDescent="0.2">
      <c r="A424" s="2">
        <f ca="1">IFERROR(__xludf.DUMMYFUNCTION("""COMPUTED_VALUE"""),42892.6666666666)</f>
        <v>42892.666666666599</v>
      </c>
      <c r="B424" s="1">
        <f ca="1">IFERROR(__xludf.DUMMYFUNCTION("""COMPUTED_VALUE"""),22.98)</f>
        <v>22.98</v>
      </c>
      <c r="C424" s="1">
        <f ca="1">IFERROR(__xludf.DUMMYFUNCTION("""COMPUTED_VALUE"""),23.97)</f>
        <v>23.97</v>
      </c>
      <c r="D424" s="1">
        <f ca="1">IFERROR(__xludf.DUMMYFUNCTION("""COMPUTED_VALUE"""),22.66)</f>
        <v>22.66</v>
      </c>
      <c r="E424" s="1">
        <f ca="1">IFERROR(__xludf.DUMMYFUNCTION("""COMPUTED_VALUE"""),23.52)</f>
        <v>23.52</v>
      </c>
      <c r="F424" s="1">
        <f ca="1">IFERROR(__xludf.DUMMYFUNCTION("""COMPUTED_VALUE"""),11086798)</f>
        <v>11086798</v>
      </c>
    </row>
    <row r="425" spans="1:6" x14ac:dyDescent="0.2">
      <c r="A425" s="2">
        <f ca="1">IFERROR(__xludf.DUMMYFUNCTION("""COMPUTED_VALUE"""),42893.6666666666)</f>
        <v>42893.666666666599</v>
      </c>
      <c r="B425" s="1">
        <f ca="1">IFERROR(__xludf.DUMMYFUNCTION("""COMPUTED_VALUE"""),23.76)</f>
        <v>23.76</v>
      </c>
      <c r="C425" s="1">
        <f ca="1">IFERROR(__xludf.DUMMYFUNCTION("""COMPUTED_VALUE"""),24.03)</f>
        <v>24.03</v>
      </c>
      <c r="D425" s="1">
        <f ca="1">IFERROR(__xludf.DUMMYFUNCTION("""COMPUTED_VALUE"""),23.68)</f>
        <v>23.68</v>
      </c>
      <c r="E425" s="1">
        <f ca="1">IFERROR(__xludf.DUMMYFUNCTION("""COMPUTED_VALUE"""),23.98)</f>
        <v>23.98</v>
      </c>
      <c r="F425" s="1">
        <f ca="1">IFERROR(__xludf.DUMMYFUNCTION("""COMPUTED_VALUE"""),9397959)</f>
        <v>9397959</v>
      </c>
    </row>
    <row r="426" spans="1:6" x14ac:dyDescent="0.2">
      <c r="A426" s="2">
        <f ca="1">IFERROR(__xludf.DUMMYFUNCTION("""COMPUTED_VALUE"""),42894.6666666666)</f>
        <v>42894.666666666599</v>
      </c>
      <c r="B426" s="1">
        <f ca="1">IFERROR(__xludf.DUMMYFUNCTION("""COMPUTED_VALUE"""),24.25)</f>
        <v>24.25</v>
      </c>
      <c r="C426" s="1">
        <f ca="1">IFERROR(__xludf.DUMMYFUNCTION("""COMPUTED_VALUE"""),24.79)</f>
        <v>24.79</v>
      </c>
      <c r="D426" s="1">
        <f ca="1">IFERROR(__xludf.DUMMYFUNCTION("""COMPUTED_VALUE"""),24.01)</f>
        <v>24.01</v>
      </c>
      <c r="E426" s="1">
        <f ca="1">IFERROR(__xludf.DUMMYFUNCTION("""COMPUTED_VALUE"""),24.67)</f>
        <v>24.67</v>
      </c>
      <c r="F426" s="1">
        <f ca="1">IFERROR(__xludf.DUMMYFUNCTION("""COMPUTED_VALUE"""),9061496)</f>
        <v>9061496</v>
      </c>
    </row>
    <row r="427" spans="1:6" x14ac:dyDescent="0.2">
      <c r="A427" s="2">
        <f ca="1">IFERROR(__xludf.DUMMYFUNCTION("""COMPUTED_VALUE"""),42895.6666666666)</f>
        <v>42895.666666666599</v>
      </c>
      <c r="B427" s="1">
        <f ca="1">IFERROR(__xludf.DUMMYFUNCTION("""COMPUTED_VALUE"""),24.96)</f>
        <v>24.96</v>
      </c>
      <c r="C427" s="1">
        <f ca="1">IFERROR(__xludf.DUMMYFUNCTION("""COMPUTED_VALUE"""),25.12)</f>
        <v>25.12</v>
      </c>
      <c r="D427" s="1">
        <f ca="1">IFERROR(__xludf.DUMMYFUNCTION("""COMPUTED_VALUE"""),23.65)</f>
        <v>23.65</v>
      </c>
      <c r="E427" s="1">
        <f ca="1">IFERROR(__xludf.DUMMYFUNCTION("""COMPUTED_VALUE"""),23.82)</f>
        <v>23.82</v>
      </c>
      <c r="F427" s="1">
        <f ca="1">IFERROR(__xludf.DUMMYFUNCTION("""COMPUTED_VALUE"""),17261435)</f>
        <v>17261435</v>
      </c>
    </row>
    <row r="428" spans="1:6" x14ac:dyDescent="0.2">
      <c r="A428" s="2">
        <f ca="1">IFERROR(__xludf.DUMMYFUNCTION("""COMPUTED_VALUE"""),42898.6666666666)</f>
        <v>42898.666666666599</v>
      </c>
      <c r="B428" s="1">
        <f ca="1">IFERROR(__xludf.DUMMYFUNCTION("""COMPUTED_VALUE"""),23.87)</f>
        <v>23.87</v>
      </c>
      <c r="C428" s="1">
        <f ca="1">IFERROR(__xludf.DUMMYFUNCTION("""COMPUTED_VALUE"""),24.3)</f>
        <v>24.3</v>
      </c>
      <c r="D428" s="1">
        <f ca="1">IFERROR(__xludf.DUMMYFUNCTION("""COMPUTED_VALUE"""),23.37)</f>
        <v>23.37</v>
      </c>
      <c r="E428" s="1">
        <f ca="1">IFERROR(__xludf.DUMMYFUNCTION("""COMPUTED_VALUE"""),23.93)</f>
        <v>23.93</v>
      </c>
      <c r="F428" s="1">
        <f ca="1">IFERROR(__xludf.DUMMYFUNCTION("""COMPUTED_VALUE"""),10517660)</f>
        <v>10517660</v>
      </c>
    </row>
    <row r="429" spans="1:6" x14ac:dyDescent="0.2">
      <c r="A429" s="2">
        <f ca="1">IFERROR(__xludf.DUMMYFUNCTION("""COMPUTED_VALUE"""),42899.6666666666)</f>
        <v>42899.666666666599</v>
      </c>
      <c r="B429" s="1">
        <f ca="1">IFERROR(__xludf.DUMMYFUNCTION("""COMPUTED_VALUE"""),24.51)</f>
        <v>24.51</v>
      </c>
      <c r="C429" s="1">
        <f ca="1">IFERROR(__xludf.DUMMYFUNCTION("""COMPUTED_VALUE"""),25.07)</f>
        <v>25.07</v>
      </c>
      <c r="D429" s="1">
        <f ca="1">IFERROR(__xludf.DUMMYFUNCTION("""COMPUTED_VALUE"""),24.44)</f>
        <v>24.44</v>
      </c>
      <c r="E429" s="1">
        <f ca="1">IFERROR(__xludf.DUMMYFUNCTION("""COMPUTED_VALUE"""),25.06)</f>
        <v>25.06</v>
      </c>
      <c r="F429" s="1">
        <f ca="1">IFERROR(__xludf.DUMMYFUNCTION("""COMPUTED_VALUE"""),11807920)</f>
        <v>11807920</v>
      </c>
    </row>
    <row r="430" spans="1:6" x14ac:dyDescent="0.2">
      <c r="A430" s="2">
        <f ca="1">IFERROR(__xludf.DUMMYFUNCTION("""COMPUTED_VALUE"""),42900.6666666666)</f>
        <v>42900.666666666599</v>
      </c>
      <c r="B430" s="1">
        <f ca="1">IFERROR(__xludf.DUMMYFUNCTION("""COMPUTED_VALUE"""),25.41)</f>
        <v>25.41</v>
      </c>
      <c r="C430" s="1">
        <f ca="1">IFERROR(__xludf.DUMMYFUNCTION("""COMPUTED_VALUE"""),25.62)</f>
        <v>25.62</v>
      </c>
      <c r="D430" s="1">
        <f ca="1">IFERROR(__xludf.DUMMYFUNCTION("""COMPUTED_VALUE"""),25.09)</f>
        <v>25.09</v>
      </c>
      <c r="E430" s="1">
        <f ca="1">IFERROR(__xludf.DUMMYFUNCTION("""COMPUTED_VALUE"""),25.38)</f>
        <v>25.38</v>
      </c>
      <c r="F430" s="1">
        <f ca="1">IFERROR(__xludf.DUMMYFUNCTION("""COMPUTED_VALUE"""),12818429)</f>
        <v>12818429</v>
      </c>
    </row>
    <row r="431" spans="1:6" x14ac:dyDescent="0.2">
      <c r="A431" s="2">
        <f ca="1">IFERROR(__xludf.DUMMYFUNCTION("""COMPUTED_VALUE"""),42901.6666666666)</f>
        <v>42901.666666666599</v>
      </c>
      <c r="B431" s="1">
        <f ca="1">IFERROR(__xludf.DUMMYFUNCTION("""COMPUTED_VALUE"""),24.83)</f>
        <v>24.83</v>
      </c>
      <c r="C431" s="1">
        <f ca="1">IFERROR(__xludf.DUMMYFUNCTION("""COMPUTED_VALUE"""),25.03)</f>
        <v>25.03</v>
      </c>
      <c r="D431" s="1">
        <f ca="1">IFERROR(__xludf.DUMMYFUNCTION("""COMPUTED_VALUE"""),24.43)</f>
        <v>24.43</v>
      </c>
      <c r="E431" s="1">
        <f ca="1">IFERROR(__xludf.DUMMYFUNCTION("""COMPUTED_VALUE"""),25.02)</f>
        <v>25.02</v>
      </c>
      <c r="F431" s="1">
        <f ca="1">IFERROR(__xludf.DUMMYFUNCTION("""COMPUTED_VALUE"""),10426469)</f>
        <v>10426469</v>
      </c>
    </row>
    <row r="432" spans="1:6" x14ac:dyDescent="0.2">
      <c r="A432" s="2">
        <f ca="1">IFERROR(__xludf.DUMMYFUNCTION("""COMPUTED_VALUE"""),42902.6666666666)</f>
        <v>42902.666666666599</v>
      </c>
      <c r="B432" s="1">
        <f ca="1">IFERROR(__xludf.DUMMYFUNCTION("""COMPUTED_VALUE"""),25.2)</f>
        <v>25.2</v>
      </c>
      <c r="C432" s="1">
        <f ca="1">IFERROR(__xludf.DUMMYFUNCTION("""COMPUTED_VALUE"""),25.2)</f>
        <v>25.2</v>
      </c>
      <c r="D432" s="1">
        <f ca="1">IFERROR(__xludf.DUMMYFUNCTION("""COMPUTED_VALUE"""),24.67)</f>
        <v>24.67</v>
      </c>
      <c r="E432" s="1">
        <f ca="1">IFERROR(__xludf.DUMMYFUNCTION("""COMPUTED_VALUE"""),24.76)</f>
        <v>24.76</v>
      </c>
      <c r="F432" s="1">
        <f ca="1">IFERROR(__xludf.DUMMYFUNCTION("""COMPUTED_VALUE"""),6730973)</f>
        <v>6730973</v>
      </c>
    </row>
    <row r="433" spans="1:6" x14ac:dyDescent="0.2">
      <c r="A433" s="2">
        <f ca="1">IFERROR(__xludf.DUMMYFUNCTION("""COMPUTED_VALUE"""),42905.6666666666)</f>
        <v>42905.666666666599</v>
      </c>
      <c r="B433" s="1">
        <f ca="1">IFERROR(__xludf.DUMMYFUNCTION("""COMPUTED_VALUE"""),25)</f>
        <v>25</v>
      </c>
      <c r="C433" s="1">
        <f ca="1">IFERROR(__xludf.DUMMYFUNCTION("""COMPUTED_VALUE"""),25.11)</f>
        <v>25.11</v>
      </c>
      <c r="D433" s="1">
        <f ca="1">IFERROR(__xludf.DUMMYFUNCTION("""COMPUTED_VALUE"""),24.52)</f>
        <v>24.52</v>
      </c>
      <c r="E433" s="1">
        <f ca="1">IFERROR(__xludf.DUMMYFUNCTION("""COMPUTED_VALUE"""),24.65)</f>
        <v>24.65</v>
      </c>
      <c r="F433" s="1">
        <f ca="1">IFERROR(__xludf.DUMMYFUNCTION("""COMPUTED_VALUE"""),6549332)</f>
        <v>6549332</v>
      </c>
    </row>
    <row r="434" spans="1:6" x14ac:dyDescent="0.2">
      <c r="A434" s="2">
        <f ca="1">IFERROR(__xludf.DUMMYFUNCTION("""COMPUTED_VALUE"""),42906.6666666666)</f>
        <v>42906.666666666599</v>
      </c>
      <c r="B434" s="1">
        <f ca="1">IFERROR(__xludf.DUMMYFUNCTION("""COMPUTED_VALUE"""),25.11)</f>
        <v>25.11</v>
      </c>
      <c r="C434" s="1">
        <f ca="1">IFERROR(__xludf.DUMMYFUNCTION("""COMPUTED_VALUE"""),25.26)</f>
        <v>25.26</v>
      </c>
      <c r="D434" s="1">
        <f ca="1">IFERROR(__xludf.DUMMYFUNCTION("""COMPUTED_VALUE"""),24.65)</f>
        <v>24.65</v>
      </c>
      <c r="E434" s="1">
        <f ca="1">IFERROR(__xludf.DUMMYFUNCTION("""COMPUTED_VALUE"""),24.82)</f>
        <v>24.82</v>
      </c>
      <c r="F434" s="1">
        <f ca="1">IFERROR(__xludf.DUMMYFUNCTION("""COMPUTED_VALUE"""),7438701)</f>
        <v>7438701</v>
      </c>
    </row>
    <row r="435" spans="1:6" x14ac:dyDescent="0.2">
      <c r="A435" s="2">
        <f ca="1">IFERROR(__xludf.DUMMYFUNCTION("""COMPUTED_VALUE"""),42907.6666666666)</f>
        <v>42907.666666666599</v>
      </c>
      <c r="B435" s="1">
        <f ca="1">IFERROR(__xludf.DUMMYFUNCTION("""COMPUTED_VALUE"""),24.96)</f>
        <v>24.96</v>
      </c>
      <c r="C435" s="1">
        <f ca="1">IFERROR(__xludf.DUMMYFUNCTION("""COMPUTED_VALUE"""),25.13)</f>
        <v>25.13</v>
      </c>
      <c r="D435" s="1">
        <f ca="1">IFERROR(__xludf.DUMMYFUNCTION("""COMPUTED_VALUE"""),24.53)</f>
        <v>24.53</v>
      </c>
      <c r="E435" s="1">
        <f ca="1">IFERROR(__xludf.DUMMYFUNCTION("""COMPUTED_VALUE"""),25.09)</f>
        <v>25.09</v>
      </c>
      <c r="F435" s="1">
        <f ca="1">IFERROR(__xludf.DUMMYFUNCTION("""COMPUTED_VALUE"""),4923210)</f>
        <v>4923210</v>
      </c>
    </row>
    <row r="436" spans="1:6" x14ac:dyDescent="0.2">
      <c r="A436" s="2">
        <f ca="1">IFERROR(__xludf.DUMMYFUNCTION("""COMPUTED_VALUE"""),42908.6666666666)</f>
        <v>42908.666666666599</v>
      </c>
      <c r="B436" s="1">
        <f ca="1">IFERROR(__xludf.DUMMYFUNCTION("""COMPUTED_VALUE"""),25.2)</f>
        <v>25.2</v>
      </c>
      <c r="C436" s="1">
        <f ca="1">IFERROR(__xludf.DUMMYFUNCTION("""COMPUTED_VALUE"""),25.67)</f>
        <v>25.67</v>
      </c>
      <c r="D436" s="1">
        <f ca="1">IFERROR(__xludf.DUMMYFUNCTION("""COMPUTED_VALUE"""),24.9)</f>
        <v>24.9</v>
      </c>
      <c r="E436" s="1">
        <f ca="1">IFERROR(__xludf.DUMMYFUNCTION("""COMPUTED_VALUE"""),25.51)</f>
        <v>25.51</v>
      </c>
      <c r="F436" s="1">
        <f ca="1">IFERROR(__xludf.DUMMYFUNCTION("""COMPUTED_VALUE"""),7529778)</f>
        <v>7529778</v>
      </c>
    </row>
    <row r="437" spans="1:6" x14ac:dyDescent="0.2">
      <c r="A437" s="2">
        <f ca="1">IFERROR(__xludf.DUMMYFUNCTION("""COMPUTED_VALUE"""),42909.6666666666)</f>
        <v>42909.666666666599</v>
      </c>
      <c r="B437" s="1">
        <f ca="1">IFERROR(__xludf.DUMMYFUNCTION("""COMPUTED_VALUE"""),25.5)</f>
        <v>25.5</v>
      </c>
      <c r="C437" s="1">
        <f ca="1">IFERROR(__xludf.DUMMYFUNCTION("""COMPUTED_VALUE"""),25.8)</f>
        <v>25.8</v>
      </c>
      <c r="D437" s="1">
        <f ca="1">IFERROR(__xludf.DUMMYFUNCTION("""COMPUTED_VALUE"""),25.29)</f>
        <v>25.29</v>
      </c>
      <c r="E437" s="1">
        <f ca="1">IFERROR(__xludf.DUMMYFUNCTION("""COMPUTED_VALUE"""),25.56)</f>
        <v>25.56</v>
      </c>
      <c r="F437" s="1">
        <f ca="1">IFERROR(__xludf.DUMMYFUNCTION("""COMPUTED_VALUE"""),6445758)</f>
        <v>6445758</v>
      </c>
    </row>
    <row r="438" spans="1:6" x14ac:dyDescent="0.2">
      <c r="A438" s="2">
        <f ca="1">IFERROR(__xludf.DUMMYFUNCTION("""COMPUTED_VALUE"""),42912.6666666666)</f>
        <v>42912.666666666599</v>
      </c>
      <c r="B438" s="1">
        <f ca="1">IFERROR(__xludf.DUMMYFUNCTION("""COMPUTED_VALUE"""),25.78)</f>
        <v>25.78</v>
      </c>
      <c r="C438" s="1">
        <f ca="1">IFERROR(__xludf.DUMMYFUNCTION("""COMPUTED_VALUE"""),25.8)</f>
        <v>25.8</v>
      </c>
      <c r="D438" s="1">
        <f ca="1">IFERROR(__xludf.DUMMYFUNCTION("""COMPUTED_VALUE"""),24.87)</f>
        <v>24.87</v>
      </c>
      <c r="E438" s="1">
        <f ca="1">IFERROR(__xludf.DUMMYFUNCTION("""COMPUTED_VALUE"""),25.17)</f>
        <v>25.17</v>
      </c>
      <c r="F438" s="1">
        <f ca="1">IFERROR(__xludf.DUMMYFUNCTION("""COMPUTED_VALUE"""),6604099)</f>
        <v>6604099</v>
      </c>
    </row>
    <row r="439" spans="1:6" x14ac:dyDescent="0.2">
      <c r="A439" s="2">
        <f ca="1">IFERROR(__xludf.DUMMYFUNCTION("""COMPUTED_VALUE"""),42913.6666666666)</f>
        <v>42913.666666666599</v>
      </c>
      <c r="B439" s="1">
        <f ca="1">IFERROR(__xludf.DUMMYFUNCTION("""COMPUTED_VALUE"""),25.09)</f>
        <v>25.09</v>
      </c>
      <c r="C439" s="1">
        <f ca="1">IFERROR(__xludf.DUMMYFUNCTION("""COMPUTED_VALUE"""),25.09)</f>
        <v>25.09</v>
      </c>
      <c r="D439" s="1">
        <f ca="1">IFERROR(__xludf.DUMMYFUNCTION("""COMPUTED_VALUE"""),24.13)</f>
        <v>24.13</v>
      </c>
      <c r="E439" s="1">
        <f ca="1">IFERROR(__xludf.DUMMYFUNCTION("""COMPUTED_VALUE"""),24.16)</f>
        <v>24.16</v>
      </c>
      <c r="F439" s="1">
        <f ca="1">IFERROR(__xludf.DUMMYFUNCTION("""COMPUTED_VALUE"""),6996399)</f>
        <v>6996399</v>
      </c>
    </row>
    <row r="440" spans="1:6" x14ac:dyDescent="0.2">
      <c r="A440" s="2">
        <f ca="1">IFERROR(__xludf.DUMMYFUNCTION("""COMPUTED_VALUE"""),42914.6666666666)</f>
        <v>42914.666666666599</v>
      </c>
      <c r="B440" s="1">
        <f ca="1">IFERROR(__xludf.DUMMYFUNCTION("""COMPUTED_VALUE"""),24.45)</f>
        <v>24.45</v>
      </c>
      <c r="C440" s="1">
        <f ca="1">IFERROR(__xludf.DUMMYFUNCTION("""COMPUTED_VALUE"""),24.78)</f>
        <v>24.78</v>
      </c>
      <c r="D440" s="1">
        <f ca="1">IFERROR(__xludf.DUMMYFUNCTION("""COMPUTED_VALUE"""),24.17)</f>
        <v>24.17</v>
      </c>
      <c r="E440" s="1">
        <f ca="1">IFERROR(__xludf.DUMMYFUNCTION("""COMPUTED_VALUE"""),24.75)</f>
        <v>24.75</v>
      </c>
      <c r="F440" s="1">
        <f ca="1">IFERROR(__xludf.DUMMYFUNCTION("""COMPUTED_VALUE"""),6302463)</f>
        <v>6302463</v>
      </c>
    </row>
    <row r="441" spans="1:6" x14ac:dyDescent="0.2">
      <c r="A441" s="2">
        <f ca="1">IFERROR(__xludf.DUMMYFUNCTION("""COMPUTED_VALUE"""),42915.6666666666)</f>
        <v>42915.666666666599</v>
      </c>
      <c r="B441" s="1">
        <f ca="1">IFERROR(__xludf.DUMMYFUNCTION("""COMPUTED_VALUE"""),24.71)</f>
        <v>24.71</v>
      </c>
      <c r="C441" s="1">
        <f ca="1">IFERROR(__xludf.DUMMYFUNCTION("""COMPUTED_VALUE"""),24.73)</f>
        <v>24.73</v>
      </c>
      <c r="D441" s="1">
        <f ca="1">IFERROR(__xludf.DUMMYFUNCTION("""COMPUTED_VALUE"""),23.61)</f>
        <v>23.61</v>
      </c>
      <c r="E441" s="1">
        <f ca="1">IFERROR(__xludf.DUMMYFUNCTION("""COMPUTED_VALUE"""),24.05)</f>
        <v>24.05</v>
      </c>
      <c r="F441" s="1">
        <f ca="1">IFERROR(__xludf.DUMMYFUNCTION("""COMPUTED_VALUE"""),8221038)</f>
        <v>8221038</v>
      </c>
    </row>
    <row r="442" spans="1:6" x14ac:dyDescent="0.2">
      <c r="A442" s="2">
        <f ca="1">IFERROR(__xludf.DUMMYFUNCTION("""COMPUTED_VALUE"""),42916.6666666666)</f>
        <v>42916.666666666599</v>
      </c>
      <c r="B442" s="1">
        <f ca="1">IFERROR(__xludf.DUMMYFUNCTION("""COMPUTED_VALUE"""),24.25)</f>
        <v>24.25</v>
      </c>
      <c r="C442" s="1">
        <f ca="1">IFERROR(__xludf.DUMMYFUNCTION("""COMPUTED_VALUE"""),24.45)</f>
        <v>24.45</v>
      </c>
      <c r="D442" s="1">
        <f ca="1">IFERROR(__xludf.DUMMYFUNCTION("""COMPUTED_VALUE"""),23.97)</f>
        <v>23.97</v>
      </c>
      <c r="E442" s="1">
        <f ca="1">IFERROR(__xludf.DUMMYFUNCTION("""COMPUTED_VALUE"""),24.11)</f>
        <v>24.11</v>
      </c>
      <c r="F442" s="1">
        <f ca="1">IFERROR(__xludf.DUMMYFUNCTION("""COMPUTED_VALUE"""),5848521)</f>
        <v>5848521</v>
      </c>
    </row>
    <row r="443" spans="1:6" x14ac:dyDescent="0.2">
      <c r="A443" s="2">
        <f ca="1">IFERROR(__xludf.DUMMYFUNCTION("""COMPUTED_VALUE"""),42919.6666666666)</f>
        <v>42919.666666666599</v>
      </c>
      <c r="B443" s="1">
        <f ca="1">IFERROR(__xludf.DUMMYFUNCTION("""COMPUTED_VALUE"""),24.68)</f>
        <v>24.68</v>
      </c>
      <c r="C443" s="1">
        <f ca="1">IFERROR(__xludf.DUMMYFUNCTION("""COMPUTED_VALUE"""),24.76)</f>
        <v>24.76</v>
      </c>
      <c r="D443" s="1">
        <f ca="1">IFERROR(__xludf.DUMMYFUNCTION("""COMPUTED_VALUE"""),23.43)</f>
        <v>23.43</v>
      </c>
      <c r="E443" s="1">
        <f ca="1">IFERROR(__xludf.DUMMYFUNCTION("""COMPUTED_VALUE"""),23.51)</f>
        <v>23.51</v>
      </c>
      <c r="F443" s="1">
        <f ca="1">IFERROR(__xludf.DUMMYFUNCTION("""COMPUTED_VALUE"""),6305401)</f>
        <v>6305401</v>
      </c>
    </row>
    <row r="444" spans="1:6" x14ac:dyDescent="0.2">
      <c r="A444" s="2">
        <f ca="1">IFERROR(__xludf.DUMMYFUNCTION("""COMPUTED_VALUE"""),42921.6666666666)</f>
        <v>42921.666666666599</v>
      </c>
      <c r="B444" s="1">
        <f ca="1">IFERROR(__xludf.DUMMYFUNCTION("""COMPUTED_VALUE"""),23.15)</f>
        <v>23.15</v>
      </c>
      <c r="C444" s="1">
        <f ca="1">IFERROR(__xludf.DUMMYFUNCTION("""COMPUTED_VALUE"""),23.15)</f>
        <v>23.15</v>
      </c>
      <c r="D444" s="1">
        <f ca="1">IFERROR(__xludf.DUMMYFUNCTION("""COMPUTED_VALUE"""),21.76)</f>
        <v>21.76</v>
      </c>
      <c r="E444" s="1">
        <f ca="1">IFERROR(__xludf.DUMMYFUNCTION("""COMPUTED_VALUE"""),21.81)</f>
        <v>21.81</v>
      </c>
      <c r="F444" s="1">
        <f ca="1">IFERROR(__xludf.DUMMYFUNCTION("""COMPUTED_VALUE"""),17046701)</f>
        <v>17046701</v>
      </c>
    </row>
    <row r="445" spans="1:6" x14ac:dyDescent="0.2">
      <c r="A445" s="2">
        <f ca="1">IFERROR(__xludf.DUMMYFUNCTION("""COMPUTED_VALUE"""),42922.6666666666)</f>
        <v>42922.666666666599</v>
      </c>
      <c r="B445" s="1">
        <f ca="1">IFERROR(__xludf.DUMMYFUNCTION("""COMPUTED_VALUE"""),21.15)</f>
        <v>21.15</v>
      </c>
      <c r="C445" s="1">
        <f ca="1">IFERROR(__xludf.DUMMYFUNCTION("""COMPUTED_VALUE"""),21.39)</f>
        <v>21.39</v>
      </c>
      <c r="D445" s="1">
        <f ca="1">IFERROR(__xludf.DUMMYFUNCTION("""COMPUTED_VALUE"""),20.42)</f>
        <v>20.420000000000002</v>
      </c>
      <c r="E445" s="1">
        <f ca="1">IFERROR(__xludf.DUMMYFUNCTION("""COMPUTED_VALUE"""),20.59)</f>
        <v>20.59</v>
      </c>
      <c r="F445" s="1">
        <f ca="1">IFERROR(__xludf.DUMMYFUNCTION("""COMPUTED_VALUE"""),19324495)</f>
        <v>19324495</v>
      </c>
    </row>
    <row r="446" spans="1:6" x14ac:dyDescent="0.2">
      <c r="A446" s="2">
        <f ca="1">IFERROR(__xludf.DUMMYFUNCTION("""COMPUTED_VALUE"""),42923.6666666666)</f>
        <v>42923.666666666599</v>
      </c>
      <c r="B446" s="1">
        <f ca="1">IFERROR(__xludf.DUMMYFUNCTION("""COMPUTED_VALUE"""),20.9)</f>
        <v>20.9</v>
      </c>
      <c r="C446" s="1">
        <f ca="1">IFERROR(__xludf.DUMMYFUNCTION("""COMPUTED_VALUE"""),21.13)</f>
        <v>21.13</v>
      </c>
      <c r="D446" s="1">
        <f ca="1">IFERROR(__xludf.DUMMYFUNCTION("""COMPUTED_VALUE"""),20.49)</f>
        <v>20.49</v>
      </c>
      <c r="E446" s="1">
        <f ca="1">IFERROR(__xludf.DUMMYFUNCTION("""COMPUTED_VALUE"""),20.88)</f>
        <v>20.88</v>
      </c>
      <c r="F446" s="1">
        <f ca="1">IFERROR(__xludf.DUMMYFUNCTION("""COMPUTED_VALUE"""),14176915)</f>
        <v>14176915</v>
      </c>
    </row>
    <row r="447" spans="1:6" x14ac:dyDescent="0.2">
      <c r="A447" s="2">
        <f ca="1">IFERROR(__xludf.DUMMYFUNCTION("""COMPUTED_VALUE"""),42926.6666666666)</f>
        <v>42926.666666666599</v>
      </c>
      <c r="B447" s="1">
        <f ca="1">IFERROR(__xludf.DUMMYFUNCTION("""COMPUTED_VALUE"""),20.86)</f>
        <v>20.86</v>
      </c>
      <c r="C447" s="1">
        <f ca="1">IFERROR(__xludf.DUMMYFUNCTION("""COMPUTED_VALUE"""),21.2)</f>
        <v>21.2</v>
      </c>
      <c r="D447" s="1">
        <f ca="1">IFERROR(__xludf.DUMMYFUNCTION("""COMPUTED_VALUE"""),20.21)</f>
        <v>20.21</v>
      </c>
      <c r="E447" s="1">
        <f ca="1">IFERROR(__xludf.DUMMYFUNCTION("""COMPUTED_VALUE"""),21.07)</f>
        <v>21.07</v>
      </c>
      <c r="F447" s="1">
        <f ca="1">IFERROR(__xludf.DUMMYFUNCTION("""COMPUTED_VALUE"""),13820889)</f>
        <v>13820889</v>
      </c>
    </row>
    <row r="448" spans="1:6" x14ac:dyDescent="0.2">
      <c r="A448" s="2">
        <f ca="1">IFERROR(__xludf.DUMMYFUNCTION("""COMPUTED_VALUE"""),42927.6666666666)</f>
        <v>42927.666666666599</v>
      </c>
      <c r="B448" s="1">
        <f ca="1">IFERROR(__xludf.DUMMYFUNCTION("""COMPUTED_VALUE"""),21.07)</f>
        <v>21.07</v>
      </c>
      <c r="C448" s="1">
        <f ca="1">IFERROR(__xludf.DUMMYFUNCTION("""COMPUTED_VALUE"""),21.82)</f>
        <v>21.82</v>
      </c>
      <c r="D448" s="1">
        <f ca="1">IFERROR(__xludf.DUMMYFUNCTION("""COMPUTED_VALUE"""),20.95)</f>
        <v>20.95</v>
      </c>
      <c r="E448" s="1">
        <f ca="1">IFERROR(__xludf.DUMMYFUNCTION("""COMPUTED_VALUE"""),21.81)</f>
        <v>21.81</v>
      </c>
      <c r="F448" s="1">
        <f ca="1">IFERROR(__xludf.DUMMYFUNCTION("""COMPUTED_VALUE"""),11559402)</f>
        <v>11559402</v>
      </c>
    </row>
    <row r="449" spans="1:6" x14ac:dyDescent="0.2">
      <c r="A449" s="2">
        <f ca="1">IFERROR(__xludf.DUMMYFUNCTION("""COMPUTED_VALUE"""),42928.6666666666)</f>
        <v>42928.666666666599</v>
      </c>
      <c r="B449" s="1">
        <f ca="1">IFERROR(__xludf.DUMMYFUNCTION("""COMPUTED_VALUE"""),22.03)</f>
        <v>22.03</v>
      </c>
      <c r="C449" s="1">
        <f ca="1">IFERROR(__xludf.DUMMYFUNCTION("""COMPUTED_VALUE"""),22.21)</f>
        <v>22.21</v>
      </c>
      <c r="D449" s="1">
        <f ca="1">IFERROR(__xludf.DUMMYFUNCTION("""COMPUTED_VALUE"""),21.63)</f>
        <v>21.63</v>
      </c>
      <c r="E449" s="1">
        <f ca="1">IFERROR(__xludf.DUMMYFUNCTION("""COMPUTED_VALUE"""),21.97)</f>
        <v>21.97</v>
      </c>
      <c r="F449" s="1">
        <f ca="1">IFERROR(__xludf.DUMMYFUNCTION("""COMPUTED_VALUE"""),10346127)</f>
        <v>10346127</v>
      </c>
    </row>
    <row r="450" spans="1:6" x14ac:dyDescent="0.2">
      <c r="A450" s="2">
        <f ca="1">IFERROR(__xludf.DUMMYFUNCTION("""COMPUTED_VALUE"""),42929.6666666666)</f>
        <v>42929.666666666599</v>
      </c>
      <c r="B450" s="1">
        <f ca="1">IFERROR(__xludf.DUMMYFUNCTION("""COMPUTED_VALUE"""),22.01)</f>
        <v>22.01</v>
      </c>
      <c r="C450" s="1">
        <f ca="1">IFERROR(__xludf.DUMMYFUNCTION("""COMPUTED_VALUE"""),22.11)</f>
        <v>22.11</v>
      </c>
      <c r="D450" s="1">
        <f ca="1">IFERROR(__xludf.DUMMYFUNCTION("""COMPUTED_VALUE"""),21.33)</f>
        <v>21.33</v>
      </c>
      <c r="E450" s="1">
        <f ca="1">IFERROR(__xludf.DUMMYFUNCTION("""COMPUTED_VALUE"""),21.56)</f>
        <v>21.56</v>
      </c>
      <c r="F450" s="1">
        <f ca="1">IFERROR(__xludf.DUMMYFUNCTION("""COMPUTED_VALUE"""),8594466)</f>
        <v>8594466</v>
      </c>
    </row>
    <row r="451" spans="1:6" x14ac:dyDescent="0.2">
      <c r="A451" s="2">
        <f ca="1">IFERROR(__xludf.DUMMYFUNCTION("""COMPUTED_VALUE"""),42930.6666666666)</f>
        <v>42930.666666666599</v>
      </c>
      <c r="B451" s="1">
        <f ca="1">IFERROR(__xludf.DUMMYFUNCTION("""COMPUTED_VALUE"""),21.55)</f>
        <v>21.55</v>
      </c>
      <c r="C451" s="1">
        <f ca="1">IFERROR(__xludf.DUMMYFUNCTION("""COMPUTED_VALUE"""),21.89)</f>
        <v>21.89</v>
      </c>
      <c r="D451" s="1">
        <f ca="1">IFERROR(__xludf.DUMMYFUNCTION("""COMPUTED_VALUE"""),21.41)</f>
        <v>21.41</v>
      </c>
      <c r="E451" s="1">
        <f ca="1">IFERROR(__xludf.DUMMYFUNCTION("""COMPUTED_VALUE"""),21.85)</f>
        <v>21.85</v>
      </c>
      <c r="F451" s="1">
        <f ca="1">IFERROR(__xludf.DUMMYFUNCTION("""COMPUTED_VALUE"""),5625211)</f>
        <v>5625211</v>
      </c>
    </row>
    <row r="452" spans="1:6" x14ac:dyDescent="0.2">
      <c r="A452" s="2">
        <f ca="1">IFERROR(__xludf.DUMMYFUNCTION("""COMPUTED_VALUE"""),42933.6666666666)</f>
        <v>42933.666666666599</v>
      </c>
      <c r="B452" s="1">
        <f ca="1">IFERROR(__xludf.DUMMYFUNCTION("""COMPUTED_VALUE"""),21.7)</f>
        <v>21.7</v>
      </c>
      <c r="C452" s="1">
        <f ca="1">IFERROR(__xludf.DUMMYFUNCTION("""COMPUTED_VALUE"""),21.81)</f>
        <v>21.81</v>
      </c>
      <c r="D452" s="1">
        <f ca="1">IFERROR(__xludf.DUMMYFUNCTION("""COMPUTED_VALUE"""),20.9)</f>
        <v>20.9</v>
      </c>
      <c r="E452" s="1">
        <f ca="1">IFERROR(__xludf.DUMMYFUNCTION("""COMPUTED_VALUE"""),21.3)</f>
        <v>21.3</v>
      </c>
      <c r="F452" s="1">
        <f ca="1">IFERROR(__xludf.DUMMYFUNCTION("""COMPUTED_VALUE"""),9876912)</f>
        <v>9876912</v>
      </c>
    </row>
    <row r="453" spans="1:6" x14ac:dyDescent="0.2">
      <c r="A453" s="2">
        <f ca="1">IFERROR(__xludf.DUMMYFUNCTION("""COMPUTED_VALUE"""),42934.6666666666)</f>
        <v>42934.666666666599</v>
      </c>
      <c r="B453" s="1">
        <f ca="1">IFERROR(__xludf.DUMMYFUNCTION("""COMPUTED_VALUE"""),21.17)</f>
        <v>21.17</v>
      </c>
      <c r="C453" s="1">
        <f ca="1">IFERROR(__xludf.DUMMYFUNCTION("""COMPUTED_VALUE"""),21.94)</f>
        <v>21.94</v>
      </c>
      <c r="D453" s="1">
        <f ca="1">IFERROR(__xludf.DUMMYFUNCTION("""COMPUTED_VALUE"""),21.04)</f>
        <v>21.04</v>
      </c>
      <c r="E453" s="1">
        <f ca="1">IFERROR(__xludf.DUMMYFUNCTION("""COMPUTED_VALUE"""),21.88)</f>
        <v>21.88</v>
      </c>
      <c r="F453" s="1">
        <f ca="1">IFERROR(__xludf.DUMMYFUNCTION("""COMPUTED_VALUE"""),6373720)</f>
        <v>6373720</v>
      </c>
    </row>
    <row r="454" spans="1:6" x14ac:dyDescent="0.2">
      <c r="A454" s="2">
        <f ca="1">IFERROR(__xludf.DUMMYFUNCTION("""COMPUTED_VALUE"""),42935.6666666666)</f>
        <v>42935.666666666599</v>
      </c>
      <c r="B454" s="1">
        <f ca="1">IFERROR(__xludf.DUMMYFUNCTION("""COMPUTED_VALUE"""),21.88)</f>
        <v>21.88</v>
      </c>
      <c r="C454" s="1">
        <f ca="1">IFERROR(__xludf.DUMMYFUNCTION("""COMPUTED_VALUE"""),22.11)</f>
        <v>22.11</v>
      </c>
      <c r="D454" s="1">
        <f ca="1">IFERROR(__xludf.DUMMYFUNCTION("""COMPUTED_VALUE"""),21.55)</f>
        <v>21.55</v>
      </c>
      <c r="E454" s="1">
        <f ca="1">IFERROR(__xludf.DUMMYFUNCTION("""COMPUTED_VALUE"""),21.68)</f>
        <v>21.68</v>
      </c>
      <c r="F454" s="1">
        <f ca="1">IFERROR(__xludf.DUMMYFUNCTION("""COMPUTED_VALUE"""),6357014)</f>
        <v>6357014</v>
      </c>
    </row>
    <row r="455" spans="1:6" x14ac:dyDescent="0.2">
      <c r="A455" s="2">
        <f ca="1">IFERROR(__xludf.DUMMYFUNCTION("""COMPUTED_VALUE"""),42936.6666666666)</f>
        <v>42936.666666666599</v>
      </c>
      <c r="B455" s="1">
        <f ca="1">IFERROR(__xludf.DUMMYFUNCTION("""COMPUTED_VALUE"""),21.79)</f>
        <v>21.79</v>
      </c>
      <c r="C455" s="1">
        <f ca="1">IFERROR(__xludf.DUMMYFUNCTION("""COMPUTED_VALUE"""),22.01)</f>
        <v>22.01</v>
      </c>
      <c r="D455" s="1">
        <f ca="1">IFERROR(__xludf.DUMMYFUNCTION("""COMPUTED_VALUE"""),21.61)</f>
        <v>21.61</v>
      </c>
      <c r="E455" s="1">
        <f ca="1">IFERROR(__xludf.DUMMYFUNCTION("""COMPUTED_VALUE"""),21.99)</f>
        <v>21.99</v>
      </c>
      <c r="F455" s="1">
        <f ca="1">IFERROR(__xludf.DUMMYFUNCTION("""COMPUTED_VALUE"""),5166188)</f>
        <v>5166188</v>
      </c>
    </row>
    <row r="456" spans="1:6" x14ac:dyDescent="0.2">
      <c r="A456" s="2">
        <f ca="1">IFERROR(__xludf.DUMMYFUNCTION("""COMPUTED_VALUE"""),42937.6666666666)</f>
        <v>42937.666666666599</v>
      </c>
      <c r="B456" s="1">
        <f ca="1">IFERROR(__xludf.DUMMYFUNCTION("""COMPUTED_VALUE"""),21.96)</f>
        <v>21.96</v>
      </c>
      <c r="C456" s="1">
        <f ca="1">IFERROR(__xludf.DUMMYFUNCTION("""COMPUTED_VALUE"""),22.08)</f>
        <v>22.08</v>
      </c>
      <c r="D456" s="1">
        <f ca="1">IFERROR(__xludf.DUMMYFUNCTION("""COMPUTED_VALUE"""),21.72)</f>
        <v>21.72</v>
      </c>
      <c r="E456" s="1">
        <f ca="1">IFERROR(__xludf.DUMMYFUNCTION("""COMPUTED_VALUE"""),21.89)</f>
        <v>21.89</v>
      </c>
      <c r="F456" s="1">
        <f ca="1">IFERROR(__xludf.DUMMYFUNCTION("""COMPUTED_VALUE"""),4901606)</f>
        <v>4901606</v>
      </c>
    </row>
    <row r="457" spans="1:6" x14ac:dyDescent="0.2">
      <c r="A457" s="2">
        <f ca="1">IFERROR(__xludf.DUMMYFUNCTION("""COMPUTED_VALUE"""),42940.6666666666)</f>
        <v>42940.666666666599</v>
      </c>
      <c r="B457" s="1">
        <f ca="1">IFERROR(__xludf.DUMMYFUNCTION("""COMPUTED_VALUE"""),22.02)</f>
        <v>22.02</v>
      </c>
      <c r="C457" s="1">
        <f ca="1">IFERROR(__xludf.DUMMYFUNCTION("""COMPUTED_VALUE"""),22.89)</f>
        <v>22.89</v>
      </c>
      <c r="D457" s="1">
        <f ca="1">IFERROR(__xludf.DUMMYFUNCTION("""COMPUTED_VALUE"""),22)</f>
        <v>22</v>
      </c>
      <c r="E457" s="1">
        <f ca="1">IFERROR(__xludf.DUMMYFUNCTION("""COMPUTED_VALUE"""),22.83)</f>
        <v>22.83</v>
      </c>
      <c r="F457" s="1">
        <f ca="1">IFERROR(__xludf.DUMMYFUNCTION("""COMPUTED_VALUE"""),8637082)</f>
        <v>8637082</v>
      </c>
    </row>
    <row r="458" spans="1:6" x14ac:dyDescent="0.2">
      <c r="A458" s="2">
        <f ca="1">IFERROR(__xludf.DUMMYFUNCTION("""COMPUTED_VALUE"""),42941.6666666666)</f>
        <v>42941.666666666599</v>
      </c>
      <c r="B458" s="1">
        <f ca="1">IFERROR(__xludf.DUMMYFUNCTION("""COMPUTED_VALUE"""),23)</f>
        <v>23</v>
      </c>
      <c r="C458" s="1">
        <f ca="1">IFERROR(__xludf.DUMMYFUNCTION("""COMPUTED_VALUE"""),23.04)</f>
        <v>23.04</v>
      </c>
      <c r="D458" s="1">
        <f ca="1">IFERROR(__xludf.DUMMYFUNCTION("""COMPUTED_VALUE"""),22.28)</f>
        <v>22.28</v>
      </c>
      <c r="E458" s="1">
        <f ca="1">IFERROR(__xludf.DUMMYFUNCTION("""COMPUTED_VALUE"""),22.64)</f>
        <v>22.64</v>
      </c>
      <c r="F458" s="1">
        <f ca="1">IFERROR(__xludf.DUMMYFUNCTION("""COMPUTED_VALUE"""),6989197)</f>
        <v>6989197</v>
      </c>
    </row>
    <row r="459" spans="1:6" x14ac:dyDescent="0.2">
      <c r="A459" s="2">
        <f ca="1">IFERROR(__xludf.DUMMYFUNCTION("""COMPUTED_VALUE"""),42942.6666666666)</f>
        <v>42942.666666666599</v>
      </c>
      <c r="B459" s="1">
        <f ca="1">IFERROR(__xludf.DUMMYFUNCTION("""COMPUTED_VALUE"""),22.69)</f>
        <v>22.69</v>
      </c>
      <c r="C459" s="1">
        <f ca="1">IFERROR(__xludf.DUMMYFUNCTION("""COMPUTED_VALUE"""),23.03)</f>
        <v>23.03</v>
      </c>
      <c r="D459" s="1">
        <f ca="1">IFERROR(__xludf.DUMMYFUNCTION("""COMPUTED_VALUE"""),22.54)</f>
        <v>22.54</v>
      </c>
      <c r="E459" s="1">
        <f ca="1">IFERROR(__xludf.DUMMYFUNCTION("""COMPUTED_VALUE"""),22.92)</f>
        <v>22.92</v>
      </c>
      <c r="F459" s="1">
        <f ca="1">IFERROR(__xludf.DUMMYFUNCTION("""COMPUTED_VALUE"""),4820790)</f>
        <v>4820790</v>
      </c>
    </row>
    <row r="460" spans="1:6" x14ac:dyDescent="0.2">
      <c r="A460" s="2">
        <f ca="1">IFERROR(__xludf.DUMMYFUNCTION("""COMPUTED_VALUE"""),42943.6666666666)</f>
        <v>42943.666666666599</v>
      </c>
      <c r="B460" s="1">
        <f ca="1">IFERROR(__xludf.DUMMYFUNCTION("""COMPUTED_VALUE"""),23.07)</f>
        <v>23.07</v>
      </c>
      <c r="C460" s="1">
        <f ca="1">IFERROR(__xludf.DUMMYFUNCTION("""COMPUTED_VALUE"""),23.17)</f>
        <v>23.17</v>
      </c>
      <c r="D460" s="1">
        <f ca="1">IFERROR(__xludf.DUMMYFUNCTION("""COMPUTED_VALUE"""),21.75)</f>
        <v>21.75</v>
      </c>
      <c r="E460" s="1">
        <f ca="1">IFERROR(__xludf.DUMMYFUNCTION("""COMPUTED_VALUE"""),22.3)</f>
        <v>22.3</v>
      </c>
      <c r="F460" s="1">
        <f ca="1">IFERROR(__xludf.DUMMYFUNCTION("""COMPUTED_VALUE"""),8302405)</f>
        <v>8302405</v>
      </c>
    </row>
    <row r="461" spans="1:6" x14ac:dyDescent="0.2">
      <c r="A461" s="2">
        <f ca="1">IFERROR(__xludf.DUMMYFUNCTION("""COMPUTED_VALUE"""),42944.6666666666)</f>
        <v>42944.666666666599</v>
      </c>
      <c r="B461" s="1">
        <f ca="1">IFERROR(__xludf.DUMMYFUNCTION("""COMPUTED_VALUE"""),22.46)</f>
        <v>22.46</v>
      </c>
      <c r="C461" s="1">
        <f ca="1">IFERROR(__xludf.DUMMYFUNCTION("""COMPUTED_VALUE"""),22.64)</f>
        <v>22.64</v>
      </c>
      <c r="D461" s="1">
        <f ca="1">IFERROR(__xludf.DUMMYFUNCTION("""COMPUTED_VALUE"""),22.17)</f>
        <v>22.17</v>
      </c>
      <c r="E461" s="1">
        <f ca="1">IFERROR(__xludf.DUMMYFUNCTION("""COMPUTED_VALUE"""),22.34)</f>
        <v>22.34</v>
      </c>
      <c r="F461" s="1">
        <f ca="1">IFERROR(__xludf.DUMMYFUNCTION("""COMPUTED_VALUE"""),4880414)</f>
        <v>4880414</v>
      </c>
    </row>
    <row r="462" spans="1:6" x14ac:dyDescent="0.2">
      <c r="A462" s="2">
        <f ca="1">IFERROR(__xludf.DUMMYFUNCTION("""COMPUTED_VALUE"""),42947.6666666666)</f>
        <v>42947.666666666599</v>
      </c>
      <c r="B462" s="1">
        <f ca="1">IFERROR(__xludf.DUMMYFUNCTION("""COMPUTED_VALUE"""),22.37)</f>
        <v>22.37</v>
      </c>
      <c r="C462" s="1">
        <f ca="1">IFERROR(__xludf.DUMMYFUNCTION("""COMPUTED_VALUE"""),22.77)</f>
        <v>22.77</v>
      </c>
      <c r="D462" s="1">
        <f ca="1">IFERROR(__xludf.DUMMYFUNCTION("""COMPUTED_VALUE"""),21.4)</f>
        <v>21.4</v>
      </c>
      <c r="E462" s="1">
        <f ca="1">IFERROR(__xludf.DUMMYFUNCTION("""COMPUTED_VALUE"""),21.56)</f>
        <v>21.56</v>
      </c>
      <c r="F462" s="1">
        <f ca="1">IFERROR(__xludf.DUMMYFUNCTION("""COMPUTED_VALUE"""),8535136)</f>
        <v>8535136</v>
      </c>
    </row>
    <row r="463" spans="1:6" x14ac:dyDescent="0.2">
      <c r="A463" s="2">
        <f ca="1">IFERROR(__xludf.DUMMYFUNCTION("""COMPUTED_VALUE"""),42948.6666666666)</f>
        <v>42948.666666666599</v>
      </c>
      <c r="B463" s="1">
        <f ca="1">IFERROR(__xludf.DUMMYFUNCTION("""COMPUTED_VALUE"""),21.53)</f>
        <v>21.53</v>
      </c>
      <c r="C463" s="1">
        <f ca="1">IFERROR(__xludf.DUMMYFUNCTION("""COMPUTED_VALUE"""),21.63)</f>
        <v>21.63</v>
      </c>
      <c r="D463" s="1">
        <f ca="1">IFERROR(__xludf.DUMMYFUNCTION("""COMPUTED_VALUE"""),21.08)</f>
        <v>21.08</v>
      </c>
      <c r="E463" s="1">
        <f ca="1">IFERROR(__xludf.DUMMYFUNCTION("""COMPUTED_VALUE"""),21.3)</f>
        <v>21.3</v>
      </c>
      <c r="F463" s="1">
        <f ca="1">IFERROR(__xludf.DUMMYFUNCTION("""COMPUTED_VALUE"""),8303102)</f>
        <v>8303102</v>
      </c>
    </row>
    <row r="464" spans="1:6" x14ac:dyDescent="0.2">
      <c r="A464" s="2">
        <f ca="1">IFERROR(__xludf.DUMMYFUNCTION("""COMPUTED_VALUE"""),42949.6666666666)</f>
        <v>42949.666666666599</v>
      </c>
      <c r="B464" s="1">
        <f ca="1">IFERROR(__xludf.DUMMYFUNCTION("""COMPUTED_VALUE"""),21.26)</f>
        <v>21.26</v>
      </c>
      <c r="C464" s="1">
        <f ca="1">IFERROR(__xludf.DUMMYFUNCTION("""COMPUTED_VALUE"""),21.81)</f>
        <v>21.81</v>
      </c>
      <c r="D464" s="1">
        <f ca="1">IFERROR(__xludf.DUMMYFUNCTION("""COMPUTED_VALUE"""),20.75)</f>
        <v>20.75</v>
      </c>
      <c r="E464" s="1">
        <f ca="1">IFERROR(__xludf.DUMMYFUNCTION("""COMPUTED_VALUE"""),21.73)</f>
        <v>21.73</v>
      </c>
      <c r="F464" s="1">
        <f ca="1">IFERROR(__xludf.DUMMYFUNCTION("""COMPUTED_VALUE"""),13091462)</f>
        <v>13091462</v>
      </c>
    </row>
    <row r="465" spans="1:6" x14ac:dyDescent="0.2">
      <c r="A465" s="2">
        <f ca="1">IFERROR(__xludf.DUMMYFUNCTION("""COMPUTED_VALUE"""),42950.6666666666)</f>
        <v>42950.666666666599</v>
      </c>
      <c r="B465" s="1">
        <f ca="1">IFERROR(__xludf.DUMMYFUNCTION("""COMPUTED_VALUE"""),23.02)</f>
        <v>23.02</v>
      </c>
      <c r="C465" s="1">
        <f ca="1">IFERROR(__xludf.DUMMYFUNCTION("""COMPUTED_VALUE"""),23.33)</f>
        <v>23.33</v>
      </c>
      <c r="D465" s="1">
        <f ca="1">IFERROR(__xludf.DUMMYFUNCTION("""COMPUTED_VALUE"""),22.88)</f>
        <v>22.88</v>
      </c>
      <c r="E465" s="1">
        <f ca="1">IFERROR(__xludf.DUMMYFUNCTION("""COMPUTED_VALUE"""),23.14)</f>
        <v>23.14</v>
      </c>
      <c r="F465" s="1">
        <f ca="1">IFERROR(__xludf.DUMMYFUNCTION("""COMPUTED_VALUE"""),13535033)</f>
        <v>13535033</v>
      </c>
    </row>
    <row r="466" spans="1:6" x14ac:dyDescent="0.2">
      <c r="A466" s="2">
        <f ca="1">IFERROR(__xludf.DUMMYFUNCTION("""COMPUTED_VALUE"""),42951.6666666666)</f>
        <v>42951.666666666599</v>
      </c>
      <c r="B466" s="1">
        <f ca="1">IFERROR(__xludf.DUMMYFUNCTION("""COMPUTED_VALUE"""),23.13)</f>
        <v>23.13</v>
      </c>
      <c r="C466" s="1">
        <f ca="1">IFERROR(__xludf.DUMMYFUNCTION("""COMPUTED_VALUE"""),23.82)</f>
        <v>23.82</v>
      </c>
      <c r="D466" s="1">
        <f ca="1">IFERROR(__xludf.DUMMYFUNCTION("""COMPUTED_VALUE"""),22.89)</f>
        <v>22.89</v>
      </c>
      <c r="E466" s="1">
        <f ca="1">IFERROR(__xludf.DUMMYFUNCTION("""COMPUTED_VALUE"""),23.79)</f>
        <v>23.79</v>
      </c>
      <c r="F466" s="1">
        <f ca="1">IFERROR(__xludf.DUMMYFUNCTION("""COMPUTED_VALUE"""),9268909)</f>
        <v>9268909</v>
      </c>
    </row>
    <row r="467" spans="1:6" x14ac:dyDescent="0.2">
      <c r="A467" s="2">
        <f ca="1">IFERROR(__xludf.DUMMYFUNCTION("""COMPUTED_VALUE"""),42954.6666666666)</f>
        <v>42954.666666666599</v>
      </c>
      <c r="B467" s="1">
        <f ca="1">IFERROR(__xludf.DUMMYFUNCTION("""COMPUTED_VALUE"""),23.82)</f>
        <v>23.82</v>
      </c>
      <c r="C467" s="1">
        <f ca="1">IFERROR(__xludf.DUMMYFUNCTION("""COMPUTED_VALUE"""),23.97)</f>
        <v>23.97</v>
      </c>
      <c r="D467" s="1">
        <f ca="1">IFERROR(__xludf.DUMMYFUNCTION("""COMPUTED_VALUE"""),23.52)</f>
        <v>23.52</v>
      </c>
      <c r="E467" s="1">
        <f ca="1">IFERROR(__xludf.DUMMYFUNCTION("""COMPUTED_VALUE"""),23.68)</f>
        <v>23.68</v>
      </c>
      <c r="F467" s="1">
        <f ca="1">IFERROR(__xludf.DUMMYFUNCTION("""COMPUTED_VALUE"""),6324480)</f>
        <v>6324480</v>
      </c>
    </row>
    <row r="468" spans="1:6" x14ac:dyDescent="0.2">
      <c r="A468" s="2">
        <f ca="1">IFERROR(__xludf.DUMMYFUNCTION("""COMPUTED_VALUE"""),42955.6666666666)</f>
        <v>42955.666666666599</v>
      </c>
      <c r="B468" s="1">
        <f ca="1">IFERROR(__xludf.DUMMYFUNCTION("""COMPUTED_VALUE"""),23.84)</f>
        <v>23.84</v>
      </c>
      <c r="C468" s="1">
        <f ca="1">IFERROR(__xludf.DUMMYFUNCTION("""COMPUTED_VALUE"""),24.57)</f>
        <v>24.57</v>
      </c>
      <c r="D468" s="1">
        <f ca="1">IFERROR(__xludf.DUMMYFUNCTION("""COMPUTED_VALUE"""),23.83)</f>
        <v>23.83</v>
      </c>
      <c r="E468" s="1">
        <f ca="1">IFERROR(__xludf.DUMMYFUNCTION("""COMPUTED_VALUE"""),24.35)</f>
        <v>24.35</v>
      </c>
      <c r="F468" s="1">
        <f ca="1">IFERROR(__xludf.DUMMYFUNCTION("""COMPUTED_VALUE"""),7449837)</f>
        <v>7449837</v>
      </c>
    </row>
    <row r="469" spans="1:6" x14ac:dyDescent="0.2">
      <c r="A469" s="2">
        <f ca="1">IFERROR(__xludf.DUMMYFUNCTION("""COMPUTED_VALUE"""),42956.6666666666)</f>
        <v>42956.666666666599</v>
      </c>
      <c r="B469" s="1">
        <f ca="1">IFERROR(__xludf.DUMMYFUNCTION("""COMPUTED_VALUE"""),24.07)</f>
        <v>24.07</v>
      </c>
      <c r="C469" s="1">
        <f ca="1">IFERROR(__xludf.DUMMYFUNCTION("""COMPUTED_VALUE"""),24.67)</f>
        <v>24.67</v>
      </c>
      <c r="D469" s="1">
        <f ca="1">IFERROR(__xludf.DUMMYFUNCTION("""COMPUTED_VALUE"""),23.93)</f>
        <v>23.93</v>
      </c>
      <c r="E469" s="1">
        <f ca="1">IFERROR(__xludf.DUMMYFUNCTION("""COMPUTED_VALUE"""),24.24)</f>
        <v>24.24</v>
      </c>
      <c r="F469" s="1">
        <f ca="1">IFERROR(__xludf.DUMMYFUNCTION("""COMPUTED_VALUE"""),6892096)</f>
        <v>6892096</v>
      </c>
    </row>
    <row r="470" spans="1:6" x14ac:dyDescent="0.2">
      <c r="A470" s="2">
        <f ca="1">IFERROR(__xludf.DUMMYFUNCTION("""COMPUTED_VALUE"""),42957.6666666666)</f>
        <v>42957.666666666599</v>
      </c>
      <c r="B470" s="1">
        <f ca="1">IFERROR(__xludf.DUMMYFUNCTION("""COMPUTED_VALUE"""),24.11)</f>
        <v>24.11</v>
      </c>
      <c r="C470" s="1">
        <f ca="1">IFERROR(__xludf.DUMMYFUNCTION("""COMPUTED_VALUE"""),24.44)</f>
        <v>24.44</v>
      </c>
      <c r="D470" s="1">
        <f ca="1">IFERROR(__xludf.DUMMYFUNCTION("""COMPUTED_VALUE"""),23.64)</f>
        <v>23.64</v>
      </c>
      <c r="E470" s="1">
        <f ca="1">IFERROR(__xludf.DUMMYFUNCTION("""COMPUTED_VALUE"""),23.69)</f>
        <v>23.69</v>
      </c>
      <c r="F470" s="1">
        <f ca="1">IFERROR(__xludf.DUMMYFUNCTION("""COMPUTED_VALUE"""),7092858)</f>
        <v>7092858</v>
      </c>
    </row>
    <row r="471" spans="1:6" x14ac:dyDescent="0.2">
      <c r="A471" s="2">
        <f ca="1">IFERROR(__xludf.DUMMYFUNCTION("""COMPUTED_VALUE"""),42958.6666666666)</f>
        <v>42958.666666666599</v>
      </c>
      <c r="B471" s="1">
        <f ca="1">IFERROR(__xludf.DUMMYFUNCTION("""COMPUTED_VALUE"""),23.8)</f>
        <v>23.8</v>
      </c>
      <c r="C471" s="1">
        <f ca="1">IFERROR(__xludf.DUMMYFUNCTION("""COMPUTED_VALUE"""),24.08)</f>
        <v>24.08</v>
      </c>
      <c r="D471" s="1">
        <f ca="1">IFERROR(__xludf.DUMMYFUNCTION("""COMPUTED_VALUE"""),23.57)</f>
        <v>23.57</v>
      </c>
      <c r="E471" s="1">
        <f ca="1">IFERROR(__xludf.DUMMYFUNCTION("""COMPUTED_VALUE"""),23.86)</f>
        <v>23.86</v>
      </c>
      <c r="F471" s="1">
        <f ca="1">IFERROR(__xludf.DUMMYFUNCTION("""COMPUTED_VALUE"""),4365783)</f>
        <v>4365783</v>
      </c>
    </row>
    <row r="472" spans="1:6" x14ac:dyDescent="0.2">
      <c r="A472" s="2">
        <f ca="1">IFERROR(__xludf.DUMMYFUNCTION("""COMPUTED_VALUE"""),42961.6666666666)</f>
        <v>42961.666666666599</v>
      </c>
      <c r="B472" s="1">
        <f ca="1">IFERROR(__xludf.DUMMYFUNCTION("""COMPUTED_VALUE"""),24.31)</f>
        <v>24.31</v>
      </c>
      <c r="C472" s="1">
        <f ca="1">IFERROR(__xludf.DUMMYFUNCTION("""COMPUTED_VALUE"""),24.51)</f>
        <v>24.51</v>
      </c>
      <c r="D472" s="1">
        <f ca="1">IFERROR(__xludf.DUMMYFUNCTION("""COMPUTED_VALUE"""),24.17)</f>
        <v>24.17</v>
      </c>
      <c r="E472" s="1">
        <f ca="1">IFERROR(__xludf.DUMMYFUNCTION("""COMPUTED_VALUE"""),24.25)</f>
        <v>24.25</v>
      </c>
      <c r="F472" s="1">
        <f ca="1">IFERROR(__xludf.DUMMYFUNCTION("""COMPUTED_VALUE"""),4519186)</f>
        <v>4519186</v>
      </c>
    </row>
    <row r="473" spans="1:6" x14ac:dyDescent="0.2">
      <c r="A473" s="2">
        <f ca="1">IFERROR(__xludf.DUMMYFUNCTION("""COMPUTED_VALUE"""),42962.6666666666)</f>
        <v>42962.666666666599</v>
      </c>
      <c r="B473" s="1">
        <f ca="1">IFERROR(__xludf.DUMMYFUNCTION("""COMPUTED_VALUE"""),24.35)</f>
        <v>24.35</v>
      </c>
      <c r="C473" s="1">
        <f ca="1">IFERROR(__xludf.DUMMYFUNCTION("""COMPUTED_VALUE"""),24.37)</f>
        <v>24.37</v>
      </c>
      <c r="D473" s="1">
        <f ca="1">IFERROR(__xludf.DUMMYFUNCTION("""COMPUTED_VALUE"""),23.96)</f>
        <v>23.96</v>
      </c>
      <c r="E473" s="1">
        <f ca="1">IFERROR(__xludf.DUMMYFUNCTION("""COMPUTED_VALUE"""),24.16)</f>
        <v>24.16</v>
      </c>
      <c r="F473" s="1">
        <f ca="1">IFERROR(__xludf.DUMMYFUNCTION("""COMPUTED_VALUE"""),3085088)</f>
        <v>3085088</v>
      </c>
    </row>
    <row r="474" spans="1:6" x14ac:dyDescent="0.2">
      <c r="A474" s="2">
        <f ca="1">IFERROR(__xludf.DUMMYFUNCTION("""COMPUTED_VALUE"""),42963.6666666666)</f>
        <v>42963.666666666599</v>
      </c>
      <c r="B474" s="1">
        <f ca="1">IFERROR(__xludf.DUMMYFUNCTION("""COMPUTED_VALUE"""),24.2)</f>
        <v>24.2</v>
      </c>
      <c r="C474" s="1">
        <f ca="1">IFERROR(__xludf.DUMMYFUNCTION("""COMPUTED_VALUE"""),24.43)</f>
        <v>24.43</v>
      </c>
      <c r="D474" s="1">
        <f ca="1">IFERROR(__xludf.DUMMYFUNCTION("""COMPUTED_VALUE"""),24.17)</f>
        <v>24.17</v>
      </c>
      <c r="E474" s="1">
        <f ca="1">IFERROR(__xludf.DUMMYFUNCTION("""COMPUTED_VALUE"""),24.19)</f>
        <v>24.19</v>
      </c>
      <c r="F474" s="1">
        <f ca="1">IFERROR(__xludf.DUMMYFUNCTION("""COMPUTED_VALUE"""),3413773)</f>
        <v>3413773</v>
      </c>
    </row>
    <row r="475" spans="1:6" x14ac:dyDescent="0.2">
      <c r="A475" s="2">
        <f ca="1">IFERROR(__xludf.DUMMYFUNCTION("""COMPUTED_VALUE"""),42964.6666666666)</f>
        <v>42964.666666666599</v>
      </c>
      <c r="B475" s="1">
        <f ca="1">IFERROR(__xludf.DUMMYFUNCTION("""COMPUTED_VALUE"""),24.08)</f>
        <v>24.08</v>
      </c>
      <c r="C475" s="1">
        <f ca="1">IFERROR(__xludf.DUMMYFUNCTION("""COMPUTED_VALUE"""),24.22)</f>
        <v>24.22</v>
      </c>
      <c r="D475" s="1">
        <f ca="1">IFERROR(__xludf.DUMMYFUNCTION("""COMPUTED_VALUE"""),23.44)</f>
        <v>23.44</v>
      </c>
      <c r="E475" s="1">
        <f ca="1">IFERROR(__xludf.DUMMYFUNCTION("""COMPUTED_VALUE"""),23.46)</f>
        <v>23.46</v>
      </c>
      <c r="F475" s="1">
        <f ca="1">IFERROR(__xludf.DUMMYFUNCTION("""COMPUTED_VALUE"""),5027660)</f>
        <v>5027660</v>
      </c>
    </row>
    <row r="476" spans="1:6" x14ac:dyDescent="0.2">
      <c r="A476" s="2">
        <f ca="1">IFERROR(__xludf.DUMMYFUNCTION("""COMPUTED_VALUE"""),42965.6666666666)</f>
        <v>42965.666666666599</v>
      </c>
      <c r="B476" s="1">
        <f ca="1">IFERROR(__xludf.DUMMYFUNCTION("""COMPUTED_VALUE"""),23.53)</f>
        <v>23.53</v>
      </c>
      <c r="C476" s="1">
        <f ca="1">IFERROR(__xludf.DUMMYFUNCTION("""COMPUTED_VALUE"""),23.6)</f>
        <v>23.6</v>
      </c>
      <c r="D476" s="1">
        <f ca="1">IFERROR(__xludf.DUMMYFUNCTION("""COMPUTED_VALUE"""),23.05)</f>
        <v>23.05</v>
      </c>
      <c r="E476" s="1">
        <f ca="1">IFERROR(__xludf.DUMMYFUNCTION("""COMPUTED_VALUE"""),23.16)</f>
        <v>23.16</v>
      </c>
      <c r="F476" s="1">
        <f ca="1">IFERROR(__xludf.DUMMYFUNCTION("""COMPUTED_VALUE"""),5408183)</f>
        <v>5408183</v>
      </c>
    </row>
    <row r="477" spans="1:6" x14ac:dyDescent="0.2">
      <c r="A477" s="2">
        <f ca="1">IFERROR(__xludf.DUMMYFUNCTION("""COMPUTED_VALUE"""),42968.6666666666)</f>
        <v>42968.666666666599</v>
      </c>
      <c r="B477" s="1">
        <f ca="1">IFERROR(__xludf.DUMMYFUNCTION("""COMPUTED_VALUE"""),23.05)</f>
        <v>23.05</v>
      </c>
      <c r="C477" s="1">
        <f ca="1">IFERROR(__xludf.DUMMYFUNCTION("""COMPUTED_VALUE"""),23.05)</f>
        <v>23.05</v>
      </c>
      <c r="D477" s="1">
        <f ca="1">IFERROR(__xludf.DUMMYFUNCTION("""COMPUTED_VALUE"""),22.12)</f>
        <v>22.12</v>
      </c>
      <c r="E477" s="1">
        <f ca="1">IFERROR(__xludf.DUMMYFUNCTION("""COMPUTED_VALUE"""),22.52)</f>
        <v>22.52</v>
      </c>
      <c r="F477" s="1">
        <f ca="1">IFERROR(__xludf.DUMMYFUNCTION("""COMPUTED_VALUE"""),6495424)</f>
        <v>6495424</v>
      </c>
    </row>
    <row r="478" spans="1:6" x14ac:dyDescent="0.2">
      <c r="A478" s="2">
        <f ca="1">IFERROR(__xludf.DUMMYFUNCTION("""COMPUTED_VALUE"""),42969.6666666666)</f>
        <v>42969.666666666599</v>
      </c>
      <c r="B478" s="1">
        <f ca="1">IFERROR(__xludf.DUMMYFUNCTION("""COMPUTED_VALUE"""),22.74)</f>
        <v>22.74</v>
      </c>
      <c r="C478" s="1">
        <f ca="1">IFERROR(__xludf.DUMMYFUNCTION("""COMPUTED_VALUE"""),22.82)</f>
        <v>22.82</v>
      </c>
      <c r="D478" s="1">
        <f ca="1">IFERROR(__xludf.DUMMYFUNCTION("""COMPUTED_VALUE"""),22.49)</f>
        <v>22.49</v>
      </c>
      <c r="E478" s="1">
        <f ca="1">IFERROR(__xludf.DUMMYFUNCTION("""COMPUTED_VALUE"""),22.76)</f>
        <v>22.76</v>
      </c>
      <c r="F478" s="1">
        <f ca="1">IFERROR(__xludf.DUMMYFUNCTION("""COMPUTED_VALUE"""),4321966)</f>
        <v>4321966</v>
      </c>
    </row>
    <row r="479" spans="1:6" x14ac:dyDescent="0.2">
      <c r="A479" s="2">
        <f ca="1">IFERROR(__xludf.DUMMYFUNCTION("""COMPUTED_VALUE"""),42970.6666666666)</f>
        <v>42970.666666666599</v>
      </c>
      <c r="B479" s="1">
        <f ca="1">IFERROR(__xludf.DUMMYFUNCTION("""COMPUTED_VALUE"""),22.6)</f>
        <v>22.6</v>
      </c>
      <c r="C479" s="1">
        <f ca="1">IFERROR(__xludf.DUMMYFUNCTION("""COMPUTED_VALUE"""),23.57)</f>
        <v>23.57</v>
      </c>
      <c r="D479" s="1">
        <f ca="1">IFERROR(__xludf.DUMMYFUNCTION("""COMPUTED_VALUE"""),22.55)</f>
        <v>22.55</v>
      </c>
      <c r="E479" s="1">
        <f ca="1">IFERROR(__xludf.DUMMYFUNCTION("""COMPUTED_VALUE"""),23.52)</f>
        <v>23.52</v>
      </c>
      <c r="F479" s="1">
        <f ca="1">IFERROR(__xludf.DUMMYFUNCTION("""COMPUTED_VALUE"""),4954504)</f>
        <v>4954504</v>
      </c>
    </row>
    <row r="480" spans="1:6" x14ac:dyDescent="0.2">
      <c r="A480" s="2">
        <f ca="1">IFERROR(__xludf.DUMMYFUNCTION("""COMPUTED_VALUE"""),42971.6666666666)</f>
        <v>42971.666666666599</v>
      </c>
      <c r="B480" s="1">
        <f ca="1">IFERROR(__xludf.DUMMYFUNCTION("""COMPUTED_VALUE"""),23.5)</f>
        <v>23.5</v>
      </c>
      <c r="C480" s="1">
        <f ca="1">IFERROR(__xludf.DUMMYFUNCTION("""COMPUTED_VALUE"""),23.78)</f>
        <v>23.78</v>
      </c>
      <c r="D480" s="1">
        <f ca="1">IFERROR(__xludf.DUMMYFUNCTION("""COMPUTED_VALUE"""),23.32)</f>
        <v>23.32</v>
      </c>
      <c r="E480" s="1">
        <f ca="1">IFERROR(__xludf.DUMMYFUNCTION("""COMPUTED_VALUE"""),23.53)</f>
        <v>23.53</v>
      </c>
      <c r="F480" s="1">
        <f ca="1">IFERROR(__xludf.DUMMYFUNCTION("""COMPUTED_VALUE"""),4584687)</f>
        <v>4584687</v>
      </c>
    </row>
    <row r="481" spans="1:6" x14ac:dyDescent="0.2">
      <c r="A481" s="2">
        <f ca="1">IFERROR(__xludf.DUMMYFUNCTION("""COMPUTED_VALUE"""),42972.6666666666)</f>
        <v>42972.666666666599</v>
      </c>
      <c r="B481" s="1">
        <f ca="1">IFERROR(__xludf.DUMMYFUNCTION("""COMPUTED_VALUE"""),23.62)</f>
        <v>23.62</v>
      </c>
      <c r="C481" s="1">
        <f ca="1">IFERROR(__xludf.DUMMYFUNCTION("""COMPUTED_VALUE"""),23.71)</f>
        <v>23.71</v>
      </c>
      <c r="D481" s="1">
        <f ca="1">IFERROR(__xludf.DUMMYFUNCTION("""COMPUTED_VALUE"""),23.15)</f>
        <v>23.15</v>
      </c>
      <c r="E481" s="1">
        <f ca="1">IFERROR(__xludf.DUMMYFUNCTION("""COMPUTED_VALUE"""),23.2)</f>
        <v>23.2</v>
      </c>
      <c r="F481" s="1">
        <f ca="1">IFERROR(__xludf.DUMMYFUNCTION("""COMPUTED_VALUE"""),3483956)</f>
        <v>3483956</v>
      </c>
    </row>
    <row r="482" spans="1:6" x14ac:dyDescent="0.2">
      <c r="A482" s="2">
        <f ca="1">IFERROR(__xludf.DUMMYFUNCTION("""COMPUTED_VALUE"""),42975.6666666666)</f>
        <v>42975.666666666599</v>
      </c>
      <c r="B482" s="1">
        <f ca="1">IFERROR(__xludf.DUMMYFUNCTION("""COMPUTED_VALUE"""),23.15)</f>
        <v>23.15</v>
      </c>
      <c r="C482" s="1">
        <f ca="1">IFERROR(__xludf.DUMMYFUNCTION("""COMPUTED_VALUE"""),23.16)</f>
        <v>23.16</v>
      </c>
      <c r="D482" s="1">
        <f ca="1">IFERROR(__xludf.DUMMYFUNCTION("""COMPUTED_VALUE"""),22.65)</f>
        <v>22.65</v>
      </c>
      <c r="E482" s="1">
        <f ca="1">IFERROR(__xludf.DUMMYFUNCTION("""COMPUTED_VALUE"""),23.04)</f>
        <v>23.04</v>
      </c>
      <c r="F482" s="1">
        <f ca="1">IFERROR(__xludf.DUMMYFUNCTION("""COMPUTED_VALUE"""),3763956)</f>
        <v>3763956</v>
      </c>
    </row>
    <row r="483" spans="1:6" x14ac:dyDescent="0.2">
      <c r="A483" s="2">
        <f ca="1">IFERROR(__xludf.DUMMYFUNCTION("""COMPUTED_VALUE"""),42976.6666666666)</f>
        <v>42976.666666666599</v>
      </c>
      <c r="B483" s="1">
        <f ca="1">IFERROR(__xludf.DUMMYFUNCTION("""COMPUTED_VALUE"""),22.63)</f>
        <v>22.63</v>
      </c>
      <c r="C483" s="1">
        <f ca="1">IFERROR(__xludf.DUMMYFUNCTION("""COMPUTED_VALUE"""),23.27)</f>
        <v>23.27</v>
      </c>
      <c r="D483" s="1">
        <f ca="1">IFERROR(__xludf.DUMMYFUNCTION("""COMPUTED_VALUE"""),22.58)</f>
        <v>22.58</v>
      </c>
      <c r="E483" s="1">
        <f ca="1">IFERROR(__xludf.DUMMYFUNCTION("""COMPUTED_VALUE"""),23.16)</f>
        <v>23.16</v>
      </c>
      <c r="F483" s="1">
        <f ca="1">IFERROR(__xludf.DUMMYFUNCTION("""COMPUTED_VALUE"""),4073675)</f>
        <v>4073675</v>
      </c>
    </row>
    <row r="484" spans="1:6" x14ac:dyDescent="0.2">
      <c r="A484" s="2">
        <f ca="1">IFERROR(__xludf.DUMMYFUNCTION("""COMPUTED_VALUE"""),42977.6666666666)</f>
        <v>42977.666666666599</v>
      </c>
      <c r="B484" s="1">
        <f ca="1">IFERROR(__xludf.DUMMYFUNCTION("""COMPUTED_VALUE"""),23.31)</f>
        <v>23.31</v>
      </c>
      <c r="C484" s="1">
        <f ca="1">IFERROR(__xludf.DUMMYFUNCTION("""COMPUTED_VALUE"""),23.56)</f>
        <v>23.56</v>
      </c>
      <c r="D484" s="1">
        <f ca="1">IFERROR(__xludf.DUMMYFUNCTION("""COMPUTED_VALUE"""),23.13)</f>
        <v>23.13</v>
      </c>
      <c r="E484" s="1">
        <f ca="1">IFERROR(__xludf.DUMMYFUNCTION("""COMPUTED_VALUE"""),23.55)</f>
        <v>23.55</v>
      </c>
      <c r="F484" s="1">
        <f ca="1">IFERROR(__xludf.DUMMYFUNCTION("""COMPUTED_VALUE"""),3412943)</f>
        <v>3412943</v>
      </c>
    </row>
    <row r="485" spans="1:6" x14ac:dyDescent="0.2">
      <c r="A485" s="2">
        <f ca="1">IFERROR(__xludf.DUMMYFUNCTION("""COMPUTED_VALUE"""),42978.6666666666)</f>
        <v>42978.666666666599</v>
      </c>
      <c r="B485" s="1">
        <f ca="1">IFERROR(__xludf.DUMMYFUNCTION("""COMPUTED_VALUE"""),23.57)</f>
        <v>23.57</v>
      </c>
      <c r="C485" s="1">
        <f ca="1">IFERROR(__xludf.DUMMYFUNCTION("""COMPUTED_VALUE"""),23.9)</f>
        <v>23.9</v>
      </c>
      <c r="D485" s="1">
        <f ca="1">IFERROR(__xludf.DUMMYFUNCTION("""COMPUTED_VALUE"""),23.52)</f>
        <v>23.52</v>
      </c>
      <c r="E485" s="1">
        <f ca="1">IFERROR(__xludf.DUMMYFUNCTION("""COMPUTED_VALUE"""),23.73)</f>
        <v>23.73</v>
      </c>
      <c r="F485" s="1">
        <f ca="1">IFERROR(__xludf.DUMMYFUNCTION("""COMPUTED_VALUE"""),4072795)</f>
        <v>4072795</v>
      </c>
    </row>
    <row r="486" spans="1:6" x14ac:dyDescent="0.2">
      <c r="A486" s="2">
        <f ca="1">IFERROR(__xludf.DUMMYFUNCTION("""COMPUTED_VALUE"""),42979.6666666666)</f>
        <v>42979.666666666599</v>
      </c>
      <c r="B486" s="1">
        <f ca="1">IFERROR(__xludf.DUMMYFUNCTION("""COMPUTED_VALUE"""),23.74)</f>
        <v>23.74</v>
      </c>
      <c r="C486" s="1">
        <f ca="1">IFERROR(__xludf.DUMMYFUNCTION("""COMPUTED_VALUE"""),23.84)</f>
        <v>23.84</v>
      </c>
      <c r="D486" s="1">
        <f ca="1">IFERROR(__xludf.DUMMYFUNCTION("""COMPUTED_VALUE"""),23.58)</f>
        <v>23.58</v>
      </c>
      <c r="E486" s="1">
        <f ca="1">IFERROR(__xludf.DUMMYFUNCTION("""COMPUTED_VALUE"""),23.69)</f>
        <v>23.69</v>
      </c>
      <c r="F486" s="1">
        <f ca="1">IFERROR(__xludf.DUMMYFUNCTION("""COMPUTED_VALUE"""),3049546)</f>
        <v>3049546</v>
      </c>
    </row>
    <row r="487" spans="1:6" x14ac:dyDescent="0.2">
      <c r="A487" s="2">
        <f ca="1">IFERROR(__xludf.DUMMYFUNCTION("""COMPUTED_VALUE"""),42983.6666666666)</f>
        <v>42983.666666666599</v>
      </c>
      <c r="B487" s="1">
        <f ca="1">IFERROR(__xludf.DUMMYFUNCTION("""COMPUTED_VALUE"""),23.59)</f>
        <v>23.59</v>
      </c>
      <c r="C487" s="1">
        <f ca="1">IFERROR(__xludf.DUMMYFUNCTION("""COMPUTED_VALUE"""),23.7)</f>
        <v>23.7</v>
      </c>
      <c r="D487" s="1">
        <f ca="1">IFERROR(__xludf.DUMMYFUNCTION("""COMPUTED_VALUE"""),23.06)</f>
        <v>23.06</v>
      </c>
      <c r="E487" s="1">
        <f ca="1">IFERROR(__xludf.DUMMYFUNCTION("""COMPUTED_VALUE"""),23.31)</f>
        <v>23.31</v>
      </c>
      <c r="F487" s="1">
        <f ca="1">IFERROR(__xludf.DUMMYFUNCTION("""COMPUTED_VALUE"""),3848382)</f>
        <v>3848382</v>
      </c>
    </row>
    <row r="488" spans="1:6" x14ac:dyDescent="0.2">
      <c r="A488" s="2">
        <f ca="1">IFERROR(__xludf.DUMMYFUNCTION("""COMPUTED_VALUE"""),42984.6666666666)</f>
        <v>42984.666666666599</v>
      </c>
      <c r="B488" s="1">
        <f ca="1">IFERROR(__xludf.DUMMYFUNCTION("""COMPUTED_VALUE"""),23.3)</f>
        <v>23.3</v>
      </c>
      <c r="C488" s="1">
        <f ca="1">IFERROR(__xludf.DUMMYFUNCTION("""COMPUTED_VALUE"""),23.4)</f>
        <v>23.4</v>
      </c>
      <c r="D488" s="1">
        <f ca="1">IFERROR(__xludf.DUMMYFUNCTION("""COMPUTED_VALUE"""),22.77)</f>
        <v>22.77</v>
      </c>
      <c r="E488" s="1">
        <f ca="1">IFERROR(__xludf.DUMMYFUNCTION("""COMPUTED_VALUE"""),22.97)</f>
        <v>22.97</v>
      </c>
      <c r="F488" s="1">
        <f ca="1">IFERROR(__xludf.DUMMYFUNCTION("""COMPUTED_VALUE"""),4091351)</f>
        <v>4091351</v>
      </c>
    </row>
    <row r="489" spans="1:6" x14ac:dyDescent="0.2">
      <c r="A489" s="2">
        <f ca="1">IFERROR(__xludf.DUMMYFUNCTION("""COMPUTED_VALUE"""),42985.6666666666)</f>
        <v>42985.666666666599</v>
      </c>
      <c r="B489" s="1">
        <f ca="1">IFERROR(__xludf.DUMMYFUNCTION("""COMPUTED_VALUE"""),23.07)</f>
        <v>23.07</v>
      </c>
      <c r="C489" s="1">
        <f ca="1">IFERROR(__xludf.DUMMYFUNCTION("""COMPUTED_VALUE"""),23.5)</f>
        <v>23.5</v>
      </c>
      <c r="D489" s="1">
        <f ca="1">IFERROR(__xludf.DUMMYFUNCTION("""COMPUTED_VALUE"""),22.9)</f>
        <v>22.9</v>
      </c>
      <c r="E489" s="1">
        <f ca="1">IFERROR(__xludf.DUMMYFUNCTION("""COMPUTED_VALUE"""),23.37)</f>
        <v>23.37</v>
      </c>
      <c r="F489" s="1">
        <f ca="1">IFERROR(__xludf.DUMMYFUNCTION("""COMPUTED_VALUE"""),4239213)</f>
        <v>4239213</v>
      </c>
    </row>
    <row r="490" spans="1:6" x14ac:dyDescent="0.2">
      <c r="A490" s="2">
        <f ca="1">IFERROR(__xludf.DUMMYFUNCTION("""COMPUTED_VALUE"""),42986.6666666666)</f>
        <v>42986.666666666599</v>
      </c>
      <c r="B490" s="1">
        <f ca="1">IFERROR(__xludf.DUMMYFUNCTION("""COMPUTED_VALUE"""),23.27)</f>
        <v>23.27</v>
      </c>
      <c r="C490" s="1">
        <f ca="1">IFERROR(__xludf.DUMMYFUNCTION("""COMPUTED_VALUE"""),23.32)</f>
        <v>23.32</v>
      </c>
      <c r="D490" s="1">
        <f ca="1">IFERROR(__xludf.DUMMYFUNCTION("""COMPUTED_VALUE"""),22.82)</f>
        <v>22.82</v>
      </c>
      <c r="E490" s="1">
        <f ca="1">IFERROR(__xludf.DUMMYFUNCTION("""COMPUTED_VALUE"""),22.89)</f>
        <v>22.89</v>
      </c>
      <c r="F490" s="1">
        <f ca="1">IFERROR(__xludf.DUMMYFUNCTION("""COMPUTED_VALUE"""),3263508)</f>
        <v>3263508</v>
      </c>
    </row>
    <row r="491" spans="1:6" x14ac:dyDescent="0.2">
      <c r="A491" s="2">
        <f ca="1">IFERROR(__xludf.DUMMYFUNCTION("""COMPUTED_VALUE"""),42989.6666666666)</f>
        <v>42989.666666666599</v>
      </c>
      <c r="B491" s="1">
        <f ca="1">IFERROR(__xludf.DUMMYFUNCTION("""COMPUTED_VALUE"""),23.42)</f>
        <v>23.42</v>
      </c>
      <c r="C491" s="1">
        <f ca="1">IFERROR(__xludf.DUMMYFUNCTION("""COMPUTED_VALUE"""),24.25)</f>
        <v>24.25</v>
      </c>
      <c r="D491" s="1">
        <f ca="1">IFERROR(__xludf.DUMMYFUNCTION("""COMPUTED_VALUE"""),23.33)</f>
        <v>23.33</v>
      </c>
      <c r="E491" s="1">
        <f ca="1">IFERROR(__xludf.DUMMYFUNCTION("""COMPUTED_VALUE"""),24.25)</f>
        <v>24.25</v>
      </c>
      <c r="F491" s="1">
        <f ca="1">IFERROR(__xludf.DUMMYFUNCTION("""COMPUTED_VALUE"""),7667055)</f>
        <v>7667055</v>
      </c>
    </row>
    <row r="492" spans="1:6" x14ac:dyDescent="0.2">
      <c r="A492" s="2">
        <f ca="1">IFERROR(__xludf.DUMMYFUNCTION("""COMPUTED_VALUE"""),42990.6666666666)</f>
        <v>42990.666666666599</v>
      </c>
      <c r="B492" s="1">
        <f ca="1">IFERROR(__xludf.DUMMYFUNCTION("""COMPUTED_VALUE"""),24.3)</f>
        <v>24.3</v>
      </c>
      <c r="C492" s="1">
        <f ca="1">IFERROR(__xludf.DUMMYFUNCTION("""COMPUTED_VALUE"""),24.58)</f>
        <v>24.58</v>
      </c>
      <c r="D492" s="1">
        <f ca="1">IFERROR(__xludf.DUMMYFUNCTION("""COMPUTED_VALUE"""),24.03)</f>
        <v>24.03</v>
      </c>
      <c r="E492" s="1">
        <f ca="1">IFERROR(__xludf.DUMMYFUNCTION("""COMPUTED_VALUE"""),24.18)</f>
        <v>24.18</v>
      </c>
      <c r="F492" s="1">
        <f ca="1">IFERROR(__xludf.DUMMYFUNCTION("""COMPUTED_VALUE"""),5972907)</f>
        <v>5972907</v>
      </c>
    </row>
    <row r="493" spans="1:6" x14ac:dyDescent="0.2">
      <c r="A493" s="2">
        <f ca="1">IFERROR(__xludf.DUMMYFUNCTION("""COMPUTED_VALUE"""),42991.6666666666)</f>
        <v>42991.666666666599</v>
      </c>
      <c r="B493" s="1">
        <f ca="1">IFERROR(__xludf.DUMMYFUNCTION("""COMPUTED_VALUE"""),24.25)</f>
        <v>24.25</v>
      </c>
      <c r="C493" s="1">
        <f ca="1">IFERROR(__xludf.DUMMYFUNCTION("""COMPUTED_VALUE"""),24.54)</f>
        <v>24.54</v>
      </c>
      <c r="D493" s="1">
        <f ca="1">IFERROR(__xludf.DUMMYFUNCTION("""COMPUTED_VALUE"""),23.97)</f>
        <v>23.97</v>
      </c>
      <c r="E493" s="1">
        <f ca="1">IFERROR(__xludf.DUMMYFUNCTION("""COMPUTED_VALUE"""),24.42)</f>
        <v>24.42</v>
      </c>
      <c r="F493" s="1">
        <f ca="1">IFERROR(__xludf.DUMMYFUNCTION("""COMPUTED_VALUE"""),4185231)</f>
        <v>4185231</v>
      </c>
    </row>
    <row r="494" spans="1:6" x14ac:dyDescent="0.2">
      <c r="A494" s="2">
        <f ca="1">IFERROR(__xludf.DUMMYFUNCTION("""COMPUTED_VALUE"""),42992.6666666666)</f>
        <v>42992.666666666599</v>
      </c>
      <c r="B494" s="1">
        <f ca="1">IFERROR(__xludf.DUMMYFUNCTION("""COMPUTED_VALUE"""),24.29)</f>
        <v>24.29</v>
      </c>
      <c r="C494" s="1">
        <f ca="1">IFERROR(__xludf.DUMMYFUNCTION("""COMPUTED_VALUE"""),25.2)</f>
        <v>25.2</v>
      </c>
      <c r="D494" s="1">
        <f ca="1">IFERROR(__xludf.DUMMYFUNCTION("""COMPUTED_VALUE"""),24.18)</f>
        <v>24.18</v>
      </c>
      <c r="E494" s="1">
        <f ca="1">IFERROR(__xludf.DUMMYFUNCTION("""COMPUTED_VALUE"""),25.18)</f>
        <v>25.18</v>
      </c>
      <c r="F494" s="1">
        <f ca="1">IFERROR(__xludf.DUMMYFUNCTION("""COMPUTED_VALUE"""),7202524)</f>
        <v>7202524</v>
      </c>
    </row>
    <row r="495" spans="1:6" x14ac:dyDescent="0.2">
      <c r="A495" s="2">
        <f ca="1">IFERROR(__xludf.DUMMYFUNCTION("""COMPUTED_VALUE"""),42993.6666666666)</f>
        <v>42993.666666666599</v>
      </c>
      <c r="B495" s="1">
        <f ca="1">IFERROR(__xludf.DUMMYFUNCTION("""COMPUTED_VALUE"""),24.97)</f>
        <v>24.97</v>
      </c>
      <c r="C495" s="1">
        <f ca="1">IFERROR(__xludf.DUMMYFUNCTION("""COMPUTED_VALUE"""),25.33)</f>
        <v>25.33</v>
      </c>
      <c r="D495" s="1">
        <f ca="1">IFERROR(__xludf.DUMMYFUNCTION("""COMPUTED_VALUE"""),24.85)</f>
        <v>24.85</v>
      </c>
      <c r="E495" s="1">
        <f ca="1">IFERROR(__xludf.DUMMYFUNCTION("""COMPUTED_VALUE"""),25.32)</f>
        <v>25.32</v>
      </c>
      <c r="F495" s="1">
        <f ca="1">IFERROR(__xludf.DUMMYFUNCTION("""COMPUTED_VALUE"""),5420496)</f>
        <v>5420496</v>
      </c>
    </row>
    <row r="496" spans="1:6" x14ac:dyDescent="0.2">
      <c r="A496" s="2">
        <f ca="1">IFERROR(__xludf.DUMMYFUNCTION("""COMPUTED_VALUE"""),42996.6666666666)</f>
        <v>42996.666666666599</v>
      </c>
      <c r="B496" s="1">
        <f ca="1">IFERROR(__xludf.DUMMYFUNCTION("""COMPUTED_VALUE"""),25.35)</f>
        <v>25.35</v>
      </c>
      <c r="C496" s="1">
        <f ca="1">IFERROR(__xludf.DUMMYFUNCTION("""COMPUTED_VALUE"""),25.97)</f>
        <v>25.97</v>
      </c>
      <c r="D496" s="1">
        <f ca="1">IFERROR(__xludf.DUMMYFUNCTION("""COMPUTED_VALUE"""),25.18)</f>
        <v>25.18</v>
      </c>
      <c r="E496" s="1">
        <f ca="1">IFERROR(__xludf.DUMMYFUNCTION("""COMPUTED_VALUE"""),25.67)</f>
        <v>25.67</v>
      </c>
      <c r="F496" s="1">
        <f ca="1">IFERROR(__xludf.DUMMYFUNCTION("""COMPUTED_VALUE"""),7187980)</f>
        <v>7187980</v>
      </c>
    </row>
    <row r="497" spans="1:6" x14ac:dyDescent="0.2">
      <c r="A497" s="2">
        <f ca="1">IFERROR(__xludf.DUMMYFUNCTION("""COMPUTED_VALUE"""),42997.6666666666)</f>
        <v>42997.666666666599</v>
      </c>
      <c r="B497" s="1">
        <f ca="1">IFERROR(__xludf.DUMMYFUNCTION("""COMPUTED_VALUE"""),25.33)</f>
        <v>25.33</v>
      </c>
      <c r="C497" s="1">
        <f ca="1">IFERROR(__xludf.DUMMYFUNCTION("""COMPUTED_VALUE"""),25.49)</f>
        <v>25.49</v>
      </c>
      <c r="D497" s="1">
        <f ca="1">IFERROR(__xludf.DUMMYFUNCTION("""COMPUTED_VALUE"""),24.9)</f>
        <v>24.9</v>
      </c>
      <c r="E497" s="1">
        <f ca="1">IFERROR(__xludf.DUMMYFUNCTION("""COMPUTED_VALUE"""),25.01)</f>
        <v>25.01</v>
      </c>
      <c r="F497" s="1">
        <f ca="1">IFERROR(__xludf.DUMMYFUNCTION("""COMPUTED_VALUE"""),6451886)</f>
        <v>6451886</v>
      </c>
    </row>
    <row r="498" spans="1:6" x14ac:dyDescent="0.2">
      <c r="A498" s="2">
        <f ca="1">IFERROR(__xludf.DUMMYFUNCTION("""COMPUTED_VALUE"""),42998.6666666666)</f>
        <v>42998.666666666599</v>
      </c>
      <c r="B498" s="1">
        <f ca="1">IFERROR(__xludf.DUMMYFUNCTION("""COMPUTED_VALUE"""),24.87)</f>
        <v>24.87</v>
      </c>
      <c r="C498" s="1">
        <f ca="1">IFERROR(__xludf.DUMMYFUNCTION("""COMPUTED_VALUE"""),25.22)</f>
        <v>25.22</v>
      </c>
      <c r="D498" s="1">
        <f ca="1">IFERROR(__xludf.DUMMYFUNCTION("""COMPUTED_VALUE"""),24.74)</f>
        <v>24.74</v>
      </c>
      <c r="E498" s="1">
        <f ca="1">IFERROR(__xludf.DUMMYFUNCTION("""COMPUTED_VALUE"""),24.93)</f>
        <v>24.93</v>
      </c>
      <c r="F498" s="1">
        <f ca="1">IFERROR(__xludf.DUMMYFUNCTION("""COMPUTED_VALUE"""),4919052)</f>
        <v>4919052</v>
      </c>
    </row>
    <row r="499" spans="1:6" x14ac:dyDescent="0.2">
      <c r="A499" s="2">
        <f ca="1">IFERROR(__xludf.DUMMYFUNCTION("""COMPUTED_VALUE"""),42999.6666666666)</f>
        <v>42999.666666666599</v>
      </c>
      <c r="B499" s="1">
        <f ca="1">IFERROR(__xludf.DUMMYFUNCTION("""COMPUTED_VALUE"""),24.99)</f>
        <v>24.99</v>
      </c>
      <c r="C499" s="1">
        <f ca="1">IFERROR(__xludf.DUMMYFUNCTION("""COMPUTED_VALUE"""),25.12)</f>
        <v>25.12</v>
      </c>
      <c r="D499" s="1">
        <f ca="1">IFERROR(__xludf.DUMMYFUNCTION("""COMPUTED_VALUE"""),24.3)</f>
        <v>24.3</v>
      </c>
      <c r="E499" s="1">
        <f ca="1">IFERROR(__xludf.DUMMYFUNCTION("""COMPUTED_VALUE"""),24.43)</f>
        <v>24.43</v>
      </c>
      <c r="F499" s="1">
        <f ca="1">IFERROR(__xludf.DUMMYFUNCTION("""COMPUTED_VALUE"""),4618190)</f>
        <v>4618190</v>
      </c>
    </row>
    <row r="500" spans="1:6" x14ac:dyDescent="0.2">
      <c r="A500" s="2">
        <f ca="1">IFERROR(__xludf.DUMMYFUNCTION("""COMPUTED_VALUE"""),43000.6666666666)</f>
        <v>43000.666666666599</v>
      </c>
      <c r="B500" s="1">
        <f ca="1">IFERROR(__xludf.DUMMYFUNCTION("""COMPUTED_VALUE"""),24.43)</f>
        <v>24.43</v>
      </c>
      <c r="C500" s="1">
        <f ca="1">IFERROR(__xludf.DUMMYFUNCTION("""COMPUTED_VALUE"""),24.66)</f>
        <v>24.66</v>
      </c>
      <c r="D500" s="1">
        <f ca="1">IFERROR(__xludf.DUMMYFUNCTION("""COMPUTED_VALUE"""),23.39)</f>
        <v>23.39</v>
      </c>
      <c r="E500" s="1">
        <f ca="1">IFERROR(__xludf.DUMMYFUNCTION("""COMPUTED_VALUE"""),23.41)</f>
        <v>23.41</v>
      </c>
      <c r="F500" s="1">
        <f ca="1">IFERROR(__xludf.DUMMYFUNCTION("""COMPUTED_VALUE"""),8159418)</f>
        <v>8159418</v>
      </c>
    </row>
    <row r="501" spans="1:6" x14ac:dyDescent="0.2">
      <c r="A501" s="2">
        <f ca="1">IFERROR(__xludf.DUMMYFUNCTION("""COMPUTED_VALUE"""),43003.6666666666)</f>
        <v>43003.666666666599</v>
      </c>
      <c r="B501" s="1">
        <f ca="1">IFERROR(__xludf.DUMMYFUNCTION("""COMPUTED_VALUE"""),23.54)</f>
        <v>23.54</v>
      </c>
      <c r="C501" s="1">
        <f ca="1">IFERROR(__xludf.DUMMYFUNCTION("""COMPUTED_VALUE"""),23.83)</f>
        <v>23.83</v>
      </c>
      <c r="D501" s="1">
        <f ca="1">IFERROR(__xludf.DUMMYFUNCTION("""COMPUTED_VALUE"""),22.86)</f>
        <v>22.86</v>
      </c>
      <c r="E501" s="1">
        <f ca="1">IFERROR(__xludf.DUMMYFUNCTION("""COMPUTED_VALUE"""),23)</f>
        <v>23</v>
      </c>
      <c r="F501" s="1">
        <f ca="1">IFERROR(__xludf.DUMMYFUNCTION("""COMPUTED_VALUE"""),7605946)</f>
        <v>7605946</v>
      </c>
    </row>
    <row r="502" spans="1:6" x14ac:dyDescent="0.2">
      <c r="A502" s="2">
        <f ca="1">IFERROR(__xludf.DUMMYFUNCTION("""COMPUTED_VALUE"""),43004.6666666666)</f>
        <v>43004.666666666599</v>
      </c>
      <c r="B502" s="1">
        <f ca="1">IFERROR(__xludf.DUMMYFUNCTION("""COMPUTED_VALUE"""),23.4)</f>
        <v>23.4</v>
      </c>
      <c r="C502" s="1">
        <f ca="1">IFERROR(__xludf.DUMMYFUNCTION("""COMPUTED_VALUE"""),23.42)</f>
        <v>23.42</v>
      </c>
      <c r="D502" s="1">
        <f ca="1">IFERROR(__xludf.DUMMYFUNCTION("""COMPUTED_VALUE"""),22.73)</f>
        <v>22.73</v>
      </c>
      <c r="E502" s="1">
        <f ca="1">IFERROR(__xludf.DUMMYFUNCTION("""COMPUTED_VALUE"""),23.02)</f>
        <v>23.02</v>
      </c>
      <c r="F502" s="1">
        <f ca="1">IFERROR(__xludf.DUMMYFUNCTION("""COMPUTED_VALUE"""),7156274)</f>
        <v>7156274</v>
      </c>
    </row>
    <row r="503" spans="1:6" x14ac:dyDescent="0.2">
      <c r="A503" s="2">
        <f ca="1">IFERROR(__xludf.DUMMYFUNCTION("""COMPUTED_VALUE"""),43005.6666666666)</f>
        <v>43005.666666666599</v>
      </c>
      <c r="B503" s="1">
        <f ca="1">IFERROR(__xludf.DUMMYFUNCTION("""COMPUTED_VALUE"""),23.33)</f>
        <v>23.33</v>
      </c>
      <c r="C503" s="1">
        <f ca="1">IFERROR(__xludf.DUMMYFUNCTION("""COMPUTED_VALUE"""),23.43)</f>
        <v>23.43</v>
      </c>
      <c r="D503" s="1">
        <f ca="1">IFERROR(__xludf.DUMMYFUNCTION("""COMPUTED_VALUE"""),22.7)</f>
        <v>22.7</v>
      </c>
      <c r="E503" s="1">
        <f ca="1">IFERROR(__xludf.DUMMYFUNCTION("""COMPUTED_VALUE"""),22.73)</f>
        <v>22.73</v>
      </c>
      <c r="F503" s="1">
        <f ca="1">IFERROR(__xludf.DUMMYFUNCTION("""COMPUTED_VALUE"""),6060330)</f>
        <v>6060330</v>
      </c>
    </row>
    <row r="504" spans="1:6" x14ac:dyDescent="0.2">
      <c r="A504" s="2">
        <f ca="1">IFERROR(__xludf.DUMMYFUNCTION("""COMPUTED_VALUE"""),43006.6666666666)</f>
        <v>43006.666666666599</v>
      </c>
      <c r="B504" s="1">
        <f ca="1">IFERROR(__xludf.DUMMYFUNCTION("""COMPUTED_VALUE"""),22.66)</f>
        <v>22.66</v>
      </c>
      <c r="C504" s="1">
        <f ca="1">IFERROR(__xludf.DUMMYFUNCTION("""COMPUTED_VALUE"""),22.85)</f>
        <v>22.85</v>
      </c>
      <c r="D504" s="1">
        <f ca="1">IFERROR(__xludf.DUMMYFUNCTION("""COMPUTED_VALUE"""),22.36)</f>
        <v>22.36</v>
      </c>
      <c r="E504" s="1">
        <f ca="1">IFERROR(__xludf.DUMMYFUNCTION("""COMPUTED_VALUE"""),22.64)</f>
        <v>22.64</v>
      </c>
      <c r="F504" s="1">
        <f ca="1">IFERROR(__xludf.DUMMYFUNCTION("""COMPUTED_VALUE"""),5319617)</f>
        <v>5319617</v>
      </c>
    </row>
    <row r="505" spans="1:6" x14ac:dyDescent="0.2">
      <c r="A505" s="2">
        <f ca="1">IFERROR(__xludf.DUMMYFUNCTION("""COMPUTED_VALUE"""),43007.6666666666)</f>
        <v>43007.666666666599</v>
      </c>
      <c r="B505" s="1">
        <f ca="1">IFERROR(__xludf.DUMMYFUNCTION("""COMPUTED_VALUE"""),22.79)</f>
        <v>22.79</v>
      </c>
      <c r="C505" s="1">
        <f ca="1">IFERROR(__xludf.DUMMYFUNCTION("""COMPUTED_VALUE"""),22.98)</f>
        <v>22.98</v>
      </c>
      <c r="D505" s="1">
        <f ca="1">IFERROR(__xludf.DUMMYFUNCTION("""COMPUTED_VALUE"""),22.57)</f>
        <v>22.57</v>
      </c>
      <c r="E505" s="1">
        <f ca="1">IFERROR(__xludf.DUMMYFUNCTION("""COMPUTED_VALUE"""),22.74)</f>
        <v>22.74</v>
      </c>
      <c r="F505" s="1">
        <f ca="1">IFERROR(__xludf.DUMMYFUNCTION("""COMPUTED_VALUE"""),5107082)</f>
        <v>5107082</v>
      </c>
    </row>
    <row r="506" spans="1:6" x14ac:dyDescent="0.2">
      <c r="A506" s="2">
        <f ca="1">IFERROR(__xludf.DUMMYFUNCTION("""COMPUTED_VALUE"""),43010.6666666666)</f>
        <v>43010.666666666599</v>
      </c>
      <c r="B506" s="1">
        <f ca="1">IFERROR(__xludf.DUMMYFUNCTION("""COMPUTED_VALUE"""),22.83)</f>
        <v>22.83</v>
      </c>
      <c r="C506" s="1">
        <f ca="1">IFERROR(__xludf.DUMMYFUNCTION("""COMPUTED_VALUE"""),22.91)</f>
        <v>22.91</v>
      </c>
      <c r="D506" s="1">
        <f ca="1">IFERROR(__xludf.DUMMYFUNCTION("""COMPUTED_VALUE"""),22.37)</f>
        <v>22.37</v>
      </c>
      <c r="E506" s="1">
        <f ca="1">IFERROR(__xludf.DUMMYFUNCTION("""COMPUTED_VALUE"""),22.77)</f>
        <v>22.77</v>
      </c>
      <c r="F506" s="1">
        <f ca="1">IFERROR(__xludf.DUMMYFUNCTION("""COMPUTED_VALUE"""),5286774)</f>
        <v>5286774</v>
      </c>
    </row>
    <row r="507" spans="1:6" x14ac:dyDescent="0.2">
      <c r="A507" s="2">
        <f ca="1">IFERROR(__xludf.DUMMYFUNCTION("""COMPUTED_VALUE"""),43011.6666666666)</f>
        <v>43011.666666666599</v>
      </c>
      <c r="B507" s="1">
        <f ca="1">IFERROR(__xludf.DUMMYFUNCTION("""COMPUTED_VALUE"""),22.39)</f>
        <v>22.39</v>
      </c>
      <c r="C507" s="1">
        <f ca="1">IFERROR(__xludf.DUMMYFUNCTION("""COMPUTED_VALUE"""),23.24)</f>
        <v>23.24</v>
      </c>
      <c r="D507" s="1">
        <f ca="1">IFERROR(__xludf.DUMMYFUNCTION("""COMPUTED_VALUE"""),22.09)</f>
        <v>22.09</v>
      </c>
      <c r="E507" s="1">
        <f ca="1">IFERROR(__xludf.DUMMYFUNCTION("""COMPUTED_VALUE"""),23.21)</f>
        <v>23.21</v>
      </c>
      <c r="F507" s="1">
        <f ca="1">IFERROR(__xludf.DUMMYFUNCTION("""COMPUTED_VALUE"""),10153596)</f>
        <v>10153596</v>
      </c>
    </row>
    <row r="508" spans="1:6" x14ac:dyDescent="0.2">
      <c r="A508" s="2">
        <f ca="1">IFERROR(__xludf.DUMMYFUNCTION("""COMPUTED_VALUE"""),43012.6666666666)</f>
        <v>43012.666666666599</v>
      </c>
      <c r="B508" s="1">
        <f ca="1">IFERROR(__xludf.DUMMYFUNCTION("""COMPUTED_VALUE"""),23.42)</f>
        <v>23.42</v>
      </c>
      <c r="C508" s="1">
        <f ca="1">IFERROR(__xludf.DUMMYFUNCTION("""COMPUTED_VALUE"""),23.91)</f>
        <v>23.91</v>
      </c>
      <c r="D508" s="1">
        <f ca="1">IFERROR(__xludf.DUMMYFUNCTION("""COMPUTED_VALUE"""),23.31)</f>
        <v>23.31</v>
      </c>
      <c r="E508" s="1">
        <f ca="1">IFERROR(__xludf.DUMMYFUNCTION("""COMPUTED_VALUE"""),23.67)</f>
        <v>23.67</v>
      </c>
      <c r="F508" s="1">
        <f ca="1">IFERROR(__xludf.DUMMYFUNCTION("""COMPUTED_VALUE"""),8163543)</f>
        <v>8163543</v>
      </c>
    </row>
    <row r="509" spans="1:6" x14ac:dyDescent="0.2">
      <c r="A509" s="2">
        <f ca="1">IFERROR(__xludf.DUMMYFUNCTION("""COMPUTED_VALUE"""),43013.6666666666)</f>
        <v>43013.666666666599</v>
      </c>
      <c r="B509" s="1">
        <f ca="1">IFERROR(__xludf.DUMMYFUNCTION("""COMPUTED_VALUE"""),23.73)</f>
        <v>23.73</v>
      </c>
      <c r="C509" s="1">
        <f ca="1">IFERROR(__xludf.DUMMYFUNCTION("""COMPUTED_VALUE"""),23.83)</f>
        <v>23.83</v>
      </c>
      <c r="D509" s="1">
        <f ca="1">IFERROR(__xludf.DUMMYFUNCTION("""COMPUTED_VALUE"""),23.42)</f>
        <v>23.42</v>
      </c>
      <c r="E509" s="1">
        <f ca="1">IFERROR(__xludf.DUMMYFUNCTION("""COMPUTED_VALUE"""),23.69)</f>
        <v>23.69</v>
      </c>
      <c r="F509" s="1">
        <f ca="1">IFERROR(__xludf.DUMMYFUNCTION("""COMPUTED_VALUE"""),4171675)</f>
        <v>4171675</v>
      </c>
    </row>
    <row r="510" spans="1:6" x14ac:dyDescent="0.2">
      <c r="A510" s="2">
        <f ca="1">IFERROR(__xludf.DUMMYFUNCTION("""COMPUTED_VALUE"""),43014.6666666666)</f>
        <v>43014.666666666599</v>
      </c>
      <c r="B510" s="1">
        <f ca="1">IFERROR(__xludf.DUMMYFUNCTION("""COMPUTED_VALUE"""),23.54)</f>
        <v>23.54</v>
      </c>
      <c r="C510" s="1">
        <f ca="1">IFERROR(__xludf.DUMMYFUNCTION("""COMPUTED_VALUE"""),24.01)</f>
        <v>24.01</v>
      </c>
      <c r="D510" s="1">
        <f ca="1">IFERROR(__xludf.DUMMYFUNCTION("""COMPUTED_VALUE"""),23.48)</f>
        <v>23.48</v>
      </c>
      <c r="E510" s="1">
        <f ca="1">IFERROR(__xludf.DUMMYFUNCTION("""COMPUTED_VALUE"""),23.79)</f>
        <v>23.79</v>
      </c>
      <c r="F510" s="1">
        <f ca="1">IFERROR(__xludf.DUMMYFUNCTION("""COMPUTED_VALUE"""),4297474)</f>
        <v>4297474</v>
      </c>
    </row>
    <row r="511" spans="1:6" x14ac:dyDescent="0.2">
      <c r="A511" s="2">
        <f ca="1">IFERROR(__xludf.DUMMYFUNCTION("""COMPUTED_VALUE"""),43017.6666666666)</f>
        <v>43017.666666666599</v>
      </c>
      <c r="B511" s="1">
        <f ca="1">IFERROR(__xludf.DUMMYFUNCTION("""COMPUTED_VALUE"""),23.31)</f>
        <v>23.31</v>
      </c>
      <c r="C511" s="1">
        <f ca="1">IFERROR(__xludf.DUMMYFUNCTION("""COMPUTED_VALUE"""),23.45)</f>
        <v>23.45</v>
      </c>
      <c r="D511" s="1">
        <f ca="1">IFERROR(__xludf.DUMMYFUNCTION("""COMPUTED_VALUE"""),22.84)</f>
        <v>22.84</v>
      </c>
      <c r="E511" s="1">
        <f ca="1">IFERROR(__xludf.DUMMYFUNCTION("""COMPUTED_VALUE"""),22.86)</f>
        <v>22.86</v>
      </c>
      <c r="F511" s="1">
        <f ca="1">IFERROR(__xludf.DUMMYFUNCTION("""COMPUTED_VALUE"""),7493654)</f>
        <v>7493654</v>
      </c>
    </row>
    <row r="512" spans="1:6" x14ac:dyDescent="0.2">
      <c r="A512" s="2">
        <f ca="1">IFERROR(__xludf.DUMMYFUNCTION("""COMPUTED_VALUE"""),43018.6666666666)</f>
        <v>43018.666666666599</v>
      </c>
      <c r="B512" s="1">
        <f ca="1">IFERROR(__xludf.DUMMYFUNCTION("""COMPUTED_VALUE"""),23.12)</f>
        <v>23.12</v>
      </c>
      <c r="C512" s="1">
        <f ca="1">IFERROR(__xludf.DUMMYFUNCTION("""COMPUTED_VALUE"""),23.71)</f>
        <v>23.71</v>
      </c>
      <c r="D512" s="1">
        <f ca="1">IFERROR(__xludf.DUMMYFUNCTION("""COMPUTED_VALUE"""),23.04)</f>
        <v>23.04</v>
      </c>
      <c r="E512" s="1">
        <f ca="1">IFERROR(__xludf.DUMMYFUNCTION("""COMPUTED_VALUE"""),23.71)</f>
        <v>23.71</v>
      </c>
      <c r="F512" s="1">
        <f ca="1">IFERROR(__xludf.DUMMYFUNCTION("""COMPUTED_VALUE"""),6978495)</f>
        <v>6978495</v>
      </c>
    </row>
    <row r="513" spans="1:6" x14ac:dyDescent="0.2">
      <c r="A513" s="2">
        <f ca="1">IFERROR(__xludf.DUMMYFUNCTION("""COMPUTED_VALUE"""),43019.6666666666)</f>
        <v>43019.666666666599</v>
      </c>
      <c r="B513" s="1">
        <f ca="1">IFERROR(__xludf.DUMMYFUNCTION("""COMPUTED_VALUE"""),23.59)</f>
        <v>23.59</v>
      </c>
      <c r="C513" s="1">
        <f ca="1">IFERROR(__xludf.DUMMYFUNCTION("""COMPUTED_VALUE"""),23.84)</f>
        <v>23.84</v>
      </c>
      <c r="D513" s="1">
        <f ca="1">IFERROR(__xludf.DUMMYFUNCTION("""COMPUTED_VALUE"""),23.41)</f>
        <v>23.41</v>
      </c>
      <c r="E513" s="1">
        <f ca="1">IFERROR(__xludf.DUMMYFUNCTION("""COMPUTED_VALUE"""),23.64)</f>
        <v>23.64</v>
      </c>
      <c r="F513" s="1">
        <f ca="1">IFERROR(__xludf.DUMMYFUNCTION("""COMPUTED_VALUE"""),4500831)</f>
        <v>4500831</v>
      </c>
    </row>
    <row r="514" spans="1:6" x14ac:dyDescent="0.2">
      <c r="A514" s="2">
        <f ca="1">IFERROR(__xludf.DUMMYFUNCTION("""COMPUTED_VALUE"""),43020.6666666666)</f>
        <v>43020.666666666599</v>
      </c>
      <c r="B514" s="1">
        <f ca="1">IFERROR(__xludf.DUMMYFUNCTION("""COMPUTED_VALUE"""),23.53)</f>
        <v>23.53</v>
      </c>
      <c r="C514" s="1">
        <f ca="1">IFERROR(__xludf.DUMMYFUNCTION("""COMPUTED_VALUE"""),23.99)</f>
        <v>23.99</v>
      </c>
      <c r="D514" s="1">
        <f ca="1">IFERROR(__xludf.DUMMYFUNCTION("""COMPUTED_VALUE"""),23.51)</f>
        <v>23.51</v>
      </c>
      <c r="E514" s="1">
        <f ca="1">IFERROR(__xludf.DUMMYFUNCTION("""COMPUTED_VALUE"""),23.71)</f>
        <v>23.71</v>
      </c>
      <c r="F514" s="1">
        <f ca="1">IFERROR(__xludf.DUMMYFUNCTION("""COMPUTED_VALUE"""),4087048)</f>
        <v>4087048</v>
      </c>
    </row>
    <row r="515" spans="1:6" x14ac:dyDescent="0.2">
      <c r="A515" s="2">
        <f ca="1">IFERROR(__xludf.DUMMYFUNCTION("""COMPUTED_VALUE"""),43021.6666666666)</f>
        <v>43021.666666666599</v>
      </c>
      <c r="B515" s="1">
        <f ca="1">IFERROR(__xludf.DUMMYFUNCTION("""COMPUTED_VALUE"""),23.8)</f>
        <v>23.8</v>
      </c>
      <c r="C515" s="1">
        <f ca="1">IFERROR(__xludf.DUMMYFUNCTION("""COMPUTED_VALUE"""),23.9)</f>
        <v>23.9</v>
      </c>
      <c r="D515" s="1">
        <f ca="1">IFERROR(__xludf.DUMMYFUNCTION("""COMPUTED_VALUE"""),23.58)</f>
        <v>23.58</v>
      </c>
      <c r="E515" s="1">
        <f ca="1">IFERROR(__xludf.DUMMYFUNCTION("""COMPUTED_VALUE"""),23.7)</f>
        <v>23.7</v>
      </c>
      <c r="F515" s="1">
        <f ca="1">IFERROR(__xludf.DUMMYFUNCTION("""COMPUTED_VALUE"""),3540533)</f>
        <v>3540533</v>
      </c>
    </row>
    <row r="516" spans="1:6" x14ac:dyDescent="0.2">
      <c r="A516" s="2">
        <f ca="1">IFERROR(__xludf.DUMMYFUNCTION("""COMPUTED_VALUE"""),43024.6666666666)</f>
        <v>43024.666666666599</v>
      </c>
      <c r="B516" s="1">
        <f ca="1">IFERROR(__xludf.DUMMYFUNCTION("""COMPUTED_VALUE"""),23.58)</f>
        <v>23.58</v>
      </c>
      <c r="C516" s="1">
        <f ca="1">IFERROR(__xludf.DUMMYFUNCTION("""COMPUTED_VALUE"""),23.63)</f>
        <v>23.63</v>
      </c>
      <c r="D516" s="1">
        <f ca="1">IFERROR(__xludf.DUMMYFUNCTION("""COMPUTED_VALUE"""),23.14)</f>
        <v>23.14</v>
      </c>
      <c r="E516" s="1">
        <f ca="1">IFERROR(__xludf.DUMMYFUNCTION("""COMPUTED_VALUE"""),23.37)</f>
        <v>23.37</v>
      </c>
      <c r="F516" s="1">
        <f ca="1">IFERROR(__xludf.DUMMYFUNCTION("""COMPUTED_VALUE"""),5375486)</f>
        <v>5375486</v>
      </c>
    </row>
    <row r="517" spans="1:6" x14ac:dyDescent="0.2">
      <c r="A517" s="2">
        <f ca="1">IFERROR(__xludf.DUMMYFUNCTION("""COMPUTED_VALUE"""),43025.6666666666)</f>
        <v>43025.666666666599</v>
      </c>
      <c r="B517" s="1">
        <f ca="1">IFERROR(__xludf.DUMMYFUNCTION("""COMPUTED_VALUE"""),23.39)</f>
        <v>23.39</v>
      </c>
      <c r="C517" s="1">
        <f ca="1">IFERROR(__xludf.DUMMYFUNCTION("""COMPUTED_VALUE"""),23.75)</f>
        <v>23.75</v>
      </c>
      <c r="D517" s="1">
        <f ca="1">IFERROR(__xludf.DUMMYFUNCTION("""COMPUTED_VALUE"""),23.34)</f>
        <v>23.34</v>
      </c>
      <c r="E517" s="1">
        <f ca="1">IFERROR(__xludf.DUMMYFUNCTION("""COMPUTED_VALUE"""),23.72)</f>
        <v>23.72</v>
      </c>
      <c r="F517" s="1">
        <f ca="1">IFERROR(__xludf.DUMMYFUNCTION("""COMPUTED_VALUE"""),3293345)</f>
        <v>3293345</v>
      </c>
    </row>
    <row r="518" spans="1:6" x14ac:dyDescent="0.2">
      <c r="A518" s="2">
        <f ca="1">IFERROR(__xludf.DUMMYFUNCTION("""COMPUTED_VALUE"""),43026.6666666666)</f>
        <v>43026.666666666599</v>
      </c>
      <c r="B518" s="1">
        <f ca="1">IFERROR(__xludf.DUMMYFUNCTION("""COMPUTED_VALUE"""),23.73)</f>
        <v>23.73</v>
      </c>
      <c r="C518" s="1">
        <f ca="1">IFERROR(__xludf.DUMMYFUNCTION("""COMPUTED_VALUE"""),24.2)</f>
        <v>24.2</v>
      </c>
      <c r="D518" s="1">
        <f ca="1">IFERROR(__xludf.DUMMYFUNCTION("""COMPUTED_VALUE"""),23.61)</f>
        <v>23.61</v>
      </c>
      <c r="E518" s="1">
        <f ca="1">IFERROR(__xludf.DUMMYFUNCTION("""COMPUTED_VALUE"""),23.98)</f>
        <v>23.98</v>
      </c>
      <c r="F518" s="1">
        <f ca="1">IFERROR(__xludf.DUMMYFUNCTION("""COMPUTED_VALUE"""),4939074)</f>
        <v>4939074</v>
      </c>
    </row>
    <row r="519" spans="1:6" x14ac:dyDescent="0.2">
      <c r="A519" s="2">
        <f ca="1">IFERROR(__xludf.DUMMYFUNCTION("""COMPUTED_VALUE"""),43027.6666666666)</f>
        <v>43027.666666666599</v>
      </c>
      <c r="B519" s="1">
        <f ca="1">IFERROR(__xludf.DUMMYFUNCTION("""COMPUTED_VALUE"""),23.7)</f>
        <v>23.7</v>
      </c>
      <c r="C519" s="1">
        <f ca="1">IFERROR(__xludf.DUMMYFUNCTION("""COMPUTED_VALUE"""),23.81)</f>
        <v>23.81</v>
      </c>
      <c r="D519" s="1">
        <f ca="1">IFERROR(__xludf.DUMMYFUNCTION("""COMPUTED_VALUE"""),23.21)</f>
        <v>23.21</v>
      </c>
      <c r="E519" s="1">
        <f ca="1">IFERROR(__xludf.DUMMYFUNCTION("""COMPUTED_VALUE"""),23.45)</f>
        <v>23.45</v>
      </c>
      <c r="F519" s="1">
        <f ca="1">IFERROR(__xludf.DUMMYFUNCTION("""COMPUTED_VALUE"""),5061843)</f>
        <v>5061843</v>
      </c>
    </row>
    <row r="520" spans="1:6" x14ac:dyDescent="0.2">
      <c r="A520" s="2">
        <f ca="1">IFERROR(__xludf.DUMMYFUNCTION("""COMPUTED_VALUE"""),43028.6666666666)</f>
        <v>43028.666666666599</v>
      </c>
      <c r="B520" s="1">
        <f ca="1">IFERROR(__xludf.DUMMYFUNCTION("""COMPUTED_VALUE"""),23.51)</f>
        <v>23.51</v>
      </c>
      <c r="C520" s="1">
        <f ca="1">IFERROR(__xludf.DUMMYFUNCTION("""COMPUTED_VALUE"""),23.64)</f>
        <v>23.64</v>
      </c>
      <c r="D520" s="1">
        <f ca="1">IFERROR(__xludf.DUMMYFUNCTION("""COMPUTED_VALUE"""),22.96)</f>
        <v>22.96</v>
      </c>
      <c r="E520" s="1">
        <f ca="1">IFERROR(__xludf.DUMMYFUNCTION("""COMPUTED_VALUE"""),23.01)</f>
        <v>23.01</v>
      </c>
      <c r="F520" s="1">
        <f ca="1">IFERROR(__xludf.DUMMYFUNCTION("""COMPUTED_VALUE"""),4930395)</f>
        <v>4930395</v>
      </c>
    </row>
    <row r="521" spans="1:6" x14ac:dyDescent="0.2">
      <c r="A521" s="2">
        <f ca="1">IFERROR(__xludf.DUMMYFUNCTION("""COMPUTED_VALUE"""),43031.6666666666)</f>
        <v>43031.666666666599</v>
      </c>
      <c r="B521" s="1">
        <f ca="1">IFERROR(__xludf.DUMMYFUNCTION("""COMPUTED_VALUE"""),23.33)</f>
        <v>23.33</v>
      </c>
      <c r="C521" s="1">
        <f ca="1">IFERROR(__xludf.DUMMYFUNCTION("""COMPUTED_VALUE"""),23.33)</f>
        <v>23.33</v>
      </c>
      <c r="D521" s="1">
        <f ca="1">IFERROR(__xludf.DUMMYFUNCTION("""COMPUTED_VALUE"""),22.42)</f>
        <v>22.42</v>
      </c>
      <c r="E521" s="1">
        <f ca="1">IFERROR(__xludf.DUMMYFUNCTION("""COMPUTED_VALUE"""),22.47)</f>
        <v>22.47</v>
      </c>
      <c r="F521" s="1">
        <f ca="1">IFERROR(__xludf.DUMMYFUNCTION("""COMPUTED_VALUE"""),5747346)</f>
        <v>5747346</v>
      </c>
    </row>
    <row r="522" spans="1:6" x14ac:dyDescent="0.2">
      <c r="A522" s="2">
        <f ca="1">IFERROR(__xludf.DUMMYFUNCTION("""COMPUTED_VALUE"""),43032.6666666666)</f>
        <v>43032.666666666599</v>
      </c>
      <c r="B522" s="1">
        <f ca="1">IFERROR(__xludf.DUMMYFUNCTION("""COMPUTED_VALUE"""),22.59)</f>
        <v>22.59</v>
      </c>
      <c r="C522" s="1">
        <f ca="1">IFERROR(__xludf.DUMMYFUNCTION("""COMPUTED_VALUE"""),22.85)</f>
        <v>22.85</v>
      </c>
      <c r="D522" s="1">
        <f ca="1">IFERROR(__xludf.DUMMYFUNCTION("""COMPUTED_VALUE"""),22.41)</f>
        <v>22.41</v>
      </c>
      <c r="E522" s="1">
        <f ca="1">IFERROR(__xludf.DUMMYFUNCTION("""COMPUTED_VALUE"""),22.49)</f>
        <v>22.49</v>
      </c>
      <c r="F522" s="1">
        <f ca="1">IFERROR(__xludf.DUMMYFUNCTION("""COMPUTED_VALUE"""),4491672)</f>
        <v>4491672</v>
      </c>
    </row>
    <row r="523" spans="1:6" x14ac:dyDescent="0.2">
      <c r="A523" s="2">
        <f ca="1">IFERROR(__xludf.DUMMYFUNCTION("""COMPUTED_VALUE"""),43033.6666666666)</f>
        <v>43033.666666666599</v>
      </c>
      <c r="B523" s="1">
        <f ca="1">IFERROR(__xludf.DUMMYFUNCTION("""COMPUTED_VALUE"""),22.45)</f>
        <v>22.45</v>
      </c>
      <c r="C523" s="1">
        <f ca="1">IFERROR(__xludf.DUMMYFUNCTION("""COMPUTED_VALUE"""),22.5)</f>
        <v>22.5</v>
      </c>
      <c r="D523" s="1">
        <f ca="1">IFERROR(__xludf.DUMMYFUNCTION("""COMPUTED_VALUE"""),21.57)</f>
        <v>21.57</v>
      </c>
      <c r="E523" s="1">
        <f ca="1">IFERROR(__xludf.DUMMYFUNCTION("""COMPUTED_VALUE"""),21.72)</f>
        <v>21.72</v>
      </c>
      <c r="F523" s="1">
        <f ca="1">IFERROR(__xludf.DUMMYFUNCTION("""COMPUTED_VALUE"""),8594073)</f>
        <v>8594073</v>
      </c>
    </row>
    <row r="524" spans="1:6" x14ac:dyDescent="0.2">
      <c r="A524" s="2">
        <f ca="1">IFERROR(__xludf.DUMMYFUNCTION("""COMPUTED_VALUE"""),43034.6666666666)</f>
        <v>43034.666666666599</v>
      </c>
      <c r="B524" s="1">
        <f ca="1">IFERROR(__xludf.DUMMYFUNCTION("""COMPUTED_VALUE"""),21.85)</f>
        <v>21.85</v>
      </c>
      <c r="C524" s="1">
        <f ca="1">IFERROR(__xludf.DUMMYFUNCTION("""COMPUTED_VALUE"""),22.02)</f>
        <v>22.02</v>
      </c>
      <c r="D524" s="1">
        <f ca="1">IFERROR(__xludf.DUMMYFUNCTION("""COMPUTED_VALUE"""),21.55)</f>
        <v>21.55</v>
      </c>
      <c r="E524" s="1">
        <f ca="1">IFERROR(__xludf.DUMMYFUNCTION("""COMPUTED_VALUE"""),21.74)</f>
        <v>21.74</v>
      </c>
      <c r="F524" s="1">
        <f ca="1">IFERROR(__xludf.DUMMYFUNCTION("""COMPUTED_VALUE"""),5023500)</f>
        <v>5023500</v>
      </c>
    </row>
    <row r="525" spans="1:6" x14ac:dyDescent="0.2">
      <c r="A525" s="2">
        <f ca="1">IFERROR(__xludf.DUMMYFUNCTION("""COMPUTED_VALUE"""),43035.6666666666)</f>
        <v>43035.666666666599</v>
      </c>
      <c r="B525" s="1">
        <f ca="1">IFERROR(__xludf.DUMMYFUNCTION("""COMPUTED_VALUE"""),21.32)</f>
        <v>21.32</v>
      </c>
      <c r="C525" s="1">
        <f ca="1">IFERROR(__xludf.DUMMYFUNCTION("""COMPUTED_VALUE"""),21.64)</f>
        <v>21.64</v>
      </c>
      <c r="D525" s="1">
        <f ca="1">IFERROR(__xludf.DUMMYFUNCTION("""COMPUTED_VALUE"""),21.11)</f>
        <v>21.11</v>
      </c>
      <c r="E525" s="1">
        <f ca="1">IFERROR(__xludf.DUMMYFUNCTION("""COMPUTED_VALUE"""),21.39)</f>
        <v>21.39</v>
      </c>
      <c r="F525" s="1">
        <f ca="1">IFERROR(__xludf.DUMMYFUNCTION("""COMPUTED_VALUE"""),6979704)</f>
        <v>6979704</v>
      </c>
    </row>
    <row r="526" spans="1:6" x14ac:dyDescent="0.2">
      <c r="A526" s="2">
        <f ca="1">IFERROR(__xludf.DUMMYFUNCTION("""COMPUTED_VALUE"""),43038.6666666666)</f>
        <v>43038.666666666599</v>
      </c>
      <c r="B526" s="1">
        <f ca="1">IFERROR(__xludf.DUMMYFUNCTION("""COMPUTED_VALUE"""),21.28)</f>
        <v>21.28</v>
      </c>
      <c r="C526" s="1">
        <f ca="1">IFERROR(__xludf.DUMMYFUNCTION("""COMPUTED_VALUE"""),21.59)</f>
        <v>21.59</v>
      </c>
      <c r="D526" s="1">
        <f ca="1">IFERROR(__xludf.DUMMYFUNCTION("""COMPUTED_VALUE"""),21.15)</f>
        <v>21.15</v>
      </c>
      <c r="E526" s="1">
        <f ca="1">IFERROR(__xludf.DUMMYFUNCTION("""COMPUTED_VALUE"""),21.34)</f>
        <v>21.34</v>
      </c>
      <c r="F526" s="1">
        <f ca="1">IFERROR(__xludf.DUMMYFUNCTION("""COMPUTED_VALUE"""),4254378)</f>
        <v>4254378</v>
      </c>
    </row>
    <row r="527" spans="1:6" x14ac:dyDescent="0.2">
      <c r="A527" s="2">
        <f ca="1">IFERROR(__xludf.DUMMYFUNCTION("""COMPUTED_VALUE"""),43039.6666666666)</f>
        <v>43039.666666666599</v>
      </c>
      <c r="B527" s="1">
        <f ca="1">IFERROR(__xludf.DUMMYFUNCTION("""COMPUTED_VALUE"""),21.35)</f>
        <v>21.35</v>
      </c>
      <c r="C527" s="1">
        <f ca="1">IFERROR(__xludf.DUMMYFUNCTION("""COMPUTED_VALUE"""),22.13)</f>
        <v>22.13</v>
      </c>
      <c r="D527" s="1">
        <f ca="1">IFERROR(__xludf.DUMMYFUNCTION("""COMPUTED_VALUE"""),21.35)</f>
        <v>21.35</v>
      </c>
      <c r="E527" s="1">
        <f ca="1">IFERROR(__xludf.DUMMYFUNCTION("""COMPUTED_VALUE"""),22.1)</f>
        <v>22.1</v>
      </c>
      <c r="F527" s="1">
        <f ca="1">IFERROR(__xludf.DUMMYFUNCTION("""COMPUTED_VALUE"""),5672347)</f>
        <v>5672347</v>
      </c>
    </row>
    <row r="528" spans="1:6" x14ac:dyDescent="0.2">
      <c r="A528" s="2">
        <f ca="1">IFERROR(__xludf.DUMMYFUNCTION("""COMPUTED_VALUE"""),43040.6666666666)</f>
        <v>43040.666666666599</v>
      </c>
      <c r="B528" s="1">
        <f ca="1">IFERROR(__xludf.DUMMYFUNCTION("""COMPUTED_VALUE"""),22.15)</f>
        <v>22.15</v>
      </c>
      <c r="C528" s="1">
        <f ca="1">IFERROR(__xludf.DUMMYFUNCTION("""COMPUTED_VALUE"""),22.17)</f>
        <v>22.17</v>
      </c>
      <c r="D528" s="1">
        <f ca="1">IFERROR(__xludf.DUMMYFUNCTION("""COMPUTED_VALUE"""),21.35)</f>
        <v>21.35</v>
      </c>
      <c r="E528" s="1">
        <f ca="1">IFERROR(__xludf.DUMMYFUNCTION("""COMPUTED_VALUE"""),21.41)</f>
        <v>21.41</v>
      </c>
      <c r="F528" s="1">
        <f ca="1">IFERROR(__xludf.DUMMYFUNCTION("""COMPUTED_VALUE"""),8457336)</f>
        <v>8457336</v>
      </c>
    </row>
    <row r="529" spans="1:6" x14ac:dyDescent="0.2">
      <c r="A529" s="2">
        <f ca="1">IFERROR(__xludf.DUMMYFUNCTION("""COMPUTED_VALUE"""),43041.6666666666)</f>
        <v>43041.666666666599</v>
      </c>
      <c r="B529" s="1">
        <f ca="1">IFERROR(__xludf.DUMMYFUNCTION("""COMPUTED_VALUE"""),20.01)</f>
        <v>20.010000000000002</v>
      </c>
      <c r="C529" s="1">
        <f ca="1">IFERROR(__xludf.DUMMYFUNCTION("""COMPUTED_VALUE"""),20.58)</f>
        <v>20.58</v>
      </c>
      <c r="D529" s="1">
        <f ca="1">IFERROR(__xludf.DUMMYFUNCTION("""COMPUTED_VALUE"""),19.51)</f>
        <v>19.510000000000002</v>
      </c>
      <c r="E529" s="1">
        <f ca="1">IFERROR(__xludf.DUMMYFUNCTION("""COMPUTED_VALUE"""),19.95)</f>
        <v>19.95</v>
      </c>
      <c r="F529" s="1">
        <f ca="1">IFERROR(__xludf.DUMMYFUNCTION("""COMPUTED_VALUE"""),19791416)</f>
        <v>19791416</v>
      </c>
    </row>
    <row r="530" spans="1:6" x14ac:dyDescent="0.2">
      <c r="A530" s="2">
        <f ca="1">IFERROR(__xludf.DUMMYFUNCTION("""COMPUTED_VALUE"""),43042.6666666666)</f>
        <v>43042.666666666599</v>
      </c>
      <c r="B530" s="1">
        <f ca="1">IFERROR(__xludf.DUMMYFUNCTION("""COMPUTED_VALUE"""),19.97)</f>
        <v>19.97</v>
      </c>
      <c r="C530" s="1">
        <f ca="1">IFERROR(__xludf.DUMMYFUNCTION("""COMPUTED_VALUE"""),20.42)</f>
        <v>20.420000000000002</v>
      </c>
      <c r="D530" s="1">
        <f ca="1">IFERROR(__xludf.DUMMYFUNCTION("""COMPUTED_VALUE"""),19.68)</f>
        <v>19.68</v>
      </c>
      <c r="E530" s="1">
        <f ca="1">IFERROR(__xludf.DUMMYFUNCTION("""COMPUTED_VALUE"""),20.41)</f>
        <v>20.41</v>
      </c>
      <c r="F530" s="1">
        <f ca="1">IFERROR(__xludf.DUMMYFUNCTION("""COMPUTED_VALUE"""),8893974)</f>
        <v>8893974</v>
      </c>
    </row>
    <row r="531" spans="1:6" x14ac:dyDescent="0.2">
      <c r="A531" s="2">
        <f ca="1">IFERROR(__xludf.DUMMYFUNCTION("""COMPUTED_VALUE"""),43045.6666666666)</f>
        <v>43045.666666666599</v>
      </c>
      <c r="B531" s="1">
        <f ca="1">IFERROR(__xludf.DUMMYFUNCTION("""COMPUTED_VALUE"""),20.47)</f>
        <v>20.47</v>
      </c>
      <c r="C531" s="1">
        <f ca="1">IFERROR(__xludf.DUMMYFUNCTION("""COMPUTED_VALUE"""),20.5)</f>
        <v>20.5</v>
      </c>
      <c r="D531" s="1">
        <f ca="1">IFERROR(__xludf.DUMMYFUNCTION("""COMPUTED_VALUE"""),19.93)</f>
        <v>19.93</v>
      </c>
      <c r="E531" s="1">
        <f ca="1">IFERROR(__xludf.DUMMYFUNCTION("""COMPUTED_VALUE"""),20.19)</f>
        <v>20.190000000000001</v>
      </c>
      <c r="F531" s="1">
        <f ca="1">IFERROR(__xludf.DUMMYFUNCTION("""COMPUTED_VALUE"""),6486009)</f>
        <v>6486009</v>
      </c>
    </row>
    <row r="532" spans="1:6" x14ac:dyDescent="0.2">
      <c r="A532" s="2">
        <f ca="1">IFERROR(__xludf.DUMMYFUNCTION("""COMPUTED_VALUE"""),43046.6666666666)</f>
        <v>43046.666666666599</v>
      </c>
      <c r="B532" s="1">
        <f ca="1">IFERROR(__xludf.DUMMYFUNCTION("""COMPUTED_VALUE"""),20.07)</f>
        <v>20.07</v>
      </c>
      <c r="C532" s="1">
        <f ca="1">IFERROR(__xludf.DUMMYFUNCTION("""COMPUTED_VALUE"""),20.43)</f>
        <v>20.43</v>
      </c>
      <c r="D532" s="1">
        <f ca="1">IFERROR(__xludf.DUMMYFUNCTION("""COMPUTED_VALUE"""),20)</f>
        <v>20</v>
      </c>
      <c r="E532" s="1">
        <f ca="1">IFERROR(__xludf.DUMMYFUNCTION("""COMPUTED_VALUE"""),20.4)</f>
        <v>20.399999999999999</v>
      </c>
      <c r="F532" s="1">
        <f ca="1">IFERROR(__xludf.DUMMYFUNCTION("""COMPUTED_VALUE"""),5294274)</f>
        <v>5294274</v>
      </c>
    </row>
    <row r="533" spans="1:6" x14ac:dyDescent="0.2">
      <c r="A533" s="2">
        <f ca="1">IFERROR(__xludf.DUMMYFUNCTION("""COMPUTED_VALUE"""),43047.6666666666)</f>
        <v>43047.666666666599</v>
      </c>
      <c r="B533" s="1">
        <f ca="1">IFERROR(__xludf.DUMMYFUNCTION("""COMPUTED_VALUE"""),20.37)</f>
        <v>20.37</v>
      </c>
      <c r="C533" s="1">
        <f ca="1">IFERROR(__xludf.DUMMYFUNCTION("""COMPUTED_VALUE"""),20.46)</f>
        <v>20.46</v>
      </c>
      <c r="D533" s="1">
        <f ca="1">IFERROR(__xludf.DUMMYFUNCTION("""COMPUTED_VALUE"""),20.09)</f>
        <v>20.09</v>
      </c>
      <c r="E533" s="1">
        <f ca="1">IFERROR(__xludf.DUMMYFUNCTION("""COMPUTED_VALUE"""),20.29)</f>
        <v>20.29</v>
      </c>
      <c r="F533" s="1">
        <f ca="1">IFERROR(__xludf.DUMMYFUNCTION("""COMPUTED_VALUE"""),4725271)</f>
        <v>4725271</v>
      </c>
    </row>
    <row r="534" spans="1:6" x14ac:dyDescent="0.2">
      <c r="A534" s="2">
        <f ca="1">IFERROR(__xludf.DUMMYFUNCTION("""COMPUTED_VALUE"""),43048.6666666666)</f>
        <v>43048.666666666599</v>
      </c>
      <c r="B534" s="1">
        <f ca="1">IFERROR(__xludf.DUMMYFUNCTION("""COMPUTED_VALUE"""),20.17)</f>
        <v>20.170000000000002</v>
      </c>
      <c r="C534" s="1">
        <f ca="1">IFERROR(__xludf.DUMMYFUNCTION("""COMPUTED_VALUE"""),20.3)</f>
        <v>20.3</v>
      </c>
      <c r="D534" s="1">
        <f ca="1">IFERROR(__xludf.DUMMYFUNCTION("""COMPUTED_VALUE"""),19.75)</f>
        <v>19.75</v>
      </c>
      <c r="E534" s="1">
        <f ca="1">IFERROR(__xludf.DUMMYFUNCTION("""COMPUTED_VALUE"""),20.2)</f>
        <v>20.2</v>
      </c>
      <c r="F534" s="1">
        <f ca="1">IFERROR(__xludf.DUMMYFUNCTION("""COMPUTED_VALUE"""),5447147)</f>
        <v>5447147</v>
      </c>
    </row>
    <row r="535" spans="1:6" x14ac:dyDescent="0.2">
      <c r="A535" s="2">
        <f ca="1">IFERROR(__xludf.DUMMYFUNCTION("""COMPUTED_VALUE"""),43049.6666666666)</f>
        <v>43049.666666666599</v>
      </c>
      <c r="B535" s="1">
        <f ca="1">IFERROR(__xludf.DUMMYFUNCTION("""COMPUTED_VALUE"""),20.17)</f>
        <v>20.170000000000002</v>
      </c>
      <c r="C535" s="1">
        <f ca="1">IFERROR(__xludf.DUMMYFUNCTION("""COMPUTED_VALUE"""),20.56)</f>
        <v>20.56</v>
      </c>
      <c r="D535" s="1">
        <f ca="1">IFERROR(__xludf.DUMMYFUNCTION("""COMPUTED_VALUE"""),20.12)</f>
        <v>20.12</v>
      </c>
      <c r="E535" s="1">
        <f ca="1">IFERROR(__xludf.DUMMYFUNCTION("""COMPUTED_VALUE"""),20.2)</f>
        <v>20.2</v>
      </c>
      <c r="F535" s="1">
        <f ca="1">IFERROR(__xludf.DUMMYFUNCTION("""COMPUTED_VALUE"""),4625429)</f>
        <v>4625429</v>
      </c>
    </row>
    <row r="536" spans="1:6" x14ac:dyDescent="0.2">
      <c r="A536" s="2">
        <f ca="1">IFERROR(__xludf.DUMMYFUNCTION("""COMPUTED_VALUE"""),43052.6666666666)</f>
        <v>43052.666666666599</v>
      </c>
      <c r="B536" s="1">
        <f ca="1">IFERROR(__xludf.DUMMYFUNCTION("""COMPUTED_VALUE"""),20.01)</f>
        <v>20.010000000000002</v>
      </c>
      <c r="C536" s="1">
        <f ca="1">IFERROR(__xludf.DUMMYFUNCTION("""COMPUTED_VALUE"""),21.12)</f>
        <v>21.12</v>
      </c>
      <c r="D536" s="1">
        <f ca="1">IFERROR(__xludf.DUMMYFUNCTION("""COMPUTED_VALUE"""),19.94)</f>
        <v>19.940000000000001</v>
      </c>
      <c r="E536" s="1">
        <f ca="1">IFERROR(__xludf.DUMMYFUNCTION("""COMPUTED_VALUE"""),21.03)</f>
        <v>21.03</v>
      </c>
      <c r="F536" s="1">
        <f ca="1">IFERROR(__xludf.DUMMYFUNCTION("""COMPUTED_VALUE"""),7584944)</f>
        <v>7584944</v>
      </c>
    </row>
    <row r="537" spans="1:6" x14ac:dyDescent="0.2">
      <c r="A537" s="2">
        <f ca="1">IFERROR(__xludf.DUMMYFUNCTION("""COMPUTED_VALUE"""),43053.6666666666)</f>
        <v>43053.666666666599</v>
      </c>
      <c r="B537" s="1">
        <f ca="1">IFERROR(__xludf.DUMMYFUNCTION("""COMPUTED_VALUE"""),21)</f>
        <v>21</v>
      </c>
      <c r="C537" s="1">
        <f ca="1">IFERROR(__xludf.DUMMYFUNCTION("""COMPUTED_VALUE"""),21.09)</f>
        <v>21.09</v>
      </c>
      <c r="D537" s="1">
        <f ca="1">IFERROR(__xludf.DUMMYFUNCTION("""COMPUTED_VALUE"""),20.46)</f>
        <v>20.46</v>
      </c>
      <c r="E537" s="1">
        <f ca="1">IFERROR(__xludf.DUMMYFUNCTION("""COMPUTED_VALUE"""),20.58)</f>
        <v>20.58</v>
      </c>
      <c r="F537" s="1">
        <f ca="1">IFERROR(__xludf.DUMMYFUNCTION("""COMPUTED_VALUE"""),5676076)</f>
        <v>5676076</v>
      </c>
    </row>
    <row r="538" spans="1:6" x14ac:dyDescent="0.2">
      <c r="A538" s="2">
        <f ca="1">IFERROR(__xludf.DUMMYFUNCTION("""COMPUTED_VALUE"""),43054.6666666666)</f>
        <v>43054.666666666599</v>
      </c>
      <c r="B538" s="1">
        <f ca="1">IFERROR(__xludf.DUMMYFUNCTION("""COMPUTED_VALUE"""),20.4)</f>
        <v>20.399999999999999</v>
      </c>
      <c r="C538" s="1">
        <f ca="1">IFERROR(__xludf.DUMMYFUNCTION("""COMPUTED_VALUE"""),20.83)</f>
        <v>20.83</v>
      </c>
      <c r="D538" s="1">
        <f ca="1">IFERROR(__xludf.DUMMYFUNCTION("""COMPUTED_VALUE"""),20.1)</f>
        <v>20.100000000000001</v>
      </c>
      <c r="E538" s="1">
        <f ca="1">IFERROR(__xludf.DUMMYFUNCTION("""COMPUTED_VALUE"""),20.75)</f>
        <v>20.75</v>
      </c>
      <c r="F538" s="1">
        <f ca="1">IFERROR(__xludf.DUMMYFUNCTION("""COMPUTED_VALUE"""),5978665)</f>
        <v>5978665</v>
      </c>
    </row>
    <row r="539" spans="1:6" x14ac:dyDescent="0.2">
      <c r="A539" s="2">
        <f ca="1">IFERROR(__xludf.DUMMYFUNCTION("""COMPUTED_VALUE"""),43055.6666666666)</f>
        <v>43055.666666666599</v>
      </c>
      <c r="B539" s="1">
        <f ca="1">IFERROR(__xludf.DUMMYFUNCTION("""COMPUTED_VALUE"""),20.93)</f>
        <v>20.93</v>
      </c>
      <c r="C539" s="1">
        <f ca="1">IFERROR(__xludf.DUMMYFUNCTION("""COMPUTED_VALUE"""),21.21)</f>
        <v>21.21</v>
      </c>
      <c r="D539" s="1">
        <f ca="1">IFERROR(__xludf.DUMMYFUNCTION("""COMPUTED_VALUE"""),20.75)</f>
        <v>20.75</v>
      </c>
      <c r="E539" s="1">
        <f ca="1">IFERROR(__xludf.DUMMYFUNCTION("""COMPUTED_VALUE"""),20.83)</f>
        <v>20.83</v>
      </c>
      <c r="F539" s="1">
        <f ca="1">IFERROR(__xludf.DUMMYFUNCTION("""COMPUTED_VALUE"""),5822073)</f>
        <v>5822073</v>
      </c>
    </row>
    <row r="540" spans="1:6" x14ac:dyDescent="0.2">
      <c r="A540" s="2">
        <f ca="1">IFERROR(__xludf.DUMMYFUNCTION("""COMPUTED_VALUE"""),43056.6666666666)</f>
        <v>43056.666666666599</v>
      </c>
      <c r="B540" s="1">
        <f ca="1">IFERROR(__xludf.DUMMYFUNCTION("""COMPUTED_VALUE"""),21.71)</f>
        <v>21.71</v>
      </c>
      <c r="C540" s="1">
        <f ca="1">IFERROR(__xludf.DUMMYFUNCTION("""COMPUTED_VALUE"""),21.78)</f>
        <v>21.78</v>
      </c>
      <c r="D540" s="1">
        <f ca="1">IFERROR(__xludf.DUMMYFUNCTION("""COMPUTED_VALUE"""),20.88)</f>
        <v>20.88</v>
      </c>
      <c r="E540" s="1">
        <f ca="1">IFERROR(__xludf.DUMMYFUNCTION("""COMPUTED_VALUE"""),21)</f>
        <v>21</v>
      </c>
      <c r="F540" s="1">
        <f ca="1">IFERROR(__xludf.DUMMYFUNCTION("""COMPUTED_VALUE"""),13735139)</f>
        <v>13735139</v>
      </c>
    </row>
    <row r="541" spans="1:6" x14ac:dyDescent="0.2">
      <c r="A541" s="2">
        <f ca="1">IFERROR(__xludf.DUMMYFUNCTION("""COMPUTED_VALUE"""),43059.6666666666)</f>
        <v>43059.666666666599</v>
      </c>
      <c r="B541" s="1">
        <f ca="1">IFERROR(__xludf.DUMMYFUNCTION("""COMPUTED_VALUE"""),20.92)</f>
        <v>20.92</v>
      </c>
      <c r="C541" s="1">
        <f ca="1">IFERROR(__xludf.DUMMYFUNCTION("""COMPUTED_VALUE"""),21.03)</f>
        <v>21.03</v>
      </c>
      <c r="D541" s="1">
        <f ca="1">IFERROR(__xludf.DUMMYFUNCTION("""COMPUTED_VALUE"""),20.32)</f>
        <v>20.32</v>
      </c>
      <c r="E541" s="1">
        <f ca="1">IFERROR(__xludf.DUMMYFUNCTION("""COMPUTED_VALUE"""),20.58)</f>
        <v>20.58</v>
      </c>
      <c r="F541" s="1">
        <f ca="1">IFERROR(__xludf.DUMMYFUNCTION("""COMPUTED_VALUE"""),8247650)</f>
        <v>8247650</v>
      </c>
    </row>
    <row r="542" spans="1:6" x14ac:dyDescent="0.2">
      <c r="A542" s="2">
        <f ca="1">IFERROR(__xludf.DUMMYFUNCTION("""COMPUTED_VALUE"""),43060.6666666666)</f>
        <v>43060.666666666599</v>
      </c>
      <c r="B542" s="1">
        <f ca="1">IFERROR(__xludf.DUMMYFUNCTION("""COMPUTED_VALUE"""),20.72)</f>
        <v>20.72</v>
      </c>
      <c r="C542" s="1">
        <f ca="1">IFERROR(__xludf.DUMMYFUNCTION("""COMPUTED_VALUE"""),21.22)</f>
        <v>21.22</v>
      </c>
      <c r="D542" s="1">
        <f ca="1">IFERROR(__xludf.DUMMYFUNCTION("""COMPUTED_VALUE"""),20.58)</f>
        <v>20.58</v>
      </c>
      <c r="E542" s="1">
        <f ca="1">IFERROR(__xludf.DUMMYFUNCTION("""COMPUTED_VALUE"""),21.19)</f>
        <v>21.19</v>
      </c>
      <c r="F542" s="1">
        <f ca="1">IFERROR(__xludf.DUMMYFUNCTION("""COMPUTED_VALUE"""),7261273)</f>
        <v>7261273</v>
      </c>
    </row>
    <row r="543" spans="1:6" x14ac:dyDescent="0.2">
      <c r="A543" s="2">
        <f ca="1">IFERROR(__xludf.DUMMYFUNCTION("""COMPUTED_VALUE"""),43061.6666666666)</f>
        <v>43061.666666666599</v>
      </c>
      <c r="B543" s="1">
        <f ca="1">IFERROR(__xludf.DUMMYFUNCTION("""COMPUTED_VALUE"""),21.12)</f>
        <v>21.12</v>
      </c>
      <c r="C543" s="1">
        <f ca="1">IFERROR(__xludf.DUMMYFUNCTION("""COMPUTED_VALUE"""),21.16)</f>
        <v>21.16</v>
      </c>
      <c r="D543" s="1">
        <f ca="1">IFERROR(__xludf.DUMMYFUNCTION("""COMPUTED_VALUE"""),20.79)</f>
        <v>20.79</v>
      </c>
      <c r="E543" s="1">
        <f ca="1">IFERROR(__xludf.DUMMYFUNCTION("""COMPUTED_VALUE"""),20.84)</f>
        <v>20.84</v>
      </c>
      <c r="F543" s="1">
        <f ca="1">IFERROR(__xludf.DUMMYFUNCTION("""COMPUTED_VALUE"""),4917636)</f>
        <v>4917636</v>
      </c>
    </row>
    <row r="544" spans="1:6" x14ac:dyDescent="0.2">
      <c r="A544" s="2">
        <f ca="1">IFERROR(__xludf.DUMMYFUNCTION("""COMPUTED_VALUE"""),43063.5416666666)</f>
        <v>43063.541666666599</v>
      </c>
      <c r="B544" s="1">
        <f ca="1">IFERROR(__xludf.DUMMYFUNCTION("""COMPUTED_VALUE"""),20.92)</f>
        <v>20.92</v>
      </c>
      <c r="C544" s="1">
        <f ca="1">IFERROR(__xludf.DUMMYFUNCTION("""COMPUTED_VALUE"""),21.09)</f>
        <v>21.09</v>
      </c>
      <c r="D544" s="1">
        <f ca="1">IFERROR(__xludf.DUMMYFUNCTION("""COMPUTED_VALUE"""),20.73)</f>
        <v>20.73</v>
      </c>
      <c r="E544" s="1">
        <f ca="1">IFERROR(__xludf.DUMMYFUNCTION("""COMPUTED_VALUE"""),21.04)</f>
        <v>21.04</v>
      </c>
      <c r="F544" s="1">
        <f ca="1">IFERROR(__xludf.DUMMYFUNCTION("""COMPUTED_VALUE"""),3244065)</f>
        <v>3244065</v>
      </c>
    </row>
    <row r="545" spans="1:6" x14ac:dyDescent="0.2">
      <c r="A545" s="2">
        <f ca="1">IFERROR(__xludf.DUMMYFUNCTION("""COMPUTED_VALUE"""),43066.6666666666)</f>
        <v>43066.666666666599</v>
      </c>
      <c r="B545" s="1">
        <f ca="1">IFERROR(__xludf.DUMMYFUNCTION("""COMPUTED_VALUE"""),20.88)</f>
        <v>20.88</v>
      </c>
      <c r="C545" s="1">
        <f ca="1">IFERROR(__xludf.DUMMYFUNCTION("""COMPUTED_VALUE"""),21.16)</f>
        <v>21.16</v>
      </c>
      <c r="D545" s="1">
        <f ca="1">IFERROR(__xludf.DUMMYFUNCTION("""COMPUTED_VALUE"""),20.63)</f>
        <v>20.63</v>
      </c>
      <c r="E545" s="1">
        <f ca="1">IFERROR(__xludf.DUMMYFUNCTION("""COMPUTED_VALUE"""),21.12)</f>
        <v>21.12</v>
      </c>
      <c r="F545" s="1">
        <f ca="1">IFERROR(__xludf.DUMMYFUNCTION("""COMPUTED_VALUE"""),4555894)</f>
        <v>4555894</v>
      </c>
    </row>
    <row r="546" spans="1:6" x14ac:dyDescent="0.2">
      <c r="A546" s="2">
        <f ca="1">IFERROR(__xludf.DUMMYFUNCTION("""COMPUTED_VALUE"""),43067.6666666666)</f>
        <v>43067.666666666599</v>
      </c>
      <c r="B546" s="1">
        <f ca="1">IFERROR(__xludf.DUMMYFUNCTION("""COMPUTED_VALUE"""),21.09)</f>
        <v>21.09</v>
      </c>
      <c r="C546" s="1">
        <f ca="1">IFERROR(__xludf.DUMMYFUNCTION("""COMPUTED_VALUE"""),21.33)</f>
        <v>21.33</v>
      </c>
      <c r="D546" s="1">
        <f ca="1">IFERROR(__xludf.DUMMYFUNCTION("""COMPUTED_VALUE"""),20.93)</f>
        <v>20.93</v>
      </c>
      <c r="E546" s="1">
        <f ca="1">IFERROR(__xludf.DUMMYFUNCTION("""COMPUTED_VALUE"""),21.17)</f>
        <v>21.17</v>
      </c>
      <c r="F546" s="1">
        <f ca="1">IFERROR(__xludf.DUMMYFUNCTION("""COMPUTED_VALUE"""),4949491)</f>
        <v>4949491</v>
      </c>
    </row>
    <row r="547" spans="1:6" x14ac:dyDescent="0.2">
      <c r="A547" s="2">
        <f ca="1">IFERROR(__xludf.DUMMYFUNCTION("""COMPUTED_VALUE"""),43068.6666666666)</f>
        <v>43068.666666666599</v>
      </c>
      <c r="B547" s="1">
        <f ca="1">IFERROR(__xludf.DUMMYFUNCTION("""COMPUTED_VALUE"""),21.15)</f>
        <v>21.15</v>
      </c>
      <c r="C547" s="1">
        <f ca="1">IFERROR(__xludf.DUMMYFUNCTION("""COMPUTED_VALUE"""),21.2)</f>
        <v>21.2</v>
      </c>
      <c r="D547" s="1">
        <f ca="1">IFERROR(__xludf.DUMMYFUNCTION("""COMPUTED_VALUE"""),20.08)</f>
        <v>20.079999999999998</v>
      </c>
      <c r="E547" s="1">
        <f ca="1">IFERROR(__xludf.DUMMYFUNCTION("""COMPUTED_VALUE"""),20.5)</f>
        <v>20.5</v>
      </c>
      <c r="F547" s="1">
        <f ca="1">IFERROR(__xludf.DUMMYFUNCTION("""COMPUTED_VALUE"""),8767398)</f>
        <v>8767398</v>
      </c>
    </row>
    <row r="548" spans="1:6" x14ac:dyDescent="0.2">
      <c r="A548" s="2">
        <f ca="1">IFERROR(__xludf.DUMMYFUNCTION("""COMPUTED_VALUE"""),43069.6666666666)</f>
        <v>43069.666666666599</v>
      </c>
      <c r="B548" s="1">
        <f ca="1">IFERROR(__xludf.DUMMYFUNCTION("""COMPUTED_VALUE"""),20.57)</f>
        <v>20.57</v>
      </c>
      <c r="C548" s="1">
        <f ca="1">IFERROR(__xludf.DUMMYFUNCTION("""COMPUTED_VALUE"""),20.71)</f>
        <v>20.71</v>
      </c>
      <c r="D548" s="1">
        <f ca="1">IFERROR(__xludf.DUMMYFUNCTION("""COMPUTED_VALUE"""),20.3)</f>
        <v>20.3</v>
      </c>
      <c r="E548" s="1">
        <f ca="1">IFERROR(__xludf.DUMMYFUNCTION("""COMPUTED_VALUE"""),20.59)</f>
        <v>20.59</v>
      </c>
      <c r="F548" s="1">
        <f ca="1">IFERROR(__xludf.DUMMYFUNCTION("""COMPUTED_VALUE"""),4351587)</f>
        <v>4351587</v>
      </c>
    </row>
    <row r="549" spans="1:6" x14ac:dyDescent="0.2">
      <c r="A549" s="2">
        <f ca="1">IFERROR(__xludf.DUMMYFUNCTION("""COMPUTED_VALUE"""),43070.6666666666)</f>
        <v>43070.666666666599</v>
      </c>
      <c r="B549" s="1">
        <f ca="1">IFERROR(__xludf.DUMMYFUNCTION("""COMPUTED_VALUE"""),20.36)</f>
        <v>20.36</v>
      </c>
      <c r="C549" s="1">
        <f ca="1">IFERROR(__xludf.DUMMYFUNCTION("""COMPUTED_VALUE"""),20.69)</f>
        <v>20.69</v>
      </c>
      <c r="D549" s="1">
        <f ca="1">IFERROR(__xludf.DUMMYFUNCTION("""COMPUTED_VALUE"""),20.34)</f>
        <v>20.34</v>
      </c>
      <c r="E549" s="1">
        <f ca="1">IFERROR(__xludf.DUMMYFUNCTION("""COMPUTED_VALUE"""),20.44)</f>
        <v>20.440000000000001</v>
      </c>
      <c r="F549" s="1">
        <f ca="1">IFERROR(__xludf.DUMMYFUNCTION("""COMPUTED_VALUE"""),4292868)</f>
        <v>4292868</v>
      </c>
    </row>
    <row r="550" spans="1:6" x14ac:dyDescent="0.2">
      <c r="A550" s="2">
        <f ca="1">IFERROR(__xludf.DUMMYFUNCTION("""COMPUTED_VALUE"""),43073.6666666666)</f>
        <v>43073.666666666599</v>
      </c>
      <c r="B550" s="1">
        <f ca="1">IFERROR(__xludf.DUMMYFUNCTION("""COMPUTED_VALUE"""),20.43)</f>
        <v>20.43</v>
      </c>
      <c r="C550" s="1">
        <f ca="1">IFERROR(__xludf.DUMMYFUNCTION("""COMPUTED_VALUE"""),20.55)</f>
        <v>20.55</v>
      </c>
      <c r="D550" s="1">
        <f ca="1">IFERROR(__xludf.DUMMYFUNCTION("""COMPUTED_VALUE"""),20.04)</f>
        <v>20.04</v>
      </c>
      <c r="E550" s="1">
        <f ca="1">IFERROR(__xludf.DUMMYFUNCTION("""COMPUTED_VALUE"""),20.35)</f>
        <v>20.350000000000001</v>
      </c>
      <c r="F550" s="1">
        <f ca="1">IFERROR(__xludf.DUMMYFUNCTION("""COMPUTED_VALUE"""),5835140)</f>
        <v>5835140</v>
      </c>
    </row>
    <row r="551" spans="1:6" x14ac:dyDescent="0.2">
      <c r="A551" s="2">
        <f ca="1">IFERROR(__xludf.DUMMYFUNCTION("""COMPUTED_VALUE"""),43074.6666666666)</f>
        <v>43074.666666666599</v>
      </c>
      <c r="B551" s="1">
        <f ca="1">IFERROR(__xludf.DUMMYFUNCTION("""COMPUTED_VALUE"""),20.13)</f>
        <v>20.13</v>
      </c>
      <c r="C551" s="1">
        <f ca="1">IFERROR(__xludf.DUMMYFUNCTION("""COMPUTED_VALUE"""),20.53)</f>
        <v>20.53</v>
      </c>
      <c r="D551" s="1">
        <f ca="1">IFERROR(__xludf.DUMMYFUNCTION("""COMPUTED_VALUE"""),20.07)</f>
        <v>20.07</v>
      </c>
      <c r="E551" s="1">
        <f ca="1">IFERROR(__xludf.DUMMYFUNCTION("""COMPUTED_VALUE"""),20.25)</f>
        <v>20.25</v>
      </c>
      <c r="F551" s="1">
        <f ca="1">IFERROR(__xludf.DUMMYFUNCTION("""COMPUTED_VALUE"""),4646520)</f>
        <v>4646520</v>
      </c>
    </row>
    <row r="552" spans="1:6" x14ac:dyDescent="0.2">
      <c r="A552" s="2">
        <f ca="1">IFERROR(__xludf.DUMMYFUNCTION("""COMPUTED_VALUE"""),43075.6666666666)</f>
        <v>43075.666666666599</v>
      </c>
      <c r="B552" s="1">
        <f ca="1">IFERROR(__xludf.DUMMYFUNCTION("""COMPUTED_VALUE"""),20.01)</f>
        <v>20.010000000000002</v>
      </c>
      <c r="C552" s="1">
        <f ca="1">IFERROR(__xludf.DUMMYFUNCTION("""COMPUTED_VALUE"""),20.89)</f>
        <v>20.89</v>
      </c>
      <c r="D552" s="1">
        <f ca="1">IFERROR(__xludf.DUMMYFUNCTION("""COMPUTED_VALUE"""),20)</f>
        <v>20</v>
      </c>
      <c r="E552" s="1">
        <f ca="1">IFERROR(__xludf.DUMMYFUNCTION("""COMPUTED_VALUE"""),20.88)</f>
        <v>20.88</v>
      </c>
      <c r="F552" s="1">
        <f ca="1">IFERROR(__xludf.DUMMYFUNCTION("""COMPUTED_VALUE"""),7195341)</f>
        <v>7195341</v>
      </c>
    </row>
    <row r="553" spans="1:6" x14ac:dyDescent="0.2">
      <c r="A553" s="2">
        <f ca="1">IFERROR(__xludf.DUMMYFUNCTION("""COMPUTED_VALUE"""),43076.6666666666)</f>
        <v>43076.666666666599</v>
      </c>
      <c r="B553" s="1">
        <f ca="1">IFERROR(__xludf.DUMMYFUNCTION("""COMPUTED_VALUE"""),20.8)</f>
        <v>20.8</v>
      </c>
      <c r="C553" s="1">
        <f ca="1">IFERROR(__xludf.DUMMYFUNCTION("""COMPUTED_VALUE"""),21.24)</f>
        <v>21.24</v>
      </c>
      <c r="D553" s="1">
        <f ca="1">IFERROR(__xludf.DUMMYFUNCTION("""COMPUTED_VALUE"""),20.74)</f>
        <v>20.74</v>
      </c>
      <c r="E553" s="1">
        <f ca="1">IFERROR(__xludf.DUMMYFUNCTION("""COMPUTED_VALUE"""),20.75)</f>
        <v>20.75</v>
      </c>
      <c r="F553" s="1">
        <f ca="1">IFERROR(__xludf.DUMMYFUNCTION("""COMPUTED_VALUE"""),4780597)</f>
        <v>4780597</v>
      </c>
    </row>
    <row r="554" spans="1:6" x14ac:dyDescent="0.2">
      <c r="A554" s="2">
        <f ca="1">IFERROR(__xludf.DUMMYFUNCTION("""COMPUTED_VALUE"""),43077.6666666666)</f>
        <v>43077.666666666599</v>
      </c>
      <c r="B554" s="1">
        <f ca="1">IFERROR(__xludf.DUMMYFUNCTION("""COMPUTED_VALUE"""),20.97)</f>
        <v>20.97</v>
      </c>
      <c r="C554" s="1">
        <f ca="1">IFERROR(__xludf.DUMMYFUNCTION("""COMPUTED_VALUE"""),21.13)</f>
        <v>21.13</v>
      </c>
      <c r="D554" s="1">
        <f ca="1">IFERROR(__xludf.DUMMYFUNCTION("""COMPUTED_VALUE"""),20.75)</f>
        <v>20.75</v>
      </c>
      <c r="E554" s="1">
        <f ca="1">IFERROR(__xludf.DUMMYFUNCTION("""COMPUTED_VALUE"""),21.01)</f>
        <v>21.01</v>
      </c>
      <c r="F554" s="1">
        <f ca="1">IFERROR(__xludf.DUMMYFUNCTION("""COMPUTED_VALUE"""),3468458)</f>
        <v>3468458</v>
      </c>
    </row>
    <row r="555" spans="1:6" x14ac:dyDescent="0.2">
      <c r="A555" s="2">
        <f ca="1">IFERROR(__xludf.DUMMYFUNCTION("""COMPUTED_VALUE"""),43080.6666666666)</f>
        <v>43080.666666666599</v>
      </c>
      <c r="B555" s="1">
        <f ca="1">IFERROR(__xludf.DUMMYFUNCTION("""COMPUTED_VALUE"""),20.98)</f>
        <v>20.98</v>
      </c>
      <c r="C555" s="1">
        <f ca="1">IFERROR(__xludf.DUMMYFUNCTION("""COMPUTED_VALUE"""),21.93)</f>
        <v>21.93</v>
      </c>
      <c r="D555" s="1">
        <f ca="1">IFERROR(__xludf.DUMMYFUNCTION("""COMPUTED_VALUE"""),20.92)</f>
        <v>20.92</v>
      </c>
      <c r="E555" s="1">
        <f ca="1">IFERROR(__xludf.DUMMYFUNCTION("""COMPUTED_VALUE"""),21.93)</f>
        <v>21.93</v>
      </c>
      <c r="F555" s="1">
        <f ca="1">IFERROR(__xludf.DUMMYFUNCTION("""COMPUTED_VALUE"""),7937981)</f>
        <v>7937981</v>
      </c>
    </row>
    <row r="556" spans="1:6" x14ac:dyDescent="0.2">
      <c r="A556" s="2">
        <f ca="1">IFERROR(__xludf.DUMMYFUNCTION("""COMPUTED_VALUE"""),43081.6666666666)</f>
        <v>43081.666666666599</v>
      </c>
      <c r="B556" s="1">
        <f ca="1">IFERROR(__xludf.DUMMYFUNCTION("""COMPUTED_VALUE"""),22.03)</f>
        <v>22.03</v>
      </c>
      <c r="C556" s="1">
        <f ca="1">IFERROR(__xludf.DUMMYFUNCTION("""COMPUTED_VALUE"""),22.76)</f>
        <v>22.76</v>
      </c>
      <c r="D556" s="1">
        <f ca="1">IFERROR(__xludf.DUMMYFUNCTION("""COMPUTED_VALUE"""),22)</f>
        <v>22</v>
      </c>
      <c r="E556" s="1">
        <f ca="1">IFERROR(__xludf.DUMMYFUNCTION("""COMPUTED_VALUE"""),22.74)</f>
        <v>22.74</v>
      </c>
      <c r="F556" s="1">
        <f ca="1">IFERROR(__xludf.DUMMYFUNCTION("""COMPUTED_VALUE"""),8733199)</f>
        <v>8733199</v>
      </c>
    </row>
    <row r="557" spans="1:6" x14ac:dyDescent="0.2">
      <c r="A557" s="2">
        <f ca="1">IFERROR(__xludf.DUMMYFUNCTION("""COMPUTED_VALUE"""),43082.6666666666)</f>
        <v>43082.666666666599</v>
      </c>
      <c r="B557" s="1">
        <f ca="1">IFERROR(__xludf.DUMMYFUNCTION("""COMPUTED_VALUE"""),22.73)</f>
        <v>22.73</v>
      </c>
      <c r="C557" s="1">
        <f ca="1">IFERROR(__xludf.DUMMYFUNCTION("""COMPUTED_VALUE"""),22.95)</f>
        <v>22.95</v>
      </c>
      <c r="D557" s="1">
        <f ca="1">IFERROR(__xludf.DUMMYFUNCTION("""COMPUTED_VALUE"""),22.43)</f>
        <v>22.43</v>
      </c>
      <c r="E557" s="1">
        <f ca="1">IFERROR(__xludf.DUMMYFUNCTION("""COMPUTED_VALUE"""),22.6)</f>
        <v>22.6</v>
      </c>
      <c r="F557" s="1">
        <f ca="1">IFERROR(__xludf.DUMMYFUNCTION("""COMPUTED_VALUE"""),6221461)</f>
        <v>6221461</v>
      </c>
    </row>
    <row r="558" spans="1:6" x14ac:dyDescent="0.2">
      <c r="A558" s="2">
        <f ca="1">IFERROR(__xludf.DUMMYFUNCTION("""COMPUTED_VALUE"""),43083.6666666666)</f>
        <v>43083.666666666599</v>
      </c>
      <c r="B558" s="1">
        <f ca="1">IFERROR(__xludf.DUMMYFUNCTION("""COMPUTED_VALUE"""),22.73)</f>
        <v>22.73</v>
      </c>
      <c r="C558" s="1">
        <f ca="1">IFERROR(__xludf.DUMMYFUNCTION("""COMPUTED_VALUE"""),23.16)</f>
        <v>23.16</v>
      </c>
      <c r="D558" s="1">
        <f ca="1">IFERROR(__xludf.DUMMYFUNCTION("""COMPUTED_VALUE"""),22.46)</f>
        <v>22.46</v>
      </c>
      <c r="E558" s="1">
        <f ca="1">IFERROR(__xludf.DUMMYFUNCTION("""COMPUTED_VALUE"""),22.53)</f>
        <v>22.53</v>
      </c>
      <c r="F558" s="1">
        <f ca="1">IFERROR(__xludf.DUMMYFUNCTION("""COMPUTED_VALUE"""),5799916)</f>
        <v>5799916</v>
      </c>
    </row>
    <row r="559" spans="1:6" x14ac:dyDescent="0.2">
      <c r="A559" s="2">
        <f ca="1">IFERROR(__xludf.DUMMYFUNCTION("""COMPUTED_VALUE"""),43084.6666666666)</f>
        <v>43084.666666666599</v>
      </c>
      <c r="B559" s="1">
        <f ca="1">IFERROR(__xludf.DUMMYFUNCTION("""COMPUTED_VALUE"""),22.8)</f>
        <v>22.8</v>
      </c>
      <c r="C559" s="1">
        <f ca="1">IFERROR(__xludf.DUMMYFUNCTION("""COMPUTED_VALUE"""),22.93)</f>
        <v>22.93</v>
      </c>
      <c r="D559" s="1">
        <f ca="1">IFERROR(__xludf.DUMMYFUNCTION("""COMPUTED_VALUE"""),22.38)</f>
        <v>22.38</v>
      </c>
      <c r="E559" s="1">
        <f ca="1">IFERROR(__xludf.DUMMYFUNCTION("""COMPUTED_VALUE"""),22.9)</f>
        <v>22.9</v>
      </c>
      <c r="F559" s="1">
        <f ca="1">IFERROR(__xludf.DUMMYFUNCTION("""COMPUTED_VALUE"""),6933199)</f>
        <v>6933199</v>
      </c>
    </row>
    <row r="560" spans="1:6" x14ac:dyDescent="0.2">
      <c r="A560" s="2">
        <f ca="1">IFERROR(__xludf.DUMMYFUNCTION("""COMPUTED_VALUE"""),43087.6666666666)</f>
        <v>43087.666666666599</v>
      </c>
      <c r="B560" s="1">
        <f ca="1">IFERROR(__xludf.DUMMYFUNCTION("""COMPUTED_VALUE"""),22.99)</f>
        <v>22.99</v>
      </c>
      <c r="C560" s="1">
        <f ca="1">IFERROR(__xludf.DUMMYFUNCTION("""COMPUTED_VALUE"""),23.12)</f>
        <v>23.12</v>
      </c>
      <c r="D560" s="1">
        <f ca="1">IFERROR(__xludf.DUMMYFUNCTION("""COMPUTED_VALUE"""),22.51)</f>
        <v>22.51</v>
      </c>
      <c r="E560" s="1">
        <f ca="1">IFERROR(__xludf.DUMMYFUNCTION("""COMPUTED_VALUE"""),22.59)</f>
        <v>22.59</v>
      </c>
      <c r="F560" s="1">
        <f ca="1">IFERROR(__xludf.DUMMYFUNCTION("""COMPUTED_VALUE"""),5476166)</f>
        <v>5476166</v>
      </c>
    </row>
    <row r="561" spans="1:6" x14ac:dyDescent="0.2">
      <c r="A561" s="2">
        <f ca="1">IFERROR(__xludf.DUMMYFUNCTION("""COMPUTED_VALUE"""),43088.6666666666)</f>
        <v>43088.666666666599</v>
      </c>
      <c r="B561" s="1">
        <f ca="1">IFERROR(__xludf.DUMMYFUNCTION("""COMPUTED_VALUE"""),22.68)</f>
        <v>22.68</v>
      </c>
      <c r="C561" s="1">
        <f ca="1">IFERROR(__xludf.DUMMYFUNCTION("""COMPUTED_VALUE"""),22.77)</f>
        <v>22.77</v>
      </c>
      <c r="D561" s="1">
        <f ca="1">IFERROR(__xludf.DUMMYFUNCTION("""COMPUTED_VALUE"""),22.02)</f>
        <v>22.02</v>
      </c>
      <c r="E561" s="1">
        <f ca="1">IFERROR(__xludf.DUMMYFUNCTION("""COMPUTED_VALUE"""),22.07)</f>
        <v>22.07</v>
      </c>
      <c r="F561" s="1">
        <f ca="1">IFERROR(__xludf.DUMMYFUNCTION("""COMPUTED_VALUE"""),6824971)</f>
        <v>6824971</v>
      </c>
    </row>
    <row r="562" spans="1:6" x14ac:dyDescent="0.2">
      <c r="A562" s="2">
        <f ca="1">IFERROR(__xludf.DUMMYFUNCTION("""COMPUTED_VALUE"""),43089.6666666666)</f>
        <v>43089.666666666599</v>
      </c>
      <c r="B562" s="1">
        <f ca="1">IFERROR(__xludf.DUMMYFUNCTION("""COMPUTED_VALUE"""),22.18)</f>
        <v>22.18</v>
      </c>
      <c r="C562" s="1">
        <f ca="1">IFERROR(__xludf.DUMMYFUNCTION("""COMPUTED_VALUE"""),22.21)</f>
        <v>22.21</v>
      </c>
      <c r="D562" s="1">
        <f ca="1">IFERROR(__xludf.DUMMYFUNCTION("""COMPUTED_VALUE"""),21.67)</f>
        <v>21.67</v>
      </c>
      <c r="E562" s="1">
        <f ca="1">IFERROR(__xludf.DUMMYFUNCTION("""COMPUTED_VALUE"""),21.93)</f>
        <v>21.93</v>
      </c>
      <c r="F562" s="1">
        <f ca="1">IFERROR(__xludf.DUMMYFUNCTION("""COMPUTED_VALUE"""),5953800)</f>
        <v>5953800</v>
      </c>
    </row>
    <row r="563" spans="1:6" x14ac:dyDescent="0.2">
      <c r="A563" s="2">
        <f ca="1">IFERROR(__xludf.DUMMYFUNCTION("""COMPUTED_VALUE"""),43090.6666666666)</f>
        <v>43090.666666666599</v>
      </c>
      <c r="B563" s="1">
        <f ca="1">IFERROR(__xludf.DUMMYFUNCTION("""COMPUTED_VALUE"""),21.97)</f>
        <v>21.97</v>
      </c>
      <c r="C563" s="1">
        <f ca="1">IFERROR(__xludf.DUMMYFUNCTION("""COMPUTED_VALUE"""),22.25)</f>
        <v>22.25</v>
      </c>
      <c r="D563" s="1">
        <f ca="1">IFERROR(__xludf.DUMMYFUNCTION("""COMPUTED_VALUE"""),21.81)</f>
        <v>21.81</v>
      </c>
      <c r="E563" s="1">
        <f ca="1">IFERROR(__xludf.DUMMYFUNCTION("""COMPUTED_VALUE"""),22.11)</f>
        <v>22.11</v>
      </c>
      <c r="F563" s="1">
        <f ca="1">IFERROR(__xludf.DUMMYFUNCTION("""COMPUTED_VALUE"""),4385222)</f>
        <v>4385222</v>
      </c>
    </row>
    <row r="564" spans="1:6" x14ac:dyDescent="0.2">
      <c r="A564" s="2">
        <f ca="1">IFERROR(__xludf.DUMMYFUNCTION("""COMPUTED_VALUE"""),43091.6666666666)</f>
        <v>43091.666666666599</v>
      </c>
      <c r="B564" s="1">
        <f ca="1">IFERROR(__xludf.DUMMYFUNCTION("""COMPUTED_VALUE"""),21.97)</f>
        <v>21.97</v>
      </c>
      <c r="C564" s="1">
        <f ca="1">IFERROR(__xludf.DUMMYFUNCTION("""COMPUTED_VALUE"""),22.06)</f>
        <v>22.06</v>
      </c>
      <c r="D564" s="1">
        <f ca="1">IFERROR(__xludf.DUMMYFUNCTION("""COMPUTED_VALUE"""),21.65)</f>
        <v>21.65</v>
      </c>
      <c r="E564" s="1">
        <f ca="1">IFERROR(__xludf.DUMMYFUNCTION("""COMPUTED_VALUE"""),21.68)</f>
        <v>21.68</v>
      </c>
      <c r="F564" s="1">
        <f ca="1">IFERROR(__xludf.DUMMYFUNCTION("""COMPUTED_VALUE"""),4215807)</f>
        <v>4215807</v>
      </c>
    </row>
    <row r="565" spans="1:6" x14ac:dyDescent="0.2">
      <c r="A565" s="2">
        <f ca="1">IFERROR(__xludf.DUMMYFUNCTION("""COMPUTED_VALUE"""),43095.6666666666)</f>
        <v>43095.666666666599</v>
      </c>
      <c r="B565" s="1">
        <f ca="1">IFERROR(__xludf.DUMMYFUNCTION("""COMPUTED_VALUE"""),21.59)</f>
        <v>21.59</v>
      </c>
      <c r="C565" s="1">
        <f ca="1">IFERROR(__xludf.DUMMYFUNCTION("""COMPUTED_VALUE"""),21.6)</f>
        <v>21.6</v>
      </c>
      <c r="D565" s="1">
        <f ca="1">IFERROR(__xludf.DUMMYFUNCTION("""COMPUTED_VALUE"""),21.11)</f>
        <v>21.11</v>
      </c>
      <c r="E565" s="1">
        <f ca="1">IFERROR(__xludf.DUMMYFUNCTION("""COMPUTED_VALUE"""),21.15)</f>
        <v>21.15</v>
      </c>
      <c r="F565" s="1">
        <f ca="1">IFERROR(__xludf.DUMMYFUNCTION("""COMPUTED_VALUE"""),4378413)</f>
        <v>4378413</v>
      </c>
    </row>
    <row r="566" spans="1:6" x14ac:dyDescent="0.2">
      <c r="A566" s="2">
        <f ca="1">IFERROR(__xludf.DUMMYFUNCTION("""COMPUTED_VALUE"""),43096.6666666666)</f>
        <v>43096.666666666599</v>
      </c>
      <c r="B566" s="1">
        <f ca="1">IFERROR(__xludf.DUMMYFUNCTION("""COMPUTED_VALUE"""),21.07)</f>
        <v>21.07</v>
      </c>
      <c r="C566" s="1">
        <f ca="1">IFERROR(__xludf.DUMMYFUNCTION("""COMPUTED_VALUE"""),21.18)</f>
        <v>21.18</v>
      </c>
      <c r="D566" s="1">
        <f ca="1">IFERROR(__xludf.DUMMYFUNCTION("""COMPUTED_VALUE"""),20.72)</f>
        <v>20.72</v>
      </c>
      <c r="E566" s="1">
        <f ca="1">IFERROR(__xludf.DUMMYFUNCTION("""COMPUTED_VALUE"""),20.78)</f>
        <v>20.78</v>
      </c>
      <c r="F566" s="1">
        <f ca="1">IFERROR(__xludf.DUMMYFUNCTION("""COMPUTED_VALUE"""),4712111)</f>
        <v>4712111</v>
      </c>
    </row>
    <row r="567" spans="1:6" x14ac:dyDescent="0.2">
      <c r="A567" s="2">
        <f ca="1">IFERROR(__xludf.DUMMYFUNCTION("""COMPUTED_VALUE"""),43097.6666666666)</f>
        <v>43097.666666666599</v>
      </c>
      <c r="B567" s="1">
        <f ca="1">IFERROR(__xludf.DUMMYFUNCTION("""COMPUTED_VALUE"""),20.78)</f>
        <v>20.78</v>
      </c>
      <c r="C567" s="1">
        <f ca="1">IFERROR(__xludf.DUMMYFUNCTION("""COMPUTED_VALUE"""),21.05)</f>
        <v>21.05</v>
      </c>
      <c r="D567" s="1">
        <f ca="1">IFERROR(__xludf.DUMMYFUNCTION("""COMPUTED_VALUE"""),20.64)</f>
        <v>20.64</v>
      </c>
      <c r="E567" s="1">
        <f ca="1">IFERROR(__xludf.DUMMYFUNCTION("""COMPUTED_VALUE"""),21.02)</f>
        <v>21.02</v>
      </c>
      <c r="F567" s="1">
        <f ca="1">IFERROR(__xludf.DUMMYFUNCTION("""COMPUTED_VALUE"""),4316347)</f>
        <v>4316347</v>
      </c>
    </row>
    <row r="568" spans="1:6" x14ac:dyDescent="0.2">
      <c r="A568" s="2">
        <f ca="1">IFERROR(__xludf.DUMMYFUNCTION("""COMPUTED_VALUE"""),43098.6666666666)</f>
        <v>43098.666666666599</v>
      </c>
      <c r="B568" s="1">
        <f ca="1">IFERROR(__xludf.DUMMYFUNCTION("""COMPUTED_VALUE"""),21.08)</f>
        <v>21.08</v>
      </c>
      <c r="C568" s="1">
        <f ca="1">IFERROR(__xludf.DUMMYFUNCTION("""COMPUTED_VALUE"""),21.09)</f>
        <v>21.09</v>
      </c>
      <c r="D568" s="1">
        <f ca="1">IFERROR(__xludf.DUMMYFUNCTION("""COMPUTED_VALUE"""),20.67)</f>
        <v>20.67</v>
      </c>
      <c r="E568" s="1">
        <f ca="1">IFERROR(__xludf.DUMMYFUNCTION("""COMPUTED_VALUE"""),20.76)</f>
        <v>20.76</v>
      </c>
      <c r="F568" s="1">
        <f ca="1">IFERROR(__xludf.DUMMYFUNCTION("""COMPUTED_VALUE"""),3777155)</f>
        <v>3777155</v>
      </c>
    </row>
    <row r="569" spans="1:6" x14ac:dyDescent="0.2">
      <c r="A569" s="2">
        <f ca="1">IFERROR(__xludf.DUMMYFUNCTION("""COMPUTED_VALUE"""),43102.6666666666)</f>
        <v>43102.666666666599</v>
      </c>
      <c r="B569" s="1">
        <f ca="1">IFERROR(__xludf.DUMMYFUNCTION("""COMPUTED_VALUE"""),20.8)</f>
        <v>20.8</v>
      </c>
      <c r="C569" s="1">
        <f ca="1">IFERROR(__xludf.DUMMYFUNCTION("""COMPUTED_VALUE"""),21.47)</f>
        <v>21.47</v>
      </c>
      <c r="D569" s="1">
        <f ca="1">IFERROR(__xludf.DUMMYFUNCTION("""COMPUTED_VALUE"""),20.73)</f>
        <v>20.73</v>
      </c>
      <c r="E569" s="1">
        <f ca="1">IFERROR(__xludf.DUMMYFUNCTION("""COMPUTED_VALUE"""),21.37)</f>
        <v>21.37</v>
      </c>
      <c r="F569" s="1">
        <f ca="1">IFERROR(__xludf.DUMMYFUNCTION("""COMPUTED_VALUE"""),4352241)</f>
        <v>4352241</v>
      </c>
    </row>
    <row r="570" spans="1:6" x14ac:dyDescent="0.2">
      <c r="A570" s="2">
        <f ca="1">IFERROR(__xludf.DUMMYFUNCTION("""COMPUTED_VALUE"""),43103.6666666666)</f>
        <v>43103.666666666599</v>
      </c>
      <c r="B570" s="1">
        <f ca="1">IFERROR(__xludf.DUMMYFUNCTION("""COMPUTED_VALUE"""),21.4)</f>
        <v>21.4</v>
      </c>
      <c r="C570" s="1">
        <f ca="1">IFERROR(__xludf.DUMMYFUNCTION("""COMPUTED_VALUE"""),21.68)</f>
        <v>21.68</v>
      </c>
      <c r="D570" s="1">
        <f ca="1">IFERROR(__xludf.DUMMYFUNCTION("""COMPUTED_VALUE"""),21.04)</f>
        <v>21.04</v>
      </c>
      <c r="E570" s="1">
        <f ca="1">IFERROR(__xludf.DUMMYFUNCTION("""COMPUTED_VALUE"""),21.15)</f>
        <v>21.15</v>
      </c>
      <c r="F570" s="1">
        <f ca="1">IFERROR(__xludf.DUMMYFUNCTION("""COMPUTED_VALUE"""),4521527)</f>
        <v>4521527</v>
      </c>
    </row>
    <row r="571" spans="1:6" x14ac:dyDescent="0.2">
      <c r="A571" s="2">
        <f ca="1">IFERROR(__xludf.DUMMYFUNCTION("""COMPUTED_VALUE"""),43104.6666666666)</f>
        <v>43104.666666666599</v>
      </c>
      <c r="B571" s="1">
        <f ca="1">IFERROR(__xludf.DUMMYFUNCTION("""COMPUTED_VALUE"""),20.86)</f>
        <v>20.86</v>
      </c>
      <c r="C571" s="1">
        <f ca="1">IFERROR(__xludf.DUMMYFUNCTION("""COMPUTED_VALUE"""),21.24)</f>
        <v>21.24</v>
      </c>
      <c r="D571" s="1">
        <f ca="1">IFERROR(__xludf.DUMMYFUNCTION("""COMPUTED_VALUE"""),20.38)</f>
        <v>20.38</v>
      </c>
      <c r="E571" s="1">
        <f ca="1">IFERROR(__xludf.DUMMYFUNCTION("""COMPUTED_VALUE"""),20.97)</f>
        <v>20.97</v>
      </c>
      <c r="F571" s="1">
        <f ca="1">IFERROR(__xludf.DUMMYFUNCTION("""COMPUTED_VALUE"""),9946304)</f>
        <v>9946304</v>
      </c>
    </row>
    <row r="572" spans="1:6" x14ac:dyDescent="0.2">
      <c r="A572" s="2">
        <f ca="1">IFERROR(__xludf.DUMMYFUNCTION("""COMPUTED_VALUE"""),43105.6666666666)</f>
        <v>43105.666666666599</v>
      </c>
      <c r="B572" s="1">
        <f ca="1">IFERROR(__xludf.DUMMYFUNCTION("""COMPUTED_VALUE"""),21.11)</f>
        <v>21.11</v>
      </c>
      <c r="C572" s="1">
        <f ca="1">IFERROR(__xludf.DUMMYFUNCTION("""COMPUTED_VALUE"""),21.15)</f>
        <v>21.15</v>
      </c>
      <c r="D572" s="1">
        <f ca="1">IFERROR(__xludf.DUMMYFUNCTION("""COMPUTED_VALUE"""),20.8)</f>
        <v>20.8</v>
      </c>
      <c r="E572" s="1">
        <f ca="1">IFERROR(__xludf.DUMMYFUNCTION("""COMPUTED_VALUE"""),21.11)</f>
        <v>21.11</v>
      </c>
      <c r="F572" s="1">
        <f ca="1">IFERROR(__xludf.DUMMYFUNCTION("""COMPUTED_VALUE"""),4591180)</f>
        <v>4591180</v>
      </c>
    </row>
    <row r="573" spans="1:6" x14ac:dyDescent="0.2">
      <c r="A573" s="2">
        <f ca="1">IFERROR(__xludf.DUMMYFUNCTION("""COMPUTED_VALUE"""),43108.6666666666)</f>
        <v>43108.666666666599</v>
      </c>
      <c r="B573" s="1">
        <f ca="1">IFERROR(__xludf.DUMMYFUNCTION("""COMPUTED_VALUE"""),21.07)</f>
        <v>21.07</v>
      </c>
      <c r="C573" s="1">
        <f ca="1">IFERROR(__xludf.DUMMYFUNCTION("""COMPUTED_VALUE"""),22.47)</f>
        <v>22.47</v>
      </c>
      <c r="D573" s="1">
        <f ca="1">IFERROR(__xludf.DUMMYFUNCTION("""COMPUTED_VALUE"""),21.03)</f>
        <v>21.03</v>
      </c>
      <c r="E573" s="1">
        <f ca="1">IFERROR(__xludf.DUMMYFUNCTION("""COMPUTED_VALUE"""),22.43)</f>
        <v>22.43</v>
      </c>
      <c r="F573" s="1">
        <f ca="1">IFERROR(__xludf.DUMMYFUNCTION("""COMPUTED_VALUE"""),9859435)</f>
        <v>9859435</v>
      </c>
    </row>
    <row r="574" spans="1:6" x14ac:dyDescent="0.2">
      <c r="A574" s="2">
        <f ca="1">IFERROR(__xludf.DUMMYFUNCTION("""COMPUTED_VALUE"""),43109.6666666666)</f>
        <v>43109.666666666599</v>
      </c>
      <c r="B574" s="1">
        <f ca="1">IFERROR(__xludf.DUMMYFUNCTION("""COMPUTED_VALUE"""),22.34)</f>
        <v>22.34</v>
      </c>
      <c r="C574" s="1">
        <f ca="1">IFERROR(__xludf.DUMMYFUNCTION("""COMPUTED_VALUE"""),22.59)</f>
        <v>22.59</v>
      </c>
      <c r="D574" s="1">
        <f ca="1">IFERROR(__xludf.DUMMYFUNCTION("""COMPUTED_VALUE"""),21.83)</f>
        <v>21.83</v>
      </c>
      <c r="E574" s="1">
        <f ca="1">IFERROR(__xludf.DUMMYFUNCTION("""COMPUTED_VALUE"""),22.25)</f>
        <v>22.25</v>
      </c>
      <c r="F574" s="1">
        <f ca="1">IFERROR(__xludf.DUMMYFUNCTION("""COMPUTED_VALUE"""),7146631)</f>
        <v>7146631</v>
      </c>
    </row>
    <row r="575" spans="1:6" x14ac:dyDescent="0.2">
      <c r="A575" s="2">
        <f ca="1">IFERROR(__xludf.DUMMYFUNCTION("""COMPUTED_VALUE"""),43110.6666666666)</f>
        <v>43110.666666666599</v>
      </c>
      <c r="B575" s="1">
        <f ca="1">IFERROR(__xludf.DUMMYFUNCTION("""COMPUTED_VALUE"""),22.15)</f>
        <v>22.15</v>
      </c>
      <c r="C575" s="1">
        <f ca="1">IFERROR(__xludf.DUMMYFUNCTION("""COMPUTED_VALUE"""),22.47)</f>
        <v>22.47</v>
      </c>
      <c r="D575" s="1">
        <f ca="1">IFERROR(__xludf.DUMMYFUNCTION("""COMPUTED_VALUE"""),22)</f>
        <v>22</v>
      </c>
      <c r="E575" s="1">
        <f ca="1">IFERROR(__xludf.DUMMYFUNCTION("""COMPUTED_VALUE"""),22.32)</f>
        <v>22.32</v>
      </c>
      <c r="F575" s="1">
        <f ca="1">IFERROR(__xludf.DUMMYFUNCTION("""COMPUTED_VALUE"""),4309926)</f>
        <v>4309926</v>
      </c>
    </row>
    <row r="576" spans="1:6" x14ac:dyDescent="0.2">
      <c r="A576" s="2">
        <f ca="1">IFERROR(__xludf.DUMMYFUNCTION("""COMPUTED_VALUE"""),43111.6666666666)</f>
        <v>43111.666666666599</v>
      </c>
      <c r="B576" s="1">
        <f ca="1">IFERROR(__xludf.DUMMYFUNCTION("""COMPUTED_VALUE"""),22.35)</f>
        <v>22.35</v>
      </c>
      <c r="C576" s="1">
        <f ca="1">IFERROR(__xludf.DUMMYFUNCTION("""COMPUTED_VALUE"""),22.99)</f>
        <v>22.99</v>
      </c>
      <c r="D576" s="1">
        <f ca="1">IFERROR(__xludf.DUMMYFUNCTION("""COMPUTED_VALUE"""),22.22)</f>
        <v>22.22</v>
      </c>
      <c r="E576" s="1">
        <f ca="1">IFERROR(__xludf.DUMMYFUNCTION("""COMPUTED_VALUE"""),22.53)</f>
        <v>22.53</v>
      </c>
      <c r="F576" s="1">
        <f ca="1">IFERROR(__xludf.DUMMYFUNCTION("""COMPUTED_VALUE"""),6645484)</f>
        <v>6645484</v>
      </c>
    </row>
    <row r="577" spans="1:6" x14ac:dyDescent="0.2">
      <c r="A577" s="2">
        <f ca="1">IFERROR(__xludf.DUMMYFUNCTION("""COMPUTED_VALUE"""),43112.6666666666)</f>
        <v>43112.666666666599</v>
      </c>
      <c r="B577" s="1">
        <f ca="1">IFERROR(__xludf.DUMMYFUNCTION("""COMPUTED_VALUE"""),22.58)</f>
        <v>22.58</v>
      </c>
      <c r="C577" s="1">
        <f ca="1">IFERROR(__xludf.DUMMYFUNCTION("""COMPUTED_VALUE"""),22.69)</f>
        <v>22.69</v>
      </c>
      <c r="D577" s="1">
        <f ca="1">IFERROR(__xludf.DUMMYFUNCTION("""COMPUTED_VALUE"""),22.24)</f>
        <v>22.24</v>
      </c>
      <c r="E577" s="1">
        <f ca="1">IFERROR(__xludf.DUMMYFUNCTION("""COMPUTED_VALUE"""),22.41)</f>
        <v>22.41</v>
      </c>
      <c r="F577" s="1">
        <f ca="1">IFERROR(__xludf.DUMMYFUNCTION("""COMPUTED_VALUE"""),4825059)</f>
        <v>4825059</v>
      </c>
    </row>
    <row r="578" spans="1:6" x14ac:dyDescent="0.2">
      <c r="A578" s="2">
        <f ca="1">IFERROR(__xludf.DUMMYFUNCTION("""COMPUTED_VALUE"""),43116.6666666666)</f>
        <v>43116.666666666599</v>
      </c>
      <c r="B578" s="1">
        <f ca="1">IFERROR(__xludf.DUMMYFUNCTION("""COMPUTED_VALUE"""),22.5)</f>
        <v>22.5</v>
      </c>
      <c r="C578" s="1">
        <f ca="1">IFERROR(__xludf.DUMMYFUNCTION("""COMPUTED_VALUE"""),23)</f>
        <v>23</v>
      </c>
      <c r="D578" s="1">
        <f ca="1">IFERROR(__xludf.DUMMYFUNCTION("""COMPUTED_VALUE"""),22.32)</f>
        <v>22.32</v>
      </c>
      <c r="E578" s="1">
        <f ca="1">IFERROR(__xludf.DUMMYFUNCTION("""COMPUTED_VALUE"""),22.67)</f>
        <v>22.67</v>
      </c>
      <c r="F578" s="1">
        <f ca="1">IFERROR(__xludf.DUMMYFUNCTION("""COMPUTED_VALUE"""),6474251)</f>
        <v>6474251</v>
      </c>
    </row>
    <row r="579" spans="1:6" x14ac:dyDescent="0.2">
      <c r="A579" s="2">
        <f ca="1">IFERROR(__xludf.DUMMYFUNCTION("""COMPUTED_VALUE"""),43117.6666666666)</f>
        <v>43117.666666666599</v>
      </c>
      <c r="B579" s="1">
        <f ca="1">IFERROR(__xludf.DUMMYFUNCTION("""COMPUTED_VALUE"""),22.7)</f>
        <v>22.7</v>
      </c>
      <c r="C579" s="1">
        <f ca="1">IFERROR(__xludf.DUMMYFUNCTION("""COMPUTED_VALUE"""),23.27)</f>
        <v>23.27</v>
      </c>
      <c r="D579" s="1">
        <f ca="1">IFERROR(__xludf.DUMMYFUNCTION("""COMPUTED_VALUE"""),22.65)</f>
        <v>22.65</v>
      </c>
      <c r="E579" s="1">
        <f ca="1">IFERROR(__xludf.DUMMYFUNCTION("""COMPUTED_VALUE"""),23.14)</f>
        <v>23.14</v>
      </c>
      <c r="F579" s="1">
        <f ca="1">IFERROR(__xludf.DUMMYFUNCTION("""COMPUTED_VALUE"""),7103505)</f>
        <v>7103505</v>
      </c>
    </row>
    <row r="580" spans="1:6" x14ac:dyDescent="0.2">
      <c r="A580" s="2">
        <f ca="1">IFERROR(__xludf.DUMMYFUNCTION("""COMPUTED_VALUE"""),43118.6666666666)</f>
        <v>43118.666666666599</v>
      </c>
      <c r="B580" s="1">
        <f ca="1">IFERROR(__xludf.DUMMYFUNCTION("""COMPUTED_VALUE"""),23.04)</f>
        <v>23.04</v>
      </c>
      <c r="C580" s="1">
        <f ca="1">IFERROR(__xludf.DUMMYFUNCTION("""COMPUTED_VALUE"""),23.49)</f>
        <v>23.49</v>
      </c>
      <c r="D580" s="1">
        <f ca="1">IFERROR(__xludf.DUMMYFUNCTION("""COMPUTED_VALUE"""),22.92)</f>
        <v>22.92</v>
      </c>
      <c r="E580" s="1">
        <f ca="1">IFERROR(__xludf.DUMMYFUNCTION("""COMPUTED_VALUE"""),22.97)</f>
        <v>22.97</v>
      </c>
      <c r="F580" s="1">
        <f ca="1">IFERROR(__xludf.DUMMYFUNCTION("""COMPUTED_VALUE"""),5685845)</f>
        <v>5685845</v>
      </c>
    </row>
    <row r="581" spans="1:6" x14ac:dyDescent="0.2">
      <c r="A581" s="2">
        <f ca="1">IFERROR(__xludf.DUMMYFUNCTION("""COMPUTED_VALUE"""),43119.6666666666)</f>
        <v>43119.666666666599</v>
      </c>
      <c r="B581" s="1">
        <f ca="1">IFERROR(__xludf.DUMMYFUNCTION("""COMPUTED_VALUE"""),23)</f>
        <v>23</v>
      </c>
      <c r="C581" s="1">
        <f ca="1">IFERROR(__xludf.DUMMYFUNCTION("""COMPUTED_VALUE"""),23.37)</f>
        <v>23.37</v>
      </c>
      <c r="D581" s="1">
        <f ca="1">IFERROR(__xludf.DUMMYFUNCTION("""COMPUTED_VALUE"""),22.84)</f>
        <v>22.84</v>
      </c>
      <c r="E581" s="1">
        <f ca="1">IFERROR(__xludf.DUMMYFUNCTION("""COMPUTED_VALUE"""),23.33)</f>
        <v>23.33</v>
      </c>
      <c r="F581" s="1">
        <f ca="1">IFERROR(__xludf.DUMMYFUNCTION("""COMPUTED_VALUE"""),4888303)</f>
        <v>4888303</v>
      </c>
    </row>
    <row r="582" spans="1:6" x14ac:dyDescent="0.2">
      <c r="A582" s="2">
        <f ca="1">IFERROR(__xludf.DUMMYFUNCTION("""COMPUTED_VALUE"""),43122.6666666666)</f>
        <v>43122.666666666599</v>
      </c>
      <c r="B582" s="1">
        <f ca="1">IFERROR(__xludf.DUMMYFUNCTION("""COMPUTED_VALUE"""),23.29)</f>
        <v>23.29</v>
      </c>
      <c r="C582" s="1">
        <f ca="1">IFERROR(__xludf.DUMMYFUNCTION("""COMPUTED_VALUE"""),23.86)</f>
        <v>23.86</v>
      </c>
      <c r="D582" s="1">
        <f ca="1">IFERROR(__xludf.DUMMYFUNCTION("""COMPUTED_VALUE"""),23.28)</f>
        <v>23.28</v>
      </c>
      <c r="E582" s="1">
        <f ca="1">IFERROR(__xludf.DUMMYFUNCTION("""COMPUTED_VALUE"""),23.44)</f>
        <v>23.44</v>
      </c>
      <c r="F582" s="1">
        <f ca="1">IFERROR(__xludf.DUMMYFUNCTION("""COMPUTED_VALUE"""),6210360)</f>
        <v>6210360</v>
      </c>
    </row>
    <row r="583" spans="1:6" x14ac:dyDescent="0.2">
      <c r="A583" s="2">
        <f ca="1">IFERROR(__xludf.DUMMYFUNCTION("""COMPUTED_VALUE"""),43123.6666666666)</f>
        <v>43123.666666666599</v>
      </c>
      <c r="B583" s="1">
        <f ca="1">IFERROR(__xludf.DUMMYFUNCTION("""COMPUTED_VALUE"""),24)</f>
        <v>24</v>
      </c>
      <c r="C583" s="1">
        <f ca="1">IFERROR(__xludf.DUMMYFUNCTION("""COMPUTED_VALUE"""),24.03)</f>
        <v>24.03</v>
      </c>
      <c r="D583" s="1">
        <f ca="1">IFERROR(__xludf.DUMMYFUNCTION("""COMPUTED_VALUE"""),23.4)</f>
        <v>23.4</v>
      </c>
      <c r="E583" s="1">
        <f ca="1">IFERROR(__xludf.DUMMYFUNCTION("""COMPUTED_VALUE"""),23.52)</f>
        <v>23.52</v>
      </c>
      <c r="F583" s="1">
        <f ca="1">IFERROR(__xludf.DUMMYFUNCTION("""COMPUTED_VALUE"""),5465414)</f>
        <v>5465414</v>
      </c>
    </row>
    <row r="584" spans="1:6" x14ac:dyDescent="0.2">
      <c r="A584" s="2">
        <f ca="1">IFERROR(__xludf.DUMMYFUNCTION("""COMPUTED_VALUE"""),43124.6666666666)</f>
        <v>43124.666666666599</v>
      </c>
      <c r="B584" s="1">
        <f ca="1">IFERROR(__xludf.DUMMYFUNCTION("""COMPUTED_VALUE"""),23.64)</f>
        <v>23.64</v>
      </c>
      <c r="C584" s="1">
        <f ca="1">IFERROR(__xludf.DUMMYFUNCTION("""COMPUTED_VALUE"""),23.65)</f>
        <v>23.65</v>
      </c>
      <c r="D584" s="1">
        <f ca="1">IFERROR(__xludf.DUMMYFUNCTION("""COMPUTED_VALUE"""),22.9)</f>
        <v>22.9</v>
      </c>
      <c r="E584" s="1">
        <f ca="1">IFERROR(__xludf.DUMMYFUNCTION("""COMPUTED_VALUE"""),23.06)</f>
        <v>23.06</v>
      </c>
      <c r="F584" s="1">
        <f ca="1">IFERROR(__xludf.DUMMYFUNCTION("""COMPUTED_VALUE"""),5287478)</f>
        <v>5287478</v>
      </c>
    </row>
    <row r="585" spans="1:6" x14ac:dyDescent="0.2">
      <c r="A585" s="2">
        <f ca="1">IFERROR(__xludf.DUMMYFUNCTION("""COMPUTED_VALUE"""),43125.6666666666)</f>
        <v>43125.666666666599</v>
      </c>
      <c r="B585" s="1">
        <f ca="1">IFERROR(__xludf.DUMMYFUNCTION("""COMPUTED_VALUE"""),23.22)</f>
        <v>23.22</v>
      </c>
      <c r="C585" s="1">
        <f ca="1">IFERROR(__xludf.DUMMYFUNCTION("""COMPUTED_VALUE"""),23.28)</f>
        <v>23.28</v>
      </c>
      <c r="D585" s="1">
        <f ca="1">IFERROR(__xludf.DUMMYFUNCTION("""COMPUTED_VALUE"""),22.43)</f>
        <v>22.43</v>
      </c>
      <c r="E585" s="1">
        <f ca="1">IFERROR(__xludf.DUMMYFUNCTION("""COMPUTED_VALUE"""),22.51)</f>
        <v>22.51</v>
      </c>
      <c r="F585" s="1">
        <f ca="1">IFERROR(__xludf.DUMMYFUNCTION("""COMPUTED_VALUE"""),6740303)</f>
        <v>6740303</v>
      </c>
    </row>
    <row r="586" spans="1:6" x14ac:dyDescent="0.2">
      <c r="A586" s="2">
        <f ca="1">IFERROR(__xludf.DUMMYFUNCTION("""COMPUTED_VALUE"""),43126.6666666666)</f>
        <v>43126.666666666599</v>
      </c>
      <c r="B586" s="1">
        <f ca="1">IFERROR(__xludf.DUMMYFUNCTION("""COMPUTED_VALUE"""),22.77)</f>
        <v>22.77</v>
      </c>
      <c r="C586" s="1">
        <f ca="1">IFERROR(__xludf.DUMMYFUNCTION("""COMPUTED_VALUE"""),22.93)</f>
        <v>22.93</v>
      </c>
      <c r="D586" s="1">
        <f ca="1">IFERROR(__xludf.DUMMYFUNCTION("""COMPUTED_VALUE"""),22.38)</f>
        <v>22.38</v>
      </c>
      <c r="E586" s="1">
        <f ca="1">IFERROR(__xludf.DUMMYFUNCTION("""COMPUTED_VALUE"""),22.86)</f>
        <v>22.86</v>
      </c>
      <c r="F586" s="1">
        <f ca="1">IFERROR(__xludf.DUMMYFUNCTION("""COMPUTED_VALUE"""),4539356)</f>
        <v>4539356</v>
      </c>
    </row>
    <row r="587" spans="1:6" x14ac:dyDescent="0.2">
      <c r="A587" s="2">
        <f ca="1">IFERROR(__xludf.DUMMYFUNCTION("""COMPUTED_VALUE"""),43129.6666666666)</f>
        <v>43129.666666666599</v>
      </c>
      <c r="B587" s="1">
        <f ca="1">IFERROR(__xludf.DUMMYFUNCTION("""COMPUTED_VALUE"""),22.66)</f>
        <v>22.66</v>
      </c>
      <c r="C587" s="1">
        <f ca="1">IFERROR(__xludf.DUMMYFUNCTION("""COMPUTED_VALUE"""),23.39)</f>
        <v>23.39</v>
      </c>
      <c r="D587" s="1">
        <f ca="1">IFERROR(__xludf.DUMMYFUNCTION("""COMPUTED_VALUE"""),22.55)</f>
        <v>22.55</v>
      </c>
      <c r="E587" s="1">
        <f ca="1">IFERROR(__xludf.DUMMYFUNCTION("""COMPUTED_VALUE"""),23.3)</f>
        <v>23.3</v>
      </c>
      <c r="F587" s="1">
        <f ca="1">IFERROR(__xludf.DUMMYFUNCTION("""COMPUTED_VALUE"""),4747149)</f>
        <v>4747149</v>
      </c>
    </row>
    <row r="588" spans="1:6" x14ac:dyDescent="0.2">
      <c r="A588" s="2">
        <f ca="1">IFERROR(__xludf.DUMMYFUNCTION("""COMPUTED_VALUE"""),43130.6666666666)</f>
        <v>43130.666666666599</v>
      </c>
      <c r="B588" s="1">
        <f ca="1">IFERROR(__xludf.DUMMYFUNCTION("""COMPUTED_VALUE"""),23.01)</f>
        <v>23.01</v>
      </c>
      <c r="C588" s="1">
        <f ca="1">IFERROR(__xludf.DUMMYFUNCTION("""COMPUTED_VALUE"""),23.22)</f>
        <v>23.22</v>
      </c>
      <c r="D588" s="1">
        <f ca="1">IFERROR(__xludf.DUMMYFUNCTION("""COMPUTED_VALUE"""),22.81)</f>
        <v>22.81</v>
      </c>
      <c r="E588" s="1">
        <f ca="1">IFERROR(__xludf.DUMMYFUNCTION("""COMPUTED_VALUE"""),23.05)</f>
        <v>23.05</v>
      </c>
      <c r="F588" s="1">
        <f ca="1">IFERROR(__xludf.DUMMYFUNCTION("""COMPUTED_VALUE"""),4717700)</f>
        <v>4717700</v>
      </c>
    </row>
    <row r="589" spans="1:6" x14ac:dyDescent="0.2">
      <c r="A589" s="2">
        <f ca="1">IFERROR(__xludf.DUMMYFUNCTION("""COMPUTED_VALUE"""),43131.6666666666)</f>
        <v>43131.666666666599</v>
      </c>
      <c r="B589" s="1">
        <f ca="1">IFERROR(__xludf.DUMMYFUNCTION("""COMPUTED_VALUE"""),23.17)</f>
        <v>23.17</v>
      </c>
      <c r="C589" s="1">
        <f ca="1">IFERROR(__xludf.DUMMYFUNCTION("""COMPUTED_VALUE"""),23.75)</f>
        <v>23.75</v>
      </c>
      <c r="D589" s="1">
        <f ca="1">IFERROR(__xludf.DUMMYFUNCTION("""COMPUTED_VALUE"""),23.01)</f>
        <v>23.01</v>
      </c>
      <c r="E589" s="1">
        <f ca="1">IFERROR(__xludf.DUMMYFUNCTION("""COMPUTED_VALUE"""),23.62)</f>
        <v>23.62</v>
      </c>
      <c r="F589" s="1">
        <f ca="1">IFERROR(__xludf.DUMMYFUNCTION("""COMPUTED_VALUE"""),6214069)</f>
        <v>6214069</v>
      </c>
    </row>
    <row r="590" spans="1:6" x14ac:dyDescent="0.2">
      <c r="A590" s="2">
        <f ca="1">IFERROR(__xludf.DUMMYFUNCTION("""COMPUTED_VALUE"""),43132.6666666666)</f>
        <v>43132.666666666599</v>
      </c>
      <c r="B590" s="1">
        <f ca="1">IFERROR(__xludf.DUMMYFUNCTION("""COMPUTED_VALUE"""),23.4)</f>
        <v>23.4</v>
      </c>
      <c r="C590" s="1">
        <f ca="1">IFERROR(__xludf.DUMMYFUNCTION("""COMPUTED_VALUE"""),23.98)</f>
        <v>23.98</v>
      </c>
      <c r="D590" s="1">
        <f ca="1">IFERROR(__xludf.DUMMYFUNCTION("""COMPUTED_VALUE"""),23.24)</f>
        <v>23.24</v>
      </c>
      <c r="E590" s="1">
        <f ca="1">IFERROR(__xludf.DUMMYFUNCTION("""COMPUTED_VALUE"""),23.28)</f>
        <v>23.28</v>
      </c>
      <c r="F590" s="1">
        <f ca="1">IFERROR(__xludf.DUMMYFUNCTION("""COMPUTED_VALUE"""),4197687)</f>
        <v>4197687</v>
      </c>
    </row>
    <row r="591" spans="1:6" x14ac:dyDescent="0.2">
      <c r="A591" s="2">
        <f ca="1">IFERROR(__xludf.DUMMYFUNCTION("""COMPUTED_VALUE"""),43133.6666666666)</f>
        <v>43133.666666666599</v>
      </c>
      <c r="B591" s="1">
        <f ca="1">IFERROR(__xludf.DUMMYFUNCTION("""COMPUTED_VALUE"""),23.23)</f>
        <v>23.23</v>
      </c>
      <c r="C591" s="1">
        <f ca="1">IFERROR(__xludf.DUMMYFUNCTION("""COMPUTED_VALUE"""),23.46)</f>
        <v>23.46</v>
      </c>
      <c r="D591" s="1">
        <f ca="1">IFERROR(__xludf.DUMMYFUNCTION("""COMPUTED_VALUE"""),22.7)</f>
        <v>22.7</v>
      </c>
      <c r="E591" s="1">
        <f ca="1">IFERROR(__xludf.DUMMYFUNCTION("""COMPUTED_VALUE"""),22.92)</f>
        <v>22.92</v>
      </c>
      <c r="F591" s="1">
        <f ca="1">IFERROR(__xludf.DUMMYFUNCTION("""COMPUTED_VALUE"""),3704836)</f>
        <v>3704836</v>
      </c>
    </row>
    <row r="592" spans="1:6" x14ac:dyDescent="0.2">
      <c r="A592" s="2">
        <f ca="1">IFERROR(__xludf.DUMMYFUNCTION("""COMPUTED_VALUE"""),43136.6666666666)</f>
        <v>43136.666666666599</v>
      </c>
      <c r="B592" s="1">
        <f ca="1">IFERROR(__xludf.DUMMYFUNCTION("""COMPUTED_VALUE"""),22.53)</f>
        <v>22.53</v>
      </c>
      <c r="C592" s="1">
        <f ca="1">IFERROR(__xludf.DUMMYFUNCTION("""COMPUTED_VALUE"""),22.96)</f>
        <v>22.96</v>
      </c>
      <c r="D592" s="1">
        <f ca="1">IFERROR(__xludf.DUMMYFUNCTION("""COMPUTED_VALUE"""),22.2)</f>
        <v>22.2</v>
      </c>
      <c r="E592" s="1">
        <f ca="1">IFERROR(__xludf.DUMMYFUNCTION("""COMPUTED_VALUE"""),22.21)</f>
        <v>22.21</v>
      </c>
      <c r="F592" s="1">
        <f ca="1">IFERROR(__xludf.DUMMYFUNCTION("""COMPUTED_VALUE"""),4464147)</f>
        <v>4464147</v>
      </c>
    </row>
    <row r="593" spans="1:6" x14ac:dyDescent="0.2">
      <c r="A593" s="2">
        <f ca="1">IFERROR(__xludf.DUMMYFUNCTION("""COMPUTED_VALUE"""),43137.6666666666)</f>
        <v>43137.666666666599</v>
      </c>
      <c r="B593" s="1">
        <f ca="1">IFERROR(__xludf.DUMMYFUNCTION("""COMPUTED_VALUE"""),21.68)</f>
        <v>21.68</v>
      </c>
      <c r="C593" s="1">
        <f ca="1">IFERROR(__xludf.DUMMYFUNCTION("""COMPUTED_VALUE"""),22.41)</f>
        <v>22.41</v>
      </c>
      <c r="D593" s="1">
        <f ca="1">IFERROR(__xludf.DUMMYFUNCTION("""COMPUTED_VALUE"""),21.57)</f>
        <v>21.57</v>
      </c>
      <c r="E593" s="1">
        <f ca="1">IFERROR(__xludf.DUMMYFUNCTION("""COMPUTED_VALUE"""),22.26)</f>
        <v>22.26</v>
      </c>
      <c r="F593" s="1">
        <f ca="1">IFERROR(__xludf.DUMMYFUNCTION("""COMPUTED_VALUE"""),5088438)</f>
        <v>5088438</v>
      </c>
    </row>
    <row r="594" spans="1:6" x14ac:dyDescent="0.2">
      <c r="A594" s="2">
        <f ca="1">IFERROR(__xludf.DUMMYFUNCTION("""COMPUTED_VALUE"""),43138.6666666666)</f>
        <v>43138.666666666599</v>
      </c>
      <c r="B594" s="1">
        <f ca="1">IFERROR(__xludf.DUMMYFUNCTION("""COMPUTED_VALUE"""),22.6)</f>
        <v>22.6</v>
      </c>
      <c r="C594" s="1">
        <f ca="1">IFERROR(__xludf.DUMMYFUNCTION("""COMPUTED_VALUE"""),23.07)</f>
        <v>23.07</v>
      </c>
      <c r="D594" s="1">
        <f ca="1">IFERROR(__xludf.DUMMYFUNCTION("""COMPUTED_VALUE"""),22.38)</f>
        <v>22.38</v>
      </c>
      <c r="E594" s="1">
        <f ca="1">IFERROR(__xludf.DUMMYFUNCTION("""COMPUTED_VALUE"""),23)</f>
        <v>23</v>
      </c>
      <c r="F594" s="1">
        <f ca="1">IFERROR(__xludf.DUMMYFUNCTION("""COMPUTED_VALUE"""),6969239)</f>
        <v>6969239</v>
      </c>
    </row>
    <row r="595" spans="1:6" x14ac:dyDescent="0.2">
      <c r="A595" s="2">
        <f ca="1">IFERROR(__xludf.DUMMYFUNCTION("""COMPUTED_VALUE"""),43139.6666666666)</f>
        <v>43139.666666666599</v>
      </c>
      <c r="B595" s="1">
        <f ca="1">IFERROR(__xludf.DUMMYFUNCTION("""COMPUTED_VALUE"""),22.89)</f>
        <v>22.89</v>
      </c>
      <c r="C595" s="1">
        <f ca="1">IFERROR(__xludf.DUMMYFUNCTION("""COMPUTED_VALUE"""),23.24)</f>
        <v>23.24</v>
      </c>
      <c r="D595" s="1">
        <f ca="1">IFERROR(__xludf.DUMMYFUNCTION("""COMPUTED_VALUE"""),20.97)</f>
        <v>20.97</v>
      </c>
      <c r="E595" s="1">
        <f ca="1">IFERROR(__xludf.DUMMYFUNCTION("""COMPUTED_VALUE"""),21.02)</f>
        <v>21.02</v>
      </c>
      <c r="F595" s="1">
        <f ca="1">IFERROR(__xludf.DUMMYFUNCTION("""COMPUTED_VALUE"""),10314573)</f>
        <v>10314573</v>
      </c>
    </row>
    <row r="596" spans="1:6" x14ac:dyDescent="0.2">
      <c r="A596" s="2">
        <f ca="1">IFERROR(__xludf.DUMMYFUNCTION("""COMPUTED_VALUE"""),43140.6666666666)</f>
        <v>43140.666666666599</v>
      </c>
      <c r="B596" s="1">
        <f ca="1">IFERROR(__xludf.DUMMYFUNCTION("""COMPUTED_VALUE"""),21.33)</f>
        <v>21.33</v>
      </c>
      <c r="C596" s="1">
        <f ca="1">IFERROR(__xludf.DUMMYFUNCTION("""COMPUTED_VALUE"""),21.4)</f>
        <v>21.4</v>
      </c>
      <c r="D596" s="1">
        <f ca="1">IFERROR(__xludf.DUMMYFUNCTION("""COMPUTED_VALUE"""),19.65)</f>
        <v>19.649999999999999</v>
      </c>
      <c r="E596" s="1">
        <f ca="1">IFERROR(__xludf.DUMMYFUNCTION("""COMPUTED_VALUE"""),20.69)</f>
        <v>20.69</v>
      </c>
      <c r="F596" s="1">
        <f ca="1">IFERROR(__xludf.DUMMYFUNCTION("""COMPUTED_VALUE"""),12933721)</f>
        <v>12933721</v>
      </c>
    </row>
    <row r="597" spans="1:6" x14ac:dyDescent="0.2">
      <c r="A597" s="2">
        <f ca="1">IFERROR(__xludf.DUMMYFUNCTION("""COMPUTED_VALUE"""),43143.6666666666)</f>
        <v>43143.666666666599</v>
      </c>
      <c r="B597" s="1">
        <f ca="1">IFERROR(__xludf.DUMMYFUNCTION("""COMPUTED_VALUE"""),21.08)</f>
        <v>21.08</v>
      </c>
      <c r="C597" s="1">
        <f ca="1">IFERROR(__xludf.DUMMYFUNCTION("""COMPUTED_VALUE"""),21.21)</f>
        <v>21.21</v>
      </c>
      <c r="D597" s="1">
        <f ca="1">IFERROR(__xludf.DUMMYFUNCTION("""COMPUTED_VALUE"""),20.42)</f>
        <v>20.420000000000002</v>
      </c>
      <c r="E597" s="1">
        <f ca="1">IFERROR(__xludf.DUMMYFUNCTION("""COMPUTED_VALUE"""),21.05)</f>
        <v>21.05</v>
      </c>
      <c r="F597" s="1">
        <f ca="1">IFERROR(__xludf.DUMMYFUNCTION("""COMPUTED_VALUE"""),6227822)</f>
        <v>6227822</v>
      </c>
    </row>
    <row r="598" spans="1:6" x14ac:dyDescent="0.2">
      <c r="A598" s="2">
        <f ca="1">IFERROR(__xludf.DUMMYFUNCTION("""COMPUTED_VALUE"""),43144.6666666666)</f>
        <v>43144.666666666599</v>
      </c>
      <c r="B598" s="1">
        <f ca="1">IFERROR(__xludf.DUMMYFUNCTION("""COMPUTED_VALUE"""),21)</f>
        <v>21</v>
      </c>
      <c r="C598" s="1">
        <f ca="1">IFERROR(__xludf.DUMMYFUNCTION("""COMPUTED_VALUE"""),21.61)</f>
        <v>21.61</v>
      </c>
      <c r="D598" s="1">
        <f ca="1">IFERROR(__xludf.DUMMYFUNCTION("""COMPUTED_VALUE"""),20.83)</f>
        <v>20.83</v>
      </c>
      <c r="E598" s="1">
        <f ca="1">IFERROR(__xludf.DUMMYFUNCTION("""COMPUTED_VALUE"""),21.58)</f>
        <v>21.58</v>
      </c>
      <c r="F598" s="1">
        <f ca="1">IFERROR(__xludf.DUMMYFUNCTION("""COMPUTED_VALUE"""),4560231)</f>
        <v>4560231</v>
      </c>
    </row>
    <row r="599" spans="1:6" x14ac:dyDescent="0.2">
      <c r="A599" s="2">
        <f ca="1">IFERROR(__xludf.DUMMYFUNCTION("""COMPUTED_VALUE"""),43145.6666666666)</f>
        <v>43145.666666666599</v>
      </c>
      <c r="B599" s="1">
        <f ca="1">IFERROR(__xludf.DUMMYFUNCTION("""COMPUTED_VALUE"""),21.39)</f>
        <v>21.39</v>
      </c>
      <c r="C599" s="1">
        <f ca="1">IFERROR(__xludf.DUMMYFUNCTION("""COMPUTED_VALUE"""),21.74)</f>
        <v>21.74</v>
      </c>
      <c r="D599" s="1">
        <f ca="1">IFERROR(__xludf.DUMMYFUNCTION("""COMPUTED_VALUE"""),21.23)</f>
        <v>21.23</v>
      </c>
      <c r="E599" s="1">
        <f ca="1">IFERROR(__xludf.DUMMYFUNCTION("""COMPUTED_VALUE"""),21.49)</f>
        <v>21.49</v>
      </c>
      <c r="F599" s="1">
        <f ca="1">IFERROR(__xludf.DUMMYFUNCTION("""COMPUTED_VALUE"""),3950743)</f>
        <v>3950743</v>
      </c>
    </row>
    <row r="600" spans="1:6" x14ac:dyDescent="0.2">
      <c r="A600" s="2">
        <f ca="1">IFERROR(__xludf.DUMMYFUNCTION("""COMPUTED_VALUE"""),43146.6666666666)</f>
        <v>43146.666666666599</v>
      </c>
      <c r="B600" s="1">
        <f ca="1">IFERROR(__xludf.DUMMYFUNCTION("""COMPUTED_VALUE"""),21.63)</f>
        <v>21.63</v>
      </c>
      <c r="C600" s="1">
        <f ca="1">IFERROR(__xludf.DUMMYFUNCTION("""COMPUTED_VALUE"""),22.27)</f>
        <v>22.27</v>
      </c>
      <c r="D600" s="1">
        <f ca="1">IFERROR(__xludf.DUMMYFUNCTION("""COMPUTED_VALUE"""),21.49)</f>
        <v>21.49</v>
      </c>
      <c r="E600" s="1">
        <f ca="1">IFERROR(__xludf.DUMMYFUNCTION("""COMPUTED_VALUE"""),22.27)</f>
        <v>22.27</v>
      </c>
      <c r="F600" s="1">
        <f ca="1">IFERROR(__xludf.DUMMYFUNCTION("""COMPUTED_VALUE"""),5912917)</f>
        <v>5912917</v>
      </c>
    </row>
    <row r="601" spans="1:6" x14ac:dyDescent="0.2">
      <c r="A601" s="2">
        <f ca="1">IFERROR(__xludf.DUMMYFUNCTION("""COMPUTED_VALUE"""),43147.6666666666)</f>
        <v>43147.666666666599</v>
      </c>
      <c r="B601" s="1">
        <f ca="1">IFERROR(__xludf.DUMMYFUNCTION("""COMPUTED_VALUE"""),22.17)</f>
        <v>22.17</v>
      </c>
      <c r="C601" s="1">
        <f ca="1">IFERROR(__xludf.DUMMYFUNCTION("""COMPUTED_VALUE"""),22.87)</f>
        <v>22.87</v>
      </c>
      <c r="D601" s="1">
        <f ca="1">IFERROR(__xludf.DUMMYFUNCTION("""COMPUTED_VALUE"""),22.11)</f>
        <v>22.11</v>
      </c>
      <c r="E601" s="1">
        <f ca="1">IFERROR(__xludf.DUMMYFUNCTION("""COMPUTED_VALUE"""),22.37)</f>
        <v>22.37</v>
      </c>
      <c r="F601" s="1">
        <f ca="1">IFERROR(__xludf.DUMMYFUNCTION("""COMPUTED_VALUE"""),5642637)</f>
        <v>5642637</v>
      </c>
    </row>
    <row r="602" spans="1:6" x14ac:dyDescent="0.2">
      <c r="A602" s="2">
        <f ca="1">IFERROR(__xludf.DUMMYFUNCTION("""COMPUTED_VALUE"""),43151.6666666666)</f>
        <v>43151.666666666599</v>
      </c>
      <c r="B602" s="1">
        <f ca="1">IFERROR(__xludf.DUMMYFUNCTION("""COMPUTED_VALUE"""),22.3)</f>
        <v>22.3</v>
      </c>
      <c r="C602" s="1">
        <f ca="1">IFERROR(__xludf.DUMMYFUNCTION("""COMPUTED_VALUE"""),22.72)</f>
        <v>22.72</v>
      </c>
      <c r="D602" s="1">
        <f ca="1">IFERROR(__xludf.DUMMYFUNCTION("""COMPUTED_VALUE"""),22.1)</f>
        <v>22.1</v>
      </c>
      <c r="E602" s="1">
        <f ca="1">IFERROR(__xludf.DUMMYFUNCTION("""COMPUTED_VALUE"""),22.32)</f>
        <v>22.32</v>
      </c>
      <c r="F602" s="1">
        <f ca="1">IFERROR(__xludf.DUMMYFUNCTION("""COMPUTED_VALUE"""),4009435)</f>
        <v>4009435</v>
      </c>
    </row>
    <row r="603" spans="1:6" x14ac:dyDescent="0.2">
      <c r="A603" s="2">
        <f ca="1">IFERROR(__xludf.DUMMYFUNCTION("""COMPUTED_VALUE"""),43152.6666666666)</f>
        <v>43152.666666666599</v>
      </c>
      <c r="B603" s="1">
        <f ca="1">IFERROR(__xludf.DUMMYFUNCTION("""COMPUTED_VALUE"""),22.4)</f>
        <v>22.4</v>
      </c>
      <c r="C603" s="1">
        <f ca="1">IFERROR(__xludf.DUMMYFUNCTION("""COMPUTED_VALUE"""),22.65)</f>
        <v>22.65</v>
      </c>
      <c r="D603" s="1">
        <f ca="1">IFERROR(__xludf.DUMMYFUNCTION("""COMPUTED_VALUE"""),22.21)</f>
        <v>22.21</v>
      </c>
      <c r="E603" s="1">
        <f ca="1">IFERROR(__xludf.DUMMYFUNCTION("""COMPUTED_VALUE"""),22.22)</f>
        <v>22.22</v>
      </c>
      <c r="F603" s="1">
        <f ca="1">IFERROR(__xludf.DUMMYFUNCTION("""COMPUTED_VALUE"""),3219649)</f>
        <v>3219649</v>
      </c>
    </row>
    <row r="604" spans="1:6" x14ac:dyDescent="0.2">
      <c r="A604" s="2">
        <f ca="1">IFERROR(__xludf.DUMMYFUNCTION("""COMPUTED_VALUE"""),43153.6666666666)</f>
        <v>43153.666666666599</v>
      </c>
      <c r="B604" s="1">
        <f ca="1">IFERROR(__xludf.DUMMYFUNCTION("""COMPUTED_VALUE"""),22.37)</f>
        <v>22.37</v>
      </c>
      <c r="C604" s="1">
        <f ca="1">IFERROR(__xludf.DUMMYFUNCTION("""COMPUTED_VALUE"""),23.16)</f>
        <v>23.16</v>
      </c>
      <c r="D604" s="1">
        <f ca="1">IFERROR(__xludf.DUMMYFUNCTION("""COMPUTED_VALUE"""),22.32)</f>
        <v>22.32</v>
      </c>
      <c r="E604" s="1">
        <f ca="1">IFERROR(__xludf.DUMMYFUNCTION("""COMPUTED_VALUE"""),23.08)</f>
        <v>23.08</v>
      </c>
      <c r="F604" s="1">
        <f ca="1">IFERROR(__xludf.DUMMYFUNCTION("""COMPUTED_VALUE"""),6969808)</f>
        <v>6969808</v>
      </c>
    </row>
    <row r="605" spans="1:6" x14ac:dyDescent="0.2">
      <c r="A605" s="2">
        <f ca="1">IFERROR(__xludf.DUMMYFUNCTION("""COMPUTED_VALUE"""),43154.6666666666)</f>
        <v>43154.666666666599</v>
      </c>
      <c r="B605" s="1">
        <f ca="1">IFERROR(__xludf.DUMMYFUNCTION("""COMPUTED_VALUE"""),23.19)</f>
        <v>23.19</v>
      </c>
      <c r="C605" s="1">
        <f ca="1">IFERROR(__xludf.DUMMYFUNCTION("""COMPUTED_VALUE"""),23.67)</f>
        <v>23.67</v>
      </c>
      <c r="D605" s="1">
        <f ca="1">IFERROR(__xludf.DUMMYFUNCTION("""COMPUTED_VALUE"""),23.14)</f>
        <v>23.14</v>
      </c>
      <c r="E605" s="1">
        <f ca="1">IFERROR(__xludf.DUMMYFUNCTION("""COMPUTED_VALUE"""),23.47)</f>
        <v>23.47</v>
      </c>
      <c r="F605" s="1">
        <f ca="1">IFERROR(__xludf.DUMMYFUNCTION("""COMPUTED_VALUE"""),5817387)</f>
        <v>5817387</v>
      </c>
    </row>
    <row r="606" spans="1:6" x14ac:dyDescent="0.2">
      <c r="A606" s="2">
        <f ca="1">IFERROR(__xludf.DUMMYFUNCTION("""COMPUTED_VALUE"""),43157.6666666666)</f>
        <v>43157.666666666599</v>
      </c>
      <c r="B606" s="1">
        <f ca="1">IFERROR(__xludf.DUMMYFUNCTION("""COMPUTED_VALUE"""),23.57)</f>
        <v>23.57</v>
      </c>
      <c r="C606" s="1">
        <f ca="1">IFERROR(__xludf.DUMMYFUNCTION("""COMPUTED_VALUE"""),23.93)</f>
        <v>23.93</v>
      </c>
      <c r="D606" s="1">
        <f ca="1">IFERROR(__xludf.DUMMYFUNCTION("""COMPUTED_VALUE"""),23.49)</f>
        <v>23.49</v>
      </c>
      <c r="E606" s="1">
        <f ca="1">IFERROR(__xludf.DUMMYFUNCTION("""COMPUTED_VALUE"""),23.83)</f>
        <v>23.83</v>
      </c>
      <c r="F606" s="1">
        <f ca="1">IFERROR(__xludf.DUMMYFUNCTION("""COMPUTED_VALUE"""),4339985)</f>
        <v>4339985</v>
      </c>
    </row>
    <row r="607" spans="1:6" x14ac:dyDescent="0.2">
      <c r="A607" s="2">
        <f ca="1">IFERROR(__xludf.DUMMYFUNCTION("""COMPUTED_VALUE"""),43158.6666666666)</f>
        <v>43158.666666666599</v>
      </c>
      <c r="B607" s="1">
        <f ca="1">IFERROR(__xludf.DUMMYFUNCTION("""COMPUTED_VALUE"""),23.75)</f>
        <v>23.75</v>
      </c>
      <c r="C607" s="1">
        <f ca="1">IFERROR(__xludf.DUMMYFUNCTION("""COMPUTED_VALUE"""),24)</f>
        <v>24</v>
      </c>
      <c r="D607" s="1">
        <f ca="1">IFERROR(__xludf.DUMMYFUNCTION("""COMPUTED_VALUE"""),23.33)</f>
        <v>23.33</v>
      </c>
      <c r="E607" s="1">
        <f ca="1">IFERROR(__xludf.DUMMYFUNCTION("""COMPUTED_VALUE"""),23.4)</f>
        <v>23.4</v>
      </c>
      <c r="F607" s="1">
        <f ca="1">IFERROR(__xludf.DUMMYFUNCTION("""COMPUTED_VALUE"""),4797419)</f>
        <v>4797419</v>
      </c>
    </row>
    <row r="608" spans="1:6" x14ac:dyDescent="0.2">
      <c r="A608" s="2">
        <f ca="1">IFERROR(__xludf.DUMMYFUNCTION("""COMPUTED_VALUE"""),43159.6666666666)</f>
        <v>43159.666666666599</v>
      </c>
      <c r="B608" s="1">
        <f ca="1">IFERROR(__xludf.DUMMYFUNCTION("""COMPUTED_VALUE"""),23.5)</f>
        <v>23.5</v>
      </c>
      <c r="C608" s="1">
        <f ca="1">IFERROR(__xludf.DUMMYFUNCTION("""COMPUTED_VALUE"""),23.68)</f>
        <v>23.68</v>
      </c>
      <c r="D608" s="1">
        <f ca="1">IFERROR(__xludf.DUMMYFUNCTION("""COMPUTED_VALUE"""),22.81)</f>
        <v>22.81</v>
      </c>
      <c r="E608" s="1">
        <f ca="1">IFERROR(__xludf.DUMMYFUNCTION("""COMPUTED_VALUE"""),22.87)</f>
        <v>22.87</v>
      </c>
      <c r="F608" s="1">
        <f ca="1">IFERROR(__xludf.DUMMYFUNCTION("""COMPUTED_VALUE"""),6069658)</f>
        <v>6069658</v>
      </c>
    </row>
    <row r="609" spans="1:6" x14ac:dyDescent="0.2">
      <c r="A609" s="2">
        <f ca="1">IFERROR(__xludf.DUMMYFUNCTION("""COMPUTED_VALUE"""),43160.6666666666)</f>
        <v>43160.666666666599</v>
      </c>
      <c r="B609" s="1">
        <f ca="1">IFERROR(__xludf.DUMMYFUNCTION("""COMPUTED_VALUE"""),23)</f>
        <v>23</v>
      </c>
      <c r="C609" s="1">
        <f ca="1">IFERROR(__xludf.DUMMYFUNCTION("""COMPUTED_VALUE"""),23.24)</f>
        <v>23.24</v>
      </c>
      <c r="D609" s="1">
        <f ca="1">IFERROR(__xludf.DUMMYFUNCTION("""COMPUTED_VALUE"""),22)</f>
        <v>22</v>
      </c>
      <c r="E609" s="1">
        <f ca="1">IFERROR(__xludf.DUMMYFUNCTION("""COMPUTED_VALUE"""),22.06)</f>
        <v>22.06</v>
      </c>
      <c r="F609" s="1">
        <f ca="1">IFERROR(__xludf.DUMMYFUNCTION("""COMPUTED_VALUE"""),6885601)</f>
        <v>6885601</v>
      </c>
    </row>
    <row r="610" spans="1:6" x14ac:dyDescent="0.2">
      <c r="A610" s="2">
        <f ca="1">IFERROR(__xludf.DUMMYFUNCTION("""COMPUTED_VALUE"""),43161.6666666666)</f>
        <v>43161.666666666599</v>
      </c>
      <c r="B610" s="1">
        <f ca="1">IFERROR(__xludf.DUMMYFUNCTION("""COMPUTED_VALUE"""),21.8)</f>
        <v>21.8</v>
      </c>
      <c r="C610" s="1">
        <f ca="1">IFERROR(__xludf.DUMMYFUNCTION("""COMPUTED_VALUE"""),22.35)</f>
        <v>22.35</v>
      </c>
      <c r="D610" s="1">
        <f ca="1">IFERROR(__xludf.DUMMYFUNCTION("""COMPUTED_VALUE"""),21.53)</f>
        <v>21.53</v>
      </c>
      <c r="E610" s="1">
        <f ca="1">IFERROR(__xludf.DUMMYFUNCTION("""COMPUTED_VALUE"""),22.34)</f>
        <v>22.34</v>
      </c>
      <c r="F610" s="1">
        <f ca="1">IFERROR(__xludf.DUMMYFUNCTION("""COMPUTED_VALUE"""),5092829)</f>
        <v>5092829</v>
      </c>
    </row>
    <row r="611" spans="1:6" x14ac:dyDescent="0.2">
      <c r="A611" s="2">
        <f ca="1">IFERROR(__xludf.DUMMYFUNCTION("""COMPUTED_VALUE"""),43164.6666666666)</f>
        <v>43164.666666666599</v>
      </c>
      <c r="B611" s="1">
        <f ca="1">IFERROR(__xludf.DUMMYFUNCTION("""COMPUTED_VALUE"""),22.16)</f>
        <v>22.16</v>
      </c>
      <c r="C611" s="1">
        <f ca="1">IFERROR(__xludf.DUMMYFUNCTION("""COMPUTED_VALUE"""),22.52)</f>
        <v>22.52</v>
      </c>
      <c r="D611" s="1">
        <f ca="1">IFERROR(__xludf.DUMMYFUNCTION("""COMPUTED_VALUE"""),21.95)</f>
        <v>21.95</v>
      </c>
      <c r="E611" s="1">
        <f ca="1">IFERROR(__xludf.DUMMYFUNCTION("""COMPUTED_VALUE"""),22.22)</f>
        <v>22.22</v>
      </c>
      <c r="F611" s="1">
        <f ca="1">IFERROR(__xludf.DUMMYFUNCTION("""COMPUTED_VALUE"""),3823769)</f>
        <v>3823769</v>
      </c>
    </row>
    <row r="612" spans="1:6" x14ac:dyDescent="0.2">
      <c r="A612" s="2">
        <f ca="1">IFERROR(__xludf.DUMMYFUNCTION("""COMPUTED_VALUE"""),43165.6666666666)</f>
        <v>43165.666666666599</v>
      </c>
      <c r="B612" s="1">
        <f ca="1">IFERROR(__xludf.DUMMYFUNCTION("""COMPUTED_VALUE"""),22.25)</f>
        <v>22.25</v>
      </c>
      <c r="C612" s="1">
        <f ca="1">IFERROR(__xludf.DUMMYFUNCTION("""COMPUTED_VALUE"""),22.42)</f>
        <v>22.42</v>
      </c>
      <c r="D612" s="1">
        <f ca="1">IFERROR(__xludf.DUMMYFUNCTION("""COMPUTED_VALUE"""),21.8)</f>
        <v>21.8</v>
      </c>
      <c r="E612" s="1">
        <f ca="1">IFERROR(__xludf.DUMMYFUNCTION("""COMPUTED_VALUE"""),21.88)</f>
        <v>21.88</v>
      </c>
      <c r="F612" s="1">
        <f ca="1">IFERROR(__xludf.DUMMYFUNCTION("""COMPUTED_VALUE"""),4285744)</f>
        <v>4285744</v>
      </c>
    </row>
    <row r="613" spans="1:6" x14ac:dyDescent="0.2">
      <c r="A613" s="2">
        <f ca="1">IFERROR(__xludf.DUMMYFUNCTION("""COMPUTED_VALUE"""),43166.6666666666)</f>
        <v>43166.666666666599</v>
      </c>
      <c r="B613" s="1">
        <f ca="1">IFERROR(__xludf.DUMMYFUNCTION("""COMPUTED_VALUE"""),21.7)</f>
        <v>21.7</v>
      </c>
      <c r="C613" s="1">
        <f ca="1">IFERROR(__xludf.DUMMYFUNCTION("""COMPUTED_VALUE"""),22.17)</f>
        <v>22.17</v>
      </c>
      <c r="D613" s="1">
        <f ca="1">IFERROR(__xludf.DUMMYFUNCTION("""COMPUTED_VALUE"""),21.45)</f>
        <v>21.45</v>
      </c>
      <c r="E613" s="1">
        <f ca="1">IFERROR(__xludf.DUMMYFUNCTION("""COMPUTED_VALUE"""),22.15)</f>
        <v>22.15</v>
      </c>
      <c r="F613" s="1">
        <f ca="1">IFERROR(__xludf.DUMMYFUNCTION("""COMPUTED_VALUE"""),5007297)</f>
        <v>5007297</v>
      </c>
    </row>
    <row r="614" spans="1:6" x14ac:dyDescent="0.2">
      <c r="A614" s="2">
        <f ca="1">IFERROR(__xludf.DUMMYFUNCTION("""COMPUTED_VALUE"""),43167.6666666666)</f>
        <v>43167.666666666599</v>
      </c>
      <c r="B614" s="1">
        <f ca="1">IFERROR(__xludf.DUMMYFUNCTION("""COMPUTED_VALUE"""),22.19)</f>
        <v>22.19</v>
      </c>
      <c r="C614" s="1">
        <f ca="1">IFERROR(__xludf.DUMMYFUNCTION("""COMPUTED_VALUE"""),22.22)</f>
        <v>22.22</v>
      </c>
      <c r="D614" s="1">
        <f ca="1">IFERROR(__xludf.DUMMYFUNCTION("""COMPUTED_VALUE"""),21.75)</f>
        <v>21.75</v>
      </c>
      <c r="E614" s="1">
        <f ca="1">IFERROR(__xludf.DUMMYFUNCTION("""COMPUTED_VALUE"""),21.94)</f>
        <v>21.94</v>
      </c>
      <c r="F614" s="1">
        <f ca="1">IFERROR(__xludf.DUMMYFUNCTION("""COMPUTED_VALUE"""),3566244)</f>
        <v>3566244</v>
      </c>
    </row>
    <row r="615" spans="1:6" x14ac:dyDescent="0.2">
      <c r="A615" s="2">
        <f ca="1">IFERROR(__xludf.DUMMYFUNCTION("""COMPUTED_VALUE"""),43168.6666666666)</f>
        <v>43168.666666666599</v>
      </c>
      <c r="B615" s="1">
        <f ca="1">IFERROR(__xludf.DUMMYFUNCTION("""COMPUTED_VALUE"""),21.61)</f>
        <v>21.61</v>
      </c>
      <c r="C615" s="1">
        <f ca="1">IFERROR(__xludf.DUMMYFUNCTION("""COMPUTED_VALUE"""),21.9)</f>
        <v>21.9</v>
      </c>
      <c r="D615" s="1">
        <f ca="1">IFERROR(__xludf.DUMMYFUNCTION("""COMPUTED_VALUE"""),21.49)</f>
        <v>21.49</v>
      </c>
      <c r="E615" s="1">
        <f ca="1">IFERROR(__xludf.DUMMYFUNCTION("""COMPUTED_VALUE"""),21.81)</f>
        <v>21.81</v>
      </c>
      <c r="F615" s="1">
        <f ca="1">IFERROR(__xludf.DUMMYFUNCTION("""COMPUTED_VALUE"""),5506764)</f>
        <v>5506764</v>
      </c>
    </row>
    <row r="616" spans="1:6" x14ac:dyDescent="0.2">
      <c r="A616" s="2">
        <f ca="1">IFERROR(__xludf.DUMMYFUNCTION("""COMPUTED_VALUE"""),43171.6666666666)</f>
        <v>43171.666666666599</v>
      </c>
      <c r="B616" s="1">
        <f ca="1">IFERROR(__xludf.DUMMYFUNCTION("""COMPUTED_VALUE"""),21.91)</f>
        <v>21.91</v>
      </c>
      <c r="C616" s="1">
        <f ca="1">IFERROR(__xludf.DUMMYFUNCTION("""COMPUTED_VALUE"""),23.15)</f>
        <v>23.15</v>
      </c>
      <c r="D616" s="1">
        <f ca="1">IFERROR(__xludf.DUMMYFUNCTION("""COMPUTED_VALUE"""),21.77)</f>
        <v>21.77</v>
      </c>
      <c r="E616" s="1">
        <f ca="1">IFERROR(__xludf.DUMMYFUNCTION("""COMPUTED_VALUE"""),23.03)</f>
        <v>23.03</v>
      </c>
      <c r="F616" s="1">
        <f ca="1">IFERROR(__xludf.DUMMYFUNCTION("""COMPUTED_VALUE"""),8264035)</f>
        <v>8264035</v>
      </c>
    </row>
    <row r="617" spans="1:6" x14ac:dyDescent="0.2">
      <c r="A617" s="2">
        <f ca="1">IFERROR(__xludf.DUMMYFUNCTION("""COMPUTED_VALUE"""),43172.6666666666)</f>
        <v>43172.666666666599</v>
      </c>
      <c r="B617" s="1">
        <f ca="1">IFERROR(__xludf.DUMMYFUNCTION("""COMPUTED_VALUE"""),22.99)</f>
        <v>22.99</v>
      </c>
      <c r="C617" s="1">
        <f ca="1">IFERROR(__xludf.DUMMYFUNCTION("""COMPUTED_VALUE"""),23.01)</f>
        <v>23.01</v>
      </c>
      <c r="D617" s="1">
        <f ca="1">IFERROR(__xludf.DUMMYFUNCTION("""COMPUTED_VALUE"""),22.42)</f>
        <v>22.42</v>
      </c>
      <c r="E617" s="1">
        <f ca="1">IFERROR(__xludf.DUMMYFUNCTION("""COMPUTED_VALUE"""),22.79)</f>
        <v>22.79</v>
      </c>
      <c r="F617" s="1">
        <f ca="1">IFERROR(__xludf.DUMMYFUNCTION("""COMPUTED_VALUE"""),5965805)</f>
        <v>5965805</v>
      </c>
    </row>
    <row r="618" spans="1:6" x14ac:dyDescent="0.2">
      <c r="A618" s="2">
        <f ca="1">IFERROR(__xludf.DUMMYFUNCTION("""COMPUTED_VALUE"""),43173.6666666666)</f>
        <v>43173.666666666599</v>
      </c>
      <c r="B618" s="1">
        <f ca="1">IFERROR(__xludf.DUMMYFUNCTION("""COMPUTED_VALUE"""),22.45)</f>
        <v>22.45</v>
      </c>
      <c r="C618" s="1">
        <f ca="1">IFERROR(__xludf.DUMMYFUNCTION("""COMPUTED_VALUE"""),22.65)</f>
        <v>22.65</v>
      </c>
      <c r="D618" s="1">
        <f ca="1">IFERROR(__xludf.DUMMYFUNCTION("""COMPUTED_VALUE"""),21.6)</f>
        <v>21.6</v>
      </c>
      <c r="E618" s="1">
        <f ca="1">IFERROR(__xludf.DUMMYFUNCTION("""COMPUTED_VALUE"""),21.78)</f>
        <v>21.78</v>
      </c>
      <c r="F618" s="1">
        <f ca="1">IFERROR(__xludf.DUMMYFUNCTION("""COMPUTED_VALUE"""),7967370)</f>
        <v>7967370</v>
      </c>
    </row>
    <row r="619" spans="1:6" x14ac:dyDescent="0.2">
      <c r="A619" s="2">
        <f ca="1">IFERROR(__xludf.DUMMYFUNCTION("""COMPUTED_VALUE"""),43174.6666666666)</f>
        <v>43174.666666666599</v>
      </c>
      <c r="B619" s="1">
        <f ca="1">IFERROR(__xludf.DUMMYFUNCTION("""COMPUTED_VALUE"""),21.96)</f>
        <v>21.96</v>
      </c>
      <c r="C619" s="1">
        <f ca="1">IFERROR(__xludf.DUMMYFUNCTION("""COMPUTED_VALUE"""),22.19)</f>
        <v>22.19</v>
      </c>
      <c r="D619" s="1">
        <f ca="1">IFERROR(__xludf.DUMMYFUNCTION("""COMPUTED_VALUE"""),21.41)</f>
        <v>21.41</v>
      </c>
      <c r="E619" s="1">
        <f ca="1">IFERROR(__xludf.DUMMYFUNCTION("""COMPUTED_VALUE"""),21.71)</f>
        <v>21.71</v>
      </c>
      <c r="F619" s="1">
        <f ca="1">IFERROR(__xludf.DUMMYFUNCTION("""COMPUTED_VALUE"""),6564801)</f>
        <v>6564801</v>
      </c>
    </row>
    <row r="620" spans="1:6" x14ac:dyDescent="0.2">
      <c r="A620" s="2">
        <f ca="1">IFERROR(__xludf.DUMMYFUNCTION("""COMPUTED_VALUE"""),43175.6666666666)</f>
        <v>43175.666666666599</v>
      </c>
      <c r="B620" s="1">
        <f ca="1">IFERROR(__xludf.DUMMYFUNCTION("""COMPUTED_VALUE"""),21.73)</f>
        <v>21.73</v>
      </c>
      <c r="C620" s="1">
        <f ca="1">IFERROR(__xludf.DUMMYFUNCTION("""COMPUTED_VALUE"""),21.83)</f>
        <v>21.83</v>
      </c>
      <c r="D620" s="1">
        <f ca="1">IFERROR(__xludf.DUMMYFUNCTION("""COMPUTED_VALUE"""),21.27)</f>
        <v>21.27</v>
      </c>
      <c r="E620" s="1">
        <f ca="1">IFERROR(__xludf.DUMMYFUNCTION("""COMPUTED_VALUE"""),21.42)</f>
        <v>21.42</v>
      </c>
      <c r="F620" s="1">
        <f ca="1">IFERROR(__xludf.DUMMYFUNCTION("""COMPUTED_VALUE"""),6117279)</f>
        <v>6117279</v>
      </c>
    </row>
    <row r="621" spans="1:6" x14ac:dyDescent="0.2">
      <c r="A621" s="2">
        <f ca="1">IFERROR(__xludf.DUMMYFUNCTION("""COMPUTED_VALUE"""),43178.6666666666)</f>
        <v>43178.666666666599</v>
      </c>
      <c r="B621" s="1">
        <f ca="1">IFERROR(__xludf.DUMMYFUNCTION("""COMPUTED_VALUE"""),21.1)</f>
        <v>21.1</v>
      </c>
      <c r="C621" s="1">
        <f ca="1">IFERROR(__xludf.DUMMYFUNCTION("""COMPUTED_VALUE"""),21.38)</f>
        <v>21.38</v>
      </c>
      <c r="D621" s="1">
        <f ca="1">IFERROR(__xludf.DUMMYFUNCTION("""COMPUTED_VALUE"""),20.64)</f>
        <v>20.64</v>
      </c>
      <c r="E621" s="1">
        <f ca="1">IFERROR(__xludf.DUMMYFUNCTION("""COMPUTED_VALUE"""),20.9)</f>
        <v>20.9</v>
      </c>
      <c r="F621" s="1">
        <f ca="1">IFERROR(__xludf.DUMMYFUNCTION("""COMPUTED_VALUE"""),7484294)</f>
        <v>7484294</v>
      </c>
    </row>
    <row r="622" spans="1:6" x14ac:dyDescent="0.2">
      <c r="A622" s="2">
        <f ca="1">IFERROR(__xludf.DUMMYFUNCTION("""COMPUTED_VALUE"""),43179.6666666666)</f>
        <v>43179.666666666599</v>
      </c>
      <c r="B622" s="1">
        <f ca="1">IFERROR(__xludf.DUMMYFUNCTION("""COMPUTED_VALUE"""),20.99)</f>
        <v>20.99</v>
      </c>
      <c r="C622" s="1">
        <f ca="1">IFERROR(__xludf.DUMMYFUNCTION("""COMPUTED_VALUE"""),21.08)</f>
        <v>21.08</v>
      </c>
      <c r="D622" s="1">
        <f ca="1">IFERROR(__xludf.DUMMYFUNCTION("""COMPUTED_VALUE"""),20.58)</f>
        <v>20.58</v>
      </c>
      <c r="E622" s="1">
        <f ca="1">IFERROR(__xludf.DUMMYFUNCTION("""COMPUTED_VALUE"""),20.7)</f>
        <v>20.7</v>
      </c>
      <c r="F622" s="1">
        <f ca="1">IFERROR(__xludf.DUMMYFUNCTION("""COMPUTED_VALUE"""),4764293)</f>
        <v>4764293</v>
      </c>
    </row>
    <row r="623" spans="1:6" x14ac:dyDescent="0.2">
      <c r="A623" s="2">
        <f ca="1">IFERROR(__xludf.DUMMYFUNCTION("""COMPUTED_VALUE"""),43180.6666666666)</f>
        <v>43180.666666666599</v>
      </c>
      <c r="B623" s="1">
        <f ca="1">IFERROR(__xludf.DUMMYFUNCTION("""COMPUTED_VALUE"""),20.68)</f>
        <v>20.68</v>
      </c>
      <c r="C623" s="1">
        <f ca="1">IFERROR(__xludf.DUMMYFUNCTION("""COMPUTED_VALUE"""),21.5)</f>
        <v>21.5</v>
      </c>
      <c r="D623" s="1">
        <f ca="1">IFERROR(__xludf.DUMMYFUNCTION("""COMPUTED_VALUE"""),20.68)</f>
        <v>20.68</v>
      </c>
      <c r="E623" s="1">
        <f ca="1">IFERROR(__xludf.DUMMYFUNCTION("""COMPUTED_VALUE"""),21.1)</f>
        <v>21.1</v>
      </c>
      <c r="F623" s="1">
        <f ca="1">IFERROR(__xludf.DUMMYFUNCTION("""COMPUTED_VALUE"""),5958411)</f>
        <v>5958411</v>
      </c>
    </row>
    <row r="624" spans="1:6" x14ac:dyDescent="0.2">
      <c r="A624" s="2">
        <f ca="1">IFERROR(__xludf.DUMMYFUNCTION("""COMPUTED_VALUE"""),43181.6666666666)</f>
        <v>43181.666666666599</v>
      </c>
      <c r="B624" s="1">
        <f ca="1">IFERROR(__xludf.DUMMYFUNCTION("""COMPUTED_VALUE"""),20.93)</f>
        <v>20.93</v>
      </c>
      <c r="C624" s="1">
        <f ca="1">IFERROR(__xludf.DUMMYFUNCTION("""COMPUTED_VALUE"""),21.25)</f>
        <v>21.25</v>
      </c>
      <c r="D624" s="1">
        <f ca="1">IFERROR(__xludf.DUMMYFUNCTION("""COMPUTED_VALUE"""),20.55)</f>
        <v>20.55</v>
      </c>
      <c r="E624" s="1">
        <f ca="1">IFERROR(__xludf.DUMMYFUNCTION("""COMPUTED_VALUE"""),20.61)</f>
        <v>20.61</v>
      </c>
      <c r="F624" s="1">
        <f ca="1">IFERROR(__xludf.DUMMYFUNCTION("""COMPUTED_VALUE"""),4939771)</f>
        <v>4939771</v>
      </c>
    </row>
    <row r="625" spans="1:6" x14ac:dyDescent="0.2">
      <c r="A625" s="2">
        <f ca="1">IFERROR(__xludf.DUMMYFUNCTION("""COMPUTED_VALUE"""),43182.6666666666)</f>
        <v>43182.666666666599</v>
      </c>
      <c r="B625" s="1">
        <f ca="1">IFERROR(__xludf.DUMMYFUNCTION("""COMPUTED_VALUE"""),20.75)</f>
        <v>20.75</v>
      </c>
      <c r="C625" s="1">
        <f ca="1">IFERROR(__xludf.DUMMYFUNCTION("""COMPUTED_VALUE"""),20.77)</f>
        <v>20.77</v>
      </c>
      <c r="D625" s="1">
        <f ca="1">IFERROR(__xludf.DUMMYFUNCTION("""COMPUTED_VALUE"""),20.03)</f>
        <v>20.03</v>
      </c>
      <c r="E625" s="1">
        <f ca="1">IFERROR(__xludf.DUMMYFUNCTION("""COMPUTED_VALUE"""),20.1)</f>
        <v>20.100000000000001</v>
      </c>
      <c r="F625" s="1">
        <f ca="1">IFERROR(__xludf.DUMMYFUNCTION("""COMPUTED_VALUE"""),6654899)</f>
        <v>6654899</v>
      </c>
    </row>
    <row r="626" spans="1:6" x14ac:dyDescent="0.2">
      <c r="A626" s="2">
        <f ca="1">IFERROR(__xludf.DUMMYFUNCTION("""COMPUTED_VALUE"""),43185.6666666666)</f>
        <v>43185.666666666599</v>
      </c>
      <c r="B626" s="1">
        <f ca="1">IFERROR(__xludf.DUMMYFUNCTION("""COMPUTED_VALUE"""),20.49)</f>
        <v>20.49</v>
      </c>
      <c r="C626" s="1">
        <f ca="1">IFERROR(__xludf.DUMMYFUNCTION("""COMPUTED_VALUE"""),20.51)</f>
        <v>20.51</v>
      </c>
      <c r="D626" s="1">
        <f ca="1">IFERROR(__xludf.DUMMYFUNCTION("""COMPUTED_VALUE"""),19.42)</f>
        <v>19.420000000000002</v>
      </c>
      <c r="E626" s="1">
        <f ca="1">IFERROR(__xludf.DUMMYFUNCTION("""COMPUTED_VALUE"""),20.28)</f>
        <v>20.28</v>
      </c>
      <c r="F626" s="1">
        <f ca="1">IFERROR(__xludf.DUMMYFUNCTION("""COMPUTED_VALUE"""),8375175)</f>
        <v>8375175</v>
      </c>
    </row>
    <row r="627" spans="1:6" x14ac:dyDescent="0.2">
      <c r="A627" s="2">
        <f ca="1">IFERROR(__xludf.DUMMYFUNCTION("""COMPUTED_VALUE"""),43186.6666666666)</f>
        <v>43186.666666666599</v>
      </c>
      <c r="B627" s="1">
        <f ca="1">IFERROR(__xludf.DUMMYFUNCTION("""COMPUTED_VALUE"""),20.27)</f>
        <v>20.27</v>
      </c>
      <c r="C627" s="1">
        <f ca="1">IFERROR(__xludf.DUMMYFUNCTION("""COMPUTED_VALUE"""),20.28)</f>
        <v>20.28</v>
      </c>
      <c r="D627" s="1">
        <f ca="1">IFERROR(__xludf.DUMMYFUNCTION("""COMPUTED_VALUE"""),18.48)</f>
        <v>18.48</v>
      </c>
      <c r="E627" s="1">
        <f ca="1">IFERROR(__xludf.DUMMYFUNCTION("""COMPUTED_VALUE"""),18.61)</f>
        <v>18.61</v>
      </c>
      <c r="F627" s="1">
        <f ca="1">IFERROR(__xludf.DUMMYFUNCTION("""COMPUTED_VALUE"""),13872029)</f>
        <v>13872029</v>
      </c>
    </row>
    <row r="628" spans="1:6" x14ac:dyDescent="0.2">
      <c r="A628" s="2">
        <f ca="1">IFERROR(__xludf.DUMMYFUNCTION("""COMPUTED_VALUE"""),43187.6666666666)</f>
        <v>43187.666666666599</v>
      </c>
      <c r="B628" s="1">
        <f ca="1">IFERROR(__xludf.DUMMYFUNCTION("""COMPUTED_VALUE"""),17.64)</f>
        <v>17.64</v>
      </c>
      <c r="C628" s="1">
        <f ca="1">IFERROR(__xludf.DUMMYFUNCTION("""COMPUTED_VALUE"""),17.91)</f>
        <v>17.91</v>
      </c>
      <c r="D628" s="1">
        <f ca="1">IFERROR(__xludf.DUMMYFUNCTION("""COMPUTED_VALUE"""),16.81)</f>
        <v>16.809999999999999</v>
      </c>
      <c r="E628" s="1">
        <f ca="1">IFERROR(__xludf.DUMMYFUNCTION("""COMPUTED_VALUE"""),17.19)</f>
        <v>17.190000000000001</v>
      </c>
      <c r="F628" s="1">
        <f ca="1">IFERROR(__xludf.DUMMYFUNCTION("""COMPUTED_VALUE"""),21001437)</f>
        <v>21001437</v>
      </c>
    </row>
    <row r="629" spans="1:6" x14ac:dyDescent="0.2">
      <c r="A629" s="2">
        <f ca="1">IFERROR(__xludf.DUMMYFUNCTION("""COMPUTED_VALUE"""),43188.6666666666)</f>
        <v>43188.666666666599</v>
      </c>
      <c r="B629" s="1">
        <f ca="1">IFERROR(__xludf.DUMMYFUNCTION("""COMPUTED_VALUE"""),17.1)</f>
        <v>17.100000000000001</v>
      </c>
      <c r="C629" s="1">
        <f ca="1">IFERROR(__xludf.DUMMYFUNCTION("""COMPUTED_VALUE"""),18.06)</f>
        <v>18.059999999999999</v>
      </c>
      <c r="D629" s="1">
        <f ca="1">IFERROR(__xludf.DUMMYFUNCTION("""COMPUTED_VALUE"""),16.55)</f>
        <v>16.55</v>
      </c>
      <c r="E629" s="1">
        <f ca="1">IFERROR(__xludf.DUMMYFUNCTION("""COMPUTED_VALUE"""),17.74)</f>
        <v>17.739999999999998</v>
      </c>
      <c r="F629" s="1">
        <f ca="1">IFERROR(__xludf.DUMMYFUNCTION("""COMPUTED_VALUE"""),15170749)</f>
        <v>15170749</v>
      </c>
    </row>
    <row r="630" spans="1:6" x14ac:dyDescent="0.2">
      <c r="A630" s="2">
        <f ca="1">IFERROR(__xludf.DUMMYFUNCTION("""COMPUTED_VALUE"""),43192.6666666666)</f>
        <v>43192.666666666599</v>
      </c>
      <c r="B630" s="1">
        <f ca="1">IFERROR(__xludf.DUMMYFUNCTION("""COMPUTED_VALUE"""),17.08)</f>
        <v>17.079999999999998</v>
      </c>
      <c r="C630" s="1">
        <f ca="1">IFERROR(__xludf.DUMMYFUNCTION("""COMPUTED_VALUE"""),17.36)</f>
        <v>17.36</v>
      </c>
      <c r="D630" s="1">
        <f ca="1">IFERROR(__xludf.DUMMYFUNCTION("""COMPUTED_VALUE"""),16.31)</f>
        <v>16.309999999999999</v>
      </c>
      <c r="E630" s="1">
        <f ca="1">IFERROR(__xludf.DUMMYFUNCTION("""COMPUTED_VALUE"""),16.83)</f>
        <v>16.829999999999998</v>
      </c>
      <c r="F630" s="1">
        <f ca="1">IFERROR(__xludf.DUMMYFUNCTION("""COMPUTED_VALUE"""),16113968)</f>
        <v>16113968</v>
      </c>
    </row>
    <row r="631" spans="1:6" x14ac:dyDescent="0.2">
      <c r="A631" s="2">
        <f ca="1">IFERROR(__xludf.DUMMYFUNCTION("""COMPUTED_VALUE"""),43193.6666666666)</f>
        <v>43193.666666666599</v>
      </c>
      <c r="B631" s="1">
        <f ca="1">IFERROR(__xludf.DUMMYFUNCTION("""COMPUTED_VALUE"""),17.99)</f>
        <v>17.989999999999998</v>
      </c>
      <c r="C631" s="1">
        <f ca="1">IFERROR(__xludf.DUMMYFUNCTION("""COMPUTED_VALUE"""),18.22)</f>
        <v>18.22</v>
      </c>
      <c r="D631" s="1">
        <f ca="1">IFERROR(__xludf.DUMMYFUNCTION("""COMPUTED_VALUE"""),16.97)</f>
        <v>16.97</v>
      </c>
      <c r="E631" s="1">
        <f ca="1">IFERROR(__xludf.DUMMYFUNCTION("""COMPUTED_VALUE"""),17.84)</f>
        <v>17.84</v>
      </c>
      <c r="F631" s="1">
        <f ca="1">IFERROR(__xludf.DUMMYFUNCTION("""COMPUTED_VALUE"""),18844384)</f>
        <v>18844384</v>
      </c>
    </row>
    <row r="632" spans="1:6" x14ac:dyDescent="0.2">
      <c r="A632" s="2">
        <f ca="1">IFERROR(__xludf.DUMMYFUNCTION("""COMPUTED_VALUE"""),43194.6666666666)</f>
        <v>43194.666666666599</v>
      </c>
      <c r="B632" s="1">
        <f ca="1">IFERROR(__xludf.DUMMYFUNCTION("""COMPUTED_VALUE"""),16.85)</f>
        <v>16.850000000000001</v>
      </c>
      <c r="C632" s="1">
        <f ca="1">IFERROR(__xludf.DUMMYFUNCTION("""COMPUTED_VALUE"""),19.22)</f>
        <v>19.22</v>
      </c>
      <c r="D632" s="1">
        <f ca="1">IFERROR(__xludf.DUMMYFUNCTION("""COMPUTED_VALUE"""),16.8)</f>
        <v>16.8</v>
      </c>
      <c r="E632" s="1">
        <f ca="1">IFERROR(__xludf.DUMMYFUNCTION("""COMPUTED_VALUE"""),19.13)</f>
        <v>19.13</v>
      </c>
      <c r="F632" s="1">
        <f ca="1">IFERROR(__xludf.DUMMYFUNCTION("""COMPUTED_VALUE"""),19896746)</f>
        <v>19896746</v>
      </c>
    </row>
    <row r="633" spans="1:6" x14ac:dyDescent="0.2">
      <c r="A633" s="2">
        <f ca="1">IFERROR(__xludf.DUMMYFUNCTION("""COMPUTED_VALUE"""),43195.6666666666)</f>
        <v>43195.666666666599</v>
      </c>
      <c r="B633" s="1">
        <f ca="1">IFERROR(__xludf.DUMMYFUNCTION("""COMPUTED_VALUE"""),19.29)</f>
        <v>19.29</v>
      </c>
      <c r="C633" s="1">
        <f ca="1">IFERROR(__xludf.DUMMYFUNCTION("""COMPUTED_VALUE"""),20.42)</f>
        <v>20.420000000000002</v>
      </c>
      <c r="D633" s="1">
        <f ca="1">IFERROR(__xludf.DUMMYFUNCTION("""COMPUTED_VALUE"""),19.21)</f>
        <v>19.21</v>
      </c>
      <c r="E633" s="1">
        <f ca="1">IFERROR(__xludf.DUMMYFUNCTION("""COMPUTED_VALUE"""),20.38)</f>
        <v>20.38</v>
      </c>
      <c r="F633" s="1">
        <f ca="1">IFERROR(__xludf.DUMMYFUNCTION("""COMPUTED_VALUE"""),19121101)</f>
        <v>19121101</v>
      </c>
    </row>
    <row r="634" spans="1:6" x14ac:dyDescent="0.2">
      <c r="A634" s="2">
        <f ca="1">IFERROR(__xludf.DUMMYFUNCTION("""COMPUTED_VALUE"""),43196.6666666666)</f>
        <v>43196.666666666599</v>
      </c>
      <c r="B634" s="1">
        <f ca="1">IFERROR(__xludf.DUMMYFUNCTION("""COMPUTED_VALUE"""),20.07)</f>
        <v>20.07</v>
      </c>
      <c r="C634" s="1">
        <f ca="1">IFERROR(__xludf.DUMMYFUNCTION("""COMPUTED_VALUE"""),20.62)</f>
        <v>20.62</v>
      </c>
      <c r="D634" s="1">
        <f ca="1">IFERROR(__xludf.DUMMYFUNCTION("""COMPUTED_VALUE"""),19.7)</f>
        <v>19.7</v>
      </c>
      <c r="E634" s="1">
        <f ca="1">IFERROR(__xludf.DUMMYFUNCTION("""COMPUTED_VALUE"""),19.95)</f>
        <v>19.95</v>
      </c>
      <c r="F634" s="1">
        <f ca="1">IFERROR(__xludf.DUMMYFUNCTION("""COMPUTED_VALUE"""),13520286)</f>
        <v>13520286</v>
      </c>
    </row>
    <row r="635" spans="1:6" x14ac:dyDescent="0.2">
      <c r="A635" s="2">
        <f ca="1">IFERROR(__xludf.DUMMYFUNCTION("""COMPUTED_VALUE"""),43199.6666666666)</f>
        <v>43199.666666666599</v>
      </c>
      <c r="B635" s="1">
        <f ca="1">IFERROR(__xludf.DUMMYFUNCTION("""COMPUTED_VALUE"""),20.02)</f>
        <v>20.02</v>
      </c>
      <c r="C635" s="1">
        <f ca="1">IFERROR(__xludf.DUMMYFUNCTION("""COMPUTED_VALUE"""),20.63)</f>
        <v>20.63</v>
      </c>
      <c r="D635" s="1">
        <f ca="1">IFERROR(__xludf.DUMMYFUNCTION("""COMPUTED_VALUE"""),19.28)</f>
        <v>19.28</v>
      </c>
      <c r="E635" s="1">
        <f ca="1">IFERROR(__xludf.DUMMYFUNCTION("""COMPUTED_VALUE"""),19.31)</f>
        <v>19.309999999999999</v>
      </c>
      <c r="F635" s="1">
        <f ca="1">IFERROR(__xludf.DUMMYFUNCTION("""COMPUTED_VALUE"""),10249805)</f>
        <v>10249805</v>
      </c>
    </row>
    <row r="636" spans="1:6" x14ac:dyDescent="0.2">
      <c r="A636" s="2">
        <f ca="1">IFERROR(__xludf.DUMMYFUNCTION("""COMPUTED_VALUE"""),43200.6666666666)</f>
        <v>43200.666666666599</v>
      </c>
      <c r="B636" s="1">
        <f ca="1">IFERROR(__xludf.DUMMYFUNCTION("""COMPUTED_VALUE"""),19.93)</f>
        <v>19.93</v>
      </c>
      <c r="C636" s="1">
        <f ca="1">IFERROR(__xludf.DUMMYFUNCTION("""COMPUTED_VALUE"""),20.47)</f>
        <v>20.47</v>
      </c>
      <c r="D636" s="1">
        <f ca="1">IFERROR(__xludf.DUMMYFUNCTION("""COMPUTED_VALUE"""),19.58)</f>
        <v>19.579999999999998</v>
      </c>
      <c r="E636" s="1">
        <f ca="1">IFERROR(__xludf.DUMMYFUNCTION("""COMPUTED_VALUE"""),20.31)</f>
        <v>20.309999999999999</v>
      </c>
      <c r="F636" s="1">
        <f ca="1">IFERROR(__xludf.DUMMYFUNCTION("""COMPUTED_VALUE"""),11024259)</f>
        <v>11024259</v>
      </c>
    </row>
    <row r="637" spans="1:6" x14ac:dyDescent="0.2">
      <c r="A637" s="2">
        <f ca="1">IFERROR(__xludf.DUMMYFUNCTION("""COMPUTED_VALUE"""),43201.6666666666)</f>
        <v>43201.666666666599</v>
      </c>
      <c r="B637" s="1">
        <f ca="1">IFERROR(__xludf.DUMMYFUNCTION("""COMPUTED_VALUE"""),20.05)</f>
        <v>20.05</v>
      </c>
      <c r="C637" s="1">
        <f ca="1">IFERROR(__xludf.DUMMYFUNCTION("""COMPUTED_VALUE"""),20.6)</f>
        <v>20.6</v>
      </c>
      <c r="D637" s="1">
        <f ca="1">IFERROR(__xludf.DUMMYFUNCTION("""COMPUTED_VALUE"""),19.98)</f>
        <v>19.98</v>
      </c>
      <c r="E637" s="1">
        <f ca="1">IFERROR(__xludf.DUMMYFUNCTION("""COMPUTED_VALUE"""),20.06)</f>
        <v>20.059999999999999</v>
      </c>
      <c r="F637" s="1">
        <f ca="1">IFERROR(__xludf.DUMMYFUNCTION("""COMPUTED_VALUE"""),7482945)</f>
        <v>7482945</v>
      </c>
    </row>
    <row r="638" spans="1:6" x14ac:dyDescent="0.2">
      <c r="A638" s="2">
        <f ca="1">IFERROR(__xludf.DUMMYFUNCTION("""COMPUTED_VALUE"""),43202.6666666666)</f>
        <v>43202.666666666599</v>
      </c>
      <c r="B638" s="1">
        <f ca="1">IFERROR(__xludf.DUMMYFUNCTION("""COMPUTED_VALUE"""),20.15)</f>
        <v>20.149999999999999</v>
      </c>
      <c r="C638" s="1">
        <f ca="1">IFERROR(__xludf.DUMMYFUNCTION("""COMPUTED_VALUE"""),20.26)</f>
        <v>20.260000000000002</v>
      </c>
      <c r="D638" s="1">
        <f ca="1">IFERROR(__xludf.DUMMYFUNCTION("""COMPUTED_VALUE"""),19.58)</f>
        <v>19.579999999999998</v>
      </c>
      <c r="E638" s="1">
        <f ca="1">IFERROR(__xludf.DUMMYFUNCTION("""COMPUTED_VALUE"""),19.61)</f>
        <v>19.61</v>
      </c>
      <c r="F638" s="1">
        <f ca="1">IFERROR(__xludf.DUMMYFUNCTION("""COMPUTED_VALUE"""),7608769)</f>
        <v>7608769</v>
      </c>
    </row>
    <row r="639" spans="1:6" x14ac:dyDescent="0.2">
      <c r="A639" s="2">
        <f ca="1">IFERROR(__xludf.DUMMYFUNCTION("""COMPUTED_VALUE"""),43203.6666666666)</f>
        <v>43203.666666666599</v>
      </c>
      <c r="B639" s="1">
        <f ca="1">IFERROR(__xludf.DUMMYFUNCTION("""COMPUTED_VALUE"""),20.24)</f>
        <v>20.239999999999998</v>
      </c>
      <c r="C639" s="1">
        <f ca="1">IFERROR(__xludf.DUMMYFUNCTION("""COMPUTED_VALUE"""),20.26)</f>
        <v>20.260000000000002</v>
      </c>
      <c r="D639" s="1">
        <f ca="1">IFERROR(__xludf.DUMMYFUNCTION("""COMPUTED_VALUE"""),19.73)</f>
        <v>19.73</v>
      </c>
      <c r="E639" s="1">
        <f ca="1">IFERROR(__xludf.DUMMYFUNCTION("""COMPUTED_VALUE"""),20.02)</f>
        <v>20.02</v>
      </c>
      <c r="F639" s="1">
        <f ca="1">IFERROR(__xludf.DUMMYFUNCTION("""COMPUTED_VALUE"""),7327223)</f>
        <v>7327223</v>
      </c>
    </row>
    <row r="640" spans="1:6" x14ac:dyDescent="0.2">
      <c r="A640" s="2">
        <f ca="1">IFERROR(__xludf.DUMMYFUNCTION("""COMPUTED_VALUE"""),43206.6666666666)</f>
        <v>43206.666666666599</v>
      </c>
      <c r="B640" s="1">
        <f ca="1">IFERROR(__xludf.DUMMYFUNCTION("""COMPUTED_VALUE"""),19.93)</f>
        <v>19.93</v>
      </c>
      <c r="C640" s="1">
        <f ca="1">IFERROR(__xludf.DUMMYFUNCTION("""COMPUTED_VALUE"""),19.98)</f>
        <v>19.98</v>
      </c>
      <c r="D640" s="1">
        <f ca="1">IFERROR(__xludf.DUMMYFUNCTION("""COMPUTED_VALUE"""),19.27)</f>
        <v>19.27</v>
      </c>
      <c r="E640" s="1">
        <f ca="1">IFERROR(__xludf.DUMMYFUNCTION("""COMPUTED_VALUE"""),19.41)</f>
        <v>19.41</v>
      </c>
      <c r="F640" s="1">
        <f ca="1">IFERROR(__xludf.DUMMYFUNCTION("""COMPUTED_VALUE"""),6338488)</f>
        <v>6338488</v>
      </c>
    </row>
    <row r="641" spans="1:6" x14ac:dyDescent="0.2">
      <c r="A641" s="2">
        <f ca="1">IFERROR(__xludf.DUMMYFUNCTION("""COMPUTED_VALUE"""),43207.6666666666)</f>
        <v>43207.666666666599</v>
      </c>
      <c r="B641" s="1">
        <f ca="1">IFERROR(__xludf.DUMMYFUNCTION("""COMPUTED_VALUE"""),19.26)</f>
        <v>19.260000000000002</v>
      </c>
      <c r="C641" s="1">
        <f ca="1">IFERROR(__xludf.DUMMYFUNCTION("""COMPUTED_VALUE"""),19.48)</f>
        <v>19.48</v>
      </c>
      <c r="D641" s="1">
        <f ca="1">IFERROR(__xludf.DUMMYFUNCTION("""COMPUTED_VALUE"""),18.83)</f>
        <v>18.829999999999998</v>
      </c>
      <c r="E641" s="1">
        <f ca="1">IFERROR(__xludf.DUMMYFUNCTION("""COMPUTED_VALUE"""),19.18)</f>
        <v>19.18</v>
      </c>
      <c r="F641" s="1">
        <f ca="1">IFERROR(__xludf.DUMMYFUNCTION("""COMPUTED_VALUE"""),7000023)</f>
        <v>7000023</v>
      </c>
    </row>
    <row r="642" spans="1:6" x14ac:dyDescent="0.2">
      <c r="A642" s="2">
        <f ca="1">IFERROR(__xludf.DUMMYFUNCTION("""COMPUTED_VALUE"""),43208.6666666666)</f>
        <v>43208.666666666599</v>
      </c>
      <c r="B642" s="1">
        <f ca="1">IFERROR(__xludf.DUMMYFUNCTION("""COMPUTED_VALUE"""),19.41)</f>
        <v>19.41</v>
      </c>
      <c r="C642" s="1">
        <f ca="1">IFERROR(__xludf.DUMMYFUNCTION("""COMPUTED_VALUE"""),20.02)</f>
        <v>20.02</v>
      </c>
      <c r="D642" s="1">
        <f ca="1">IFERROR(__xludf.DUMMYFUNCTION("""COMPUTED_VALUE"""),19.21)</f>
        <v>19.21</v>
      </c>
      <c r="E642" s="1">
        <f ca="1">IFERROR(__xludf.DUMMYFUNCTION("""COMPUTED_VALUE"""),19.56)</f>
        <v>19.559999999999999</v>
      </c>
      <c r="F642" s="1">
        <f ca="1">IFERROR(__xludf.DUMMYFUNCTION("""COMPUTED_VALUE"""),6557700)</f>
        <v>6557700</v>
      </c>
    </row>
    <row r="643" spans="1:6" x14ac:dyDescent="0.2">
      <c r="A643" s="2">
        <f ca="1">IFERROR(__xludf.DUMMYFUNCTION("""COMPUTED_VALUE"""),43209.6666666666)</f>
        <v>43209.666666666599</v>
      </c>
      <c r="B643" s="1">
        <f ca="1">IFERROR(__xludf.DUMMYFUNCTION("""COMPUTED_VALUE"""),19.41)</f>
        <v>19.41</v>
      </c>
      <c r="C643" s="1">
        <f ca="1">IFERROR(__xludf.DUMMYFUNCTION("""COMPUTED_VALUE"""),20.07)</f>
        <v>20.07</v>
      </c>
      <c r="D643" s="1">
        <f ca="1">IFERROR(__xludf.DUMMYFUNCTION("""COMPUTED_VALUE"""),19.24)</f>
        <v>19.239999999999998</v>
      </c>
      <c r="E643" s="1">
        <f ca="1">IFERROR(__xludf.DUMMYFUNCTION("""COMPUTED_VALUE"""),20.01)</f>
        <v>20.010000000000002</v>
      </c>
      <c r="F643" s="1">
        <f ca="1">IFERROR(__xludf.DUMMYFUNCTION("""COMPUTED_VALUE"""),6090599)</f>
        <v>6090599</v>
      </c>
    </row>
    <row r="644" spans="1:6" x14ac:dyDescent="0.2">
      <c r="A644" s="2">
        <f ca="1">IFERROR(__xludf.DUMMYFUNCTION("""COMPUTED_VALUE"""),43210.6666666666)</f>
        <v>43210.666666666599</v>
      </c>
      <c r="B644" s="1">
        <f ca="1">IFERROR(__xludf.DUMMYFUNCTION("""COMPUTED_VALUE"""),19.68)</f>
        <v>19.68</v>
      </c>
      <c r="C644" s="1">
        <f ca="1">IFERROR(__xludf.DUMMYFUNCTION("""COMPUTED_VALUE"""),20)</f>
        <v>20</v>
      </c>
      <c r="D644" s="1">
        <f ca="1">IFERROR(__xludf.DUMMYFUNCTION("""COMPUTED_VALUE"""),19.32)</f>
        <v>19.32</v>
      </c>
      <c r="E644" s="1">
        <f ca="1">IFERROR(__xludf.DUMMYFUNCTION("""COMPUTED_VALUE"""),19.35)</f>
        <v>19.350000000000001</v>
      </c>
      <c r="F644" s="1">
        <f ca="1">IFERROR(__xludf.DUMMYFUNCTION("""COMPUTED_VALUE"""),5627928)</f>
        <v>5627928</v>
      </c>
    </row>
    <row r="645" spans="1:6" x14ac:dyDescent="0.2">
      <c r="A645" s="2">
        <f ca="1">IFERROR(__xludf.DUMMYFUNCTION("""COMPUTED_VALUE"""),43213.6666666666)</f>
        <v>43213.666666666599</v>
      </c>
      <c r="B645" s="1">
        <f ca="1">IFERROR(__xludf.DUMMYFUNCTION("""COMPUTED_VALUE"""),19.42)</f>
        <v>19.420000000000002</v>
      </c>
      <c r="C645" s="1">
        <f ca="1">IFERROR(__xludf.DUMMYFUNCTION("""COMPUTED_VALUE"""),19.44)</f>
        <v>19.440000000000001</v>
      </c>
      <c r="D645" s="1">
        <f ca="1">IFERROR(__xludf.DUMMYFUNCTION("""COMPUTED_VALUE"""),18.82)</f>
        <v>18.82</v>
      </c>
      <c r="E645" s="1">
        <f ca="1">IFERROR(__xludf.DUMMYFUNCTION("""COMPUTED_VALUE"""),18.89)</f>
        <v>18.89</v>
      </c>
      <c r="F645" s="1">
        <f ca="1">IFERROR(__xludf.DUMMYFUNCTION("""COMPUTED_VALUE"""),4893378)</f>
        <v>4893378</v>
      </c>
    </row>
    <row r="646" spans="1:6" x14ac:dyDescent="0.2">
      <c r="A646" s="2">
        <f ca="1">IFERROR(__xludf.DUMMYFUNCTION("""COMPUTED_VALUE"""),43214.6666666666)</f>
        <v>43214.666666666599</v>
      </c>
      <c r="B646" s="1">
        <f ca="1">IFERROR(__xludf.DUMMYFUNCTION("""COMPUTED_VALUE"""),19)</f>
        <v>19</v>
      </c>
      <c r="C646" s="1">
        <f ca="1">IFERROR(__xludf.DUMMYFUNCTION("""COMPUTED_VALUE"""),19.14)</f>
        <v>19.14</v>
      </c>
      <c r="D646" s="1">
        <f ca="1">IFERROR(__xludf.DUMMYFUNCTION("""COMPUTED_VALUE"""),18.56)</f>
        <v>18.559999999999999</v>
      </c>
      <c r="E646" s="1">
        <f ca="1">IFERROR(__xludf.DUMMYFUNCTION("""COMPUTED_VALUE"""),18.9)</f>
        <v>18.899999999999999</v>
      </c>
      <c r="F646" s="1">
        <f ca="1">IFERROR(__xludf.DUMMYFUNCTION("""COMPUTED_VALUE"""),5685308)</f>
        <v>5685308</v>
      </c>
    </row>
    <row r="647" spans="1:6" x14ac:dyDescent="0.2">
      <c r="A647" s="2">
        <f ca="1">IFERROR(__xludf.DUMMYFUNCTION("""COMPUTED_VALUE"""),43215.6666666666)</f>
        <v>43215.666666666599</v>
      </c>
      <c r="B647" s="1">
        <f ca="1">IFERROR(__xludf.DUMMYFUNCTION("""COMPUTED_VALUE"""),18.9)</f>
        <v>18.899999999999999</v>
      </c>
      <c r="C647" s="1">
        <f ca="1">IFERROR(__xludf.DUMMYFUNCTION("""COMPUTED_VALUE"""),19.01)</f>
        <v>19.010000000000002</v>
      </c>
      <c r="D647" s="1">
        <f ca="1">IFERROR(__xludf.DUMMYFUNCTION("""COMPUTED_VALUE"""),18.48)</f>
        <v>18.48</v>
      </c>
      <c r="E647" s="1">
        <f ca="1">IFERROR(__xludf.DUMMYFUNCTION("""COMPUTED_VALUE"""),18.71)</f>
        <v>18.71</v>
      </c>
      <c r="F647" s="1">
        <f ca="1">IFERROR(__xludf.DUMMYFUNCTION("""COMPUTED_VALUE"""),4013574)</f>
        <v>4013574</v>
      </c>
    </row>
    <row r="648" spans="1:6" x14ac:dyDescent="0.2">
      <c r="A648" s="2">
        <f ca="1">IFERROR(__xludf.DUMMYFUNCTION("""COMPUTED_VALUE"""),43216.6666666666)</f>
        <v>43216.666666666599</v>
      </c>
      <c r="B648" s="1">
        <f ca="1">IFERROR(__xludf.DUMMYFUNCTION("""COMPUTED_VALUE"""),18.58)</f>
        <v>18.579999999999998</v>
      </c>
      <c r="C648" s="1">
        <f ca="1">IFERROR(__xludf.DUMMYFUNCTION("""COMPUTED_VALUE"""),19.05)</f>
        <v>19.05</v>
      </c>
      <c r="D648" s="1">
        <f ca="1">IFERROR(__xludf.DUMMYFUNCTION("""COMPUTED_VALUE"""),18.43)</f>
        <v>18.43</v>
      </c>
      <c r="E648" s="1">
        <f ca="1">IFERROR(__xludf.DUMMYFUNCTION("""COMPUTED_VALUE"""),19.03)</f>
        <v>19.03</v>
      </c>
      <c r="F648" s="1">
        <f ca="1">IFERROR(__xludf.DUMMYFUNCTION("""COMPUTED_VALUE"""),4356013)</f>
        <v>4356013</v>
      </c>
    </row>
    <row r="649" spans="1:6" x14ac:dyDescent="0.2">
      <c r="A649" s="2">
        <f ca="1">IFERROR(__xludf.DUMMYFUNCTION("""COMPUTED_VALUE"""),43217.6666666666)</f>
        <v>43217.666666666599</v>
      </c>
      <c r="B649" s="1">
        <f ca="1">IFERROR(__xludf.DUMMYFUNCTION("""COMPUTED_VALUE"""),19.02)</f>
        <v>19.02</v>
      </c>
      <c r="C649" s="1">
        <f ca="1">IFERROR(__xludf.DUMMYFUNCTION("""COMPUTED_VALUE"""),19.63)</f>
        <v>19.63</v>
      </c>
      <c r="D649" s="1">
        <f ca="1">IFERROR(__xludf.DUMMYFUNCTION("""COMPUTED_VALUE"""),18.92)</f>
        <v>18.920000000000002</v>
      </c>
      <c r="E649" s="1">
        <f ca="1">IFERROR(__xludf.DUMMYFUNCTION("""COMPUTED_VALUE"""),19.61)</f>
        <v>19.61</v>
      </c>
      <c r="F649" s="1">
        <f ca="1">IFERROR(__xludf.DUMMYFUNCTION("""COMPUTED_VALUE"""),4364626)</f>
        <v>4364626</v>
      </c>
    </row>
    <row r="650" spans="1:6" x14ac:dyDescent="0.2">
      <c r="A650" s="2">
        <f ca="1">IFERROR(__xludf.DUMMYFUNCTION("""COMPUTED_VALUE"""),43220.6666666666)</f>
        <v>43220.666666666599</v>
      </c>
      <c r="B650" s="1">
        <f ca="1">IFERROR(__xludf.DUMMYFUNCTION("""COMPUTED_VALUE"""),19.57)</f>
        <v>19.57</v>
      </c>
      <c r="C650" s="1">
        <f ca="1">IFERROR(__xludf.DUMMYFUNCTION("""COMPUTED_VALUE"""),19.92)</f>
        <v>19.920000000000002</v>
      </c>
      <c r="D650" s="1">
        <f ca="1">IFERROR(__xludf.DUMMYFUNCTION("""COMPUTED_VALUE"""),19.5)</f>
        <v>19.5</v>
      </c>
      <c r="E650" s="1">
        <f ca="1">IFERROR(__xludf.DUMMYFUNCTION("""COMPUTED_VALUE"""),19.59)</f>
        <v>19.59</v>
      </c>
      <c r="F650" s="1">
        <f ca="1">IFERROR(__xludf.DUMMYFUNCTION("""COMPUTED_VALUE"""),4228172)</f>
        <v>4228172</v>
      </c>
    </row>
    <row r="651" spans="1:6" x14ac:dyDescent="0.2">
      <c r="A651" s="2">
        <f ca="1">IFERROR(__xludf.DUMMYFUNCTION("""COMPUTED_VALUE"""),43221.6666666666)</f>
        <v>43221.666666666599</v>
      </c>
      <c r="B651" s="1">
        <f ca="1">IFERROR(__xludf.DUMMYFUNCTION("""COMPUTED_VALUE"""),19.57)</f>
        <v>19.57</v>
      </c>
      <c r="C651" s="1">
        <f ca="1">IFERROR(__xludf.DUMMYFUNCTION("""COMPUTED_VALUE"""),20.05)</f>
        <v>20.05</v>
      </c>
      <c r="D651" s="1">
        <f ca="1">IFERROR(__xludf.DUMMYFUNCTION("""COMPUTED_VALUE"""),19.55)</f>
        <v>19.55</v>
      </c>
      <c r="E651" s="1">
        <f ca="1">IFERROR(__xludf.DUMMYFUNCTION("""COMPUTED_VALUE"""),19.99)</f>
        <v>19.989999999999998</v>
      </c>
      <c r="F651" s="1">
        <f ca="1">IFERROR(__xludf.DUMMYFUNCTION("""COMPUTED_VALUE"""),4625603)</f>
        <v>4625603</v>
      </c>
    </row>
    <row r="652" spans="1:6" x14ac:dyDescent="0.2">
      <c r="A652" s="2">
        <f ca="1">IFERROR(__xludf.DUMMYFUNCTION("""COMPUTED_VALUE"""),43222.6666666666)</f>
        <v>43222.666666666599</v>
      </c>
      <c r="B652" s="1">
        <f ca="1">IFERROR(__xludf.DUMMYFUNCTION("""COMPUTED_VALUE"""),19.9)</f>
        <v>19.899999999999999</v>
      </c>
      <c r="C652" s="1">
        <f ca="1">IFERROR(__xludf.DUMMYFUNCTION("""COMPUTED_VALUE"""),20.46)</f>
        <v>20.46</v>
      </c>
      <c r="D652" s="1">
        <f ca="1">IFERROR(__xludf.DUMMYFUNCTION("""COMPUTED_VALUE"""),19.85)</f>
        <v>19.850000000000001</v>
      </c>
      <c r="E652" s="1">
        <f ca="1">IFERROR(__xludf.DUMMYFUNCTION("""COMPUTED_VALUE"""),20.08)</f>
        <v>20.079999999999998</v>
      </c>
      <c r="F652" s="1">
        <f ca="1">IFERROR(__xludf.DUMMYFUNCTION("""COMPUTED_VALUE"""),8970370)</f>
        <v>8970370</v>
      </c>
    </row>
    <row r="653" spans="1:6" x14ac:dyDescent="0.2">
      <c r="A653" s="2">
        <f ca="1">IFERROR(__xludf.DUMMYFUNCTION("""COMPUTED_VALUE"""),43223.6666666666)</f>
        <v>43223.666666666599</v>
      </c>
      <c r="B653" s="1">
        <f ca="1">IFERROR(__xludf.DUMMYFUNCTION("""COMPUTED_VALUE"""),18.59)</f>
        <v>18.59</v>
      </c>
      <c r="C653" s="1">
        <f ca="1">IFERROR(__xludf.DUMMYFUNCTION("""COMPUTED_VALUE"""),19.2)</f>
        <v>19.2</v>
      </c>
      <c r="D653" s="1">
        <f ca="1">IFERROR(__xludf.DUMMYFUNCTION("""COMPUTED_VALUE"""),18.35)</f>
        <v>18.350000000000001</v>
      </c>
      <c r="E653" s="1">
        <f ca="1">IFERROR(__xludf.DUMMYFUNCTION("""COMPUTED_VALUE"""),18.96)</f>
        <v>18.96</v>
      </c>
      <c r="F653" s="1">
        <f ca="1">IFERROR(__xludf.DUMMYFUNCTION("""COMPUTED_VALUE"""),17352130)</f>
        <v>17352130</v>
      </c>
    </row>
    <row r="654" spans="1:6" x14ac:dyDescent="0.2">
      <c r="A654" s="2">
        <f ca="1">IFERROR(__xludf.DUMMYFUNCTION("""COMPUTED_VALUE"""),43224.6666666666)</f>
        <v>43224.666666666599</v>
      </c>
      <c r="B654" s="1">
        <f ca="1">IFERROR(__xludf.DUMMYFUNCTION("""COMPUTED_VALUE"""),18.87)</f>
        <v>18.87</v>
      </c>
      <c r="C654" s="1">
        <f ca="1">IFERROR(__xludf.DUMMYFUNCTION("""COMPUTED_VALUE"""),19.79)</f>
        <v>19.79</v>
      </c>
      <c r="D654" s="1">
        <f ca="1">IFERROR(__xludf.DUMMYFUNCTION("""COMPUTED_VALUE"""),18.63)</f>
        <v>18.63</v>
      </c>
      <c r="E654" s="1">
        <f ca="1">IFERROR(__xludf.DUMMYFUNCTION("""COMPUTED_VALUE"""),19.61)</f>
        <v>19.61</v>
      </c>
      <c r="F654" s="1">
        <f ca="1">IFERROR(__xludf.DUMMYFUNCTION("""COMPUTED_VALUE"""),8569354)</f>
        <v>8569354</v>
      </c>
    </row>
    <row r="655" spans="1:6" x14ac:dyDescent="0.2">
      <c r="A655" s="2">
        <f ca="1">IFERROR(__xludf.DUMMYFUNCTION("""COMPUTED_VALUE"""),43227.6666666666)</f>
        <v>43227.666666666599</v>
      </c>
      <c r="B655" s="1">
        <f ca="1">IFERROR(__xludf.DUMMYFUNCTION("""COMPUTED_VALUE"""),19.83)</f>
        <v>19.829999999999998</v>
      </c>
      <c r="C655" s="1">
        <f ca="1">IFERROR(__xludf.DUMMYFUNCTION("""COMPUTED_VALUE"""),20.4)</f>
        <v>20.399999999999999</v>
      </c>
      <c r="D655" s="1">
        <f ca="1">IFERROR(__xludf.DUMMYFUNCTION("""COMPUTED_VALUE"""),19.68)</f>
        <v>19.68</v>
      </c>
      <c r="E655" s="1">
        <f ca="1">IFERROR(__xludf.DUMMYFUNCTION("""COMPUTED_VALUE"""),20.18)</f>
        <v>20.18</v>
      </c>
      <c r="F655" s="1">
        <f ca="1">IFERROR(__xludf.DUMMYFUNCTION("""COMPUTED_VALUE"""),8678224)</f>
        <v>8678224</v>
      </c>
    </row>
    <row r="656" spans="1:6" x14ac:dyDescent="0.2">
      <c r="A656" s="2">
        <f ca="1">IFERROR(__xludf.DUMMYFUNCTION("""COMPUTED_VALUE"""),43228.6666666666)</f>
        <v>43228.666666666599</v>
      </c>
      <c r="B656" s="1">
        <f ca="1">IFERROR(__xludf.DUMMYFUNCTION("""COMPUTED_VALUE"""),20.05)</f>
        <v>20.05</v>
      </c>
      <c r="C656" s="1">
        <f ca="1">IFERROR(__xludf.DUMMYFUNCTION("""COMPUTED_VALUE"""),20.52)</f>
        <v>20.52</v>
      </c>
      <c r="D656" s="1">
        <f ca="1">IFERROR(__xludf.DUMMYFUNCTION("""COMPUTED_VALUE"""),19.93)</f>
        <v>19.93</v>
      </c>
      <c r="E656" s="1">
        <f ca="1">IFERROR(__xludf.DUMMYFUNCTION("""COMPUTED_VALUE"""),20.13)</f>
        <v>20.13</v>
      </c>
      <c r="F656" s="1">
        <f ca="1">IFERROR(__xludf.DUMMYFUNCTION("""COMPUTED_VALUE"""),5930000)</f>
        <v>5930000</v>
      </c>
    </row>
    <row r="657" spans="1:6" x14ac:dyDescent="0.2">
      <c r="A657" s="2">
        <f ca="1">IFERROR(__xludf.DUMMYFUNCTION("""COMPUTED_VALUE"""),43229.6666666666)</f>
        <v>43229.666666666599</v>
      </c>
      <c r="B657" s="1">
        <f ca="1">IFERROR(__xludf.DUMMYFUNCTION("""COMPUTED_VALUE"""),20.03)</f>
        <v>20.03</v>
      </c>
      <c r="C657" s="1">
        <f ca="1">IFERROR(__xludf.DUMMYFUNCTION("""COMPUTED_VALUE"""),20.47)</f>
        <v>20.47</v>
      </c>
      <c r="D657" s="1">
        <f ca="1">IFERROR(__xludf.DUMMYFUNCTION("""COMPUTED_VALUE"""),20)</f>
        <v>20</v>
      </c>
      <c r="E657" s="1">
        <f ca="1">IFERROR(__xludf.DUMMYFUNCTION("""COMPUTED_VALUE"""),20.46)</f>
        <v>20.46</v>
      </c>
      <c r="F657" s="1">
        <f ca="1">IFERROR(__xludf.DUMMYFUNCTION("""COMPUTED_VALUE"""),5727365)</f>
        <v>5727365</v>
      </c>
    </row>
    <row r="658" spans="1:6" x14ac:dyDescent="0.2">
      <c r="A658" s="2">
        <f ca="1">IFERROR(__xludf.DUMMYFUNCTION("""COMPUTED_VALUE"""),43230.6666666666)</f>
        <v>43230.666666666599</v>
      </c>
      <c r="B658" s="1">
        <f ca="1">IFERROR(__xludf.DUMMYFUNCTION("""COMPUTED_VALUE"""),20.5)</f>
        <v>20.5</v>
      </c>
      <c r="C658" s="1">
        <f ca="1">IFERROR(__xludf.DUMMYFUNCTION("""COMPUTED_VALUE"""),20.87)</f>
        <v>20.87</v>
      </c>
      <c r="D658" s="1">
        <f ca="1">IFERROR(__xludf.DUMMYFUNCTION("""COMPUTED_VALUE"""),20.27)</f>
        <v>20.27</v>
      </c>
      <c r="E658" s="1">
        <f ca="1">IFERROR(__xludf.DUMMYFUNCTION("""COMPUTED_VALUE"""),20.33)</f>
        <v>20.329999999999998</v>
      </c>
      <c r="F658" s="1">
        <f ca="1">IFERROR(__xludf.DUMMYFUNCTION("""COMPUTED_VALUE"""),5651561)</f>
        <v>5651561</v>
      </c>
    </row>
    <row r="659" spans="1:6" x14ac:dyDescent="0.2">
      <c r="A659" s="2">
        <f ca="1">IFERROR(__xludf.DUMMYFUNCTION("""COMPUTED_VALUE"""),43231.6666666666)</f>
        <v>43231.666666666599</v>
      </c>
      <c r="B659" s="1">
        <f ca="1">IFERROR(__xludf.DUMMYFUNCTION("""COMPUTED_VALUE"""),20.51)</f>
        <v>20.51</v>
      </c>
      <c r="C659" s="1">
        <f ca="1">IFERROR(__xludf.DUMMYFUNCTION("""COMPUTED_VALUE"""),20.59)</f>
        <v>20.59</v>
      </c>
      <c r="D659" s="1">
        <f ca="1">IFERROR(__xludf.DUMMYFUNCTION("""COMPUTED_VALUE"""),19.94)</f>
        <v>19.940000000000001</v>
      </c>
      <c r="E659" s="1">
        <f ca="1">IFERROR(__xludf.DUMMYFUNCTION("""COMPUTED_VALUE"""),20.07)</f>
        <v>20.07</v>
      </c>
      <c r="F659" s="1">
        <f ca="1">IFERROR(__xludf.DUMMYFUNCTION("""COMPUTED_VALUE"""),4679649)</f>
        <v>4679649</v>
      </c>
    </row>
    <row r="660" spans="1:6" x14ac:dyDescent="0.2">
      <c r="A660" s="2">
        <f ca="1">IFERROR(__xludf.DUMMYFUNCTION("""COMPUTED_VALUE"""),43234.6666666666)</f>
        <v>43234.666666666599</v>
      </c>
      <c r="B660" s="1">
        <f ca="1">IFERROR(__xludf.DUMMYFUNCTION("""COMPUTED_VALUE"""),20.22)</f>
        <v>20.22</v>
      </c>
      <c r="C660" s="1">
        <f ca="1">IFERROR(__xludf.DUMMYFUNCTION("""COMPUTED_VALUE"""),20.33)</f>
        <v>20.329999999999998</v>
      </c>
      <c r="D660" s="1">
        <f ca="1">IFERROR(__xludf.DUMMYFUNCTION("""COMPUTED_VALUE"""),19.44)</f>
        <v>19.440000000000001</v>
      </c>
      <c r="E660" s="1">
        <f ca="1">IFERROR(__xludf.DUMMYFUNCTION("""COMPUTED_VALUE"""),19.46)</f>
        <v>19.46</v>
      </c>
      <c r="F660" s="1">
        <f ca="1">IFERROR(__xludf.DUMMYFUNCTION("""COMPUTED_VALUE"""),7286804)</f>
        <v>7286804</v>
      </c>
    </row>
    <row r="661" spans="1:6" x14ac:dyDescent="0.2">
      <c r="A661" s="2">
        <f ca="1">IFERROR(__xludf.DUMMYFUNCTION("""COMPUTED_VALUE"""),43235.6666666666)</f>
        <v>43235.666666666599</v>
      </c>
      <c r="B661" s="1">
        <f ca="1">IFERROR(__xludf.DUMMYFUNCTION("""COMPUTED_VALUE"""),19)</f>
        <v>19</v>
      </c>
      <c r="C661" s="1">
        <f ca="1">IFERROR(__xludf.DUMMYFUNCTION("""COMPUTED_VALUE"""),19.13)</f>
        <v>19.13</v>
      </c>
      <c r="D661" s="1">
        <f ca="1">IFERROR(__xludf.DUMMYFUNCTION("""COMPUTED_VALUE"""),18.7)</f>
        <v>18.7</v>
      </c>
      <c r="E661" s="1">
        <f ca="1">IFERROR(__xludf.DUMMYFUNCTION("""COMPUTED_VALUE"""),18.95)</f>
        <v>18.95</v>
      </c>
      <c r="F661" s="1">
        <f ca="1">IFERROR(__xludf.DUMMYFUNCTION("""COMPUTED_VALUE"""),9519173)</f>
        <v>9519173</v>
      </c>
    </row>
    <row r="662" spans="1:6" x14ac:dyDescent="0.2">
      <c r="A662" s="2">
        <f ca="1">IFERROR(__xludf.DUMMYFUNCTION("""COMPUTED_VALUE"""),43236.6666666666)</f>
        <v>43236.666666666599</v>
      </c>
      <c r="B662" s="1">
        <f ca="1">IFERROR(__xludf.DUMMYFUNCTION("""COMPUTED_VALUE"""),18.92)</f>
        <v>18.920000000000002</v>
      </c>
      <c r="C662" s="1">
        <f ca="1">IFERROR(__xludf.DUMMYFUNCTION("""COMPUTED_VALUE"""),19.25)</f>
        <v>19.25</v>
      </c>
      <c r="D662" s="1">
        <f ca="1">IFERROR(__xludf.DUMMYFUNCTION("""COMPUTED_VALUE"""),18.77)</f>
        <v>18.77</v>
      </c>
      <c r="E662" s="1">
        <f ca="1">IFERROR(__xludf.DUMMYFUNCTION("""COMPUTED_VALUE"""),19.1)</f>
        <v>19.100000000000001</v>
      </c>
      <c r="F662" s="1">
        <f ca="1">IFERROR(__xludf.DUMMYFUNCTION("""COMPUTED_VALUE"""),5674019)</f>
        <v>5674019</v>
      </c>
    </row>
    <row r="663" spans="1:6" x14ac:dyDescent="0.2">
      <c r="A663" s="2">
        <f ca="1">IFERROR(__xludf.DUMMYFUNCTION("""COMPUTED_VALUE"""),43237.6666666666)</f>
        <v>43237.666666666599</v>
      </c>
      <c r="B663" s="1">
        <f ca="1">IFERROR(__xludf.DUMMYFUNCTION("""COMPUTED_VALUE"""),19.06)</f>
        <v>19.059999999999999</v>
      </c>
      <c r="C663" s="1">
        <f ca="1">IFERROR(__xludf.DUMMYFUNCTION("""COMPUTED_VALUE"""),19.28)</f>
        <v>19.28</v>
      </c>
      <c r="D663" s="1">
        <f ca="1">IFERROR(__xludf.DUMMYFUNCTION("""COMPUTED_VALUE"""),18.93)</f>
        <v>18.93</v>
      </c>
      <c r="E663" s="1">
        <f ca="1">IFERROR(__xludf.DUMMYFUNCTION("""COMPUTED_VALUE"""),18.97)</f>
        <v>18.97</v>
      </c>
      <c r="F663" s="1">
        <f ca="1">IFERROR(__xludf.DUMMYFUNCTION("""COMPUTED_VALUE"""),4420612)</f>
        <v>4420612</v>
      </c>
    </row>
    <row r="664" spans="1:6" x14ac:dyDescent="0.2">
      <c r="A664" s="2">
        <f ca="1">IFERROR(__xludf.DUMMYFUNCTION("""COMPUTED_VALUE"""),43238.6666666666)</f>
        <v>43238.666666666599</v>
      </c>
      <c r="B664" s="1">
        <f ca="1">IFERROR(__xludf.DUMMYFUNCTION("""COMPUTED_VALUE"""),19.06)</f>
        <v>19.059999999999999</v>
      </c>
      <c r="C664" s="1">
        <f ca="1">IFERROR(__xludf.DUMMYFUNCTION("""COMPUTED_VALUE"""),19.28)</f>
        <v>19.28</v>
      </c>
      <c r="D664" s="1">
        <f ca="1">IFERROR(__xludf.DUMMYFUNCTION("""COMPUTED_VALUE"""),18.93)</f>
        <v>18.93</v>
      </c>
      <c r="E664" s="1">
        <f ca="1">IFERROR(__xludf.DUMMYFUNCTION("""COMPUTED_VALUE"""),18.97)</f>
        <v>18.97</v>
      </c>
      <c r="F664" s="1">
        <f ca="1">IFERROR(__xludf.DUMMYFUNCTION("""COMPUTED_VALUE"""),27062)</f>
        <v>27062</v>
      </c>
    </row>
    <row r="665" spans="1:6" x14ac:dyDescent="0.2">
      <c r="A665" s="2">
        <f ca="1">IFERROR(__xludf.DUMMYFUNCTION("""COMPUTED_VALUE"""),43241.6666666666)</f>
        <v>43241.666666666599</v>
      </c>
      <c r="B665" s="1">
        <f ca="1">IFERROR(__xludf.DUMMYFUNCTION("""COMPUTED_VALUE"""),18.76)</f>
        <v>18.760000000000002</v>
      </c>
      <c r="C665" s="1">
        <f ca="1">IFERROR(__xludf.DUMMYFUNCTION("""COMPUTED_VALUE"""),19.43)</f>
        <v>19.43</v>
      </c>
      <c r="D665" s="1">
        <f ca="1">IFERROR(__xludf.DUMMYFUNCTION("""COMPUTED_VALUE"""),18.75)</f>
        <v>18.75</v>
      </c>
      <c r="E665" s="1">
        <f ca="1">IFERROR(__xludf.DUMMYFUNCTION("""COMPUTED_VALUE"""),18.97)</f>
        <v>18.97</v>
      </c>
      <c r="F665" s="1">
        <f ca="1">IFERROR(__xludf.DUMMYFUNCTION("""COMPUTED_VALUE"""),9182571)</f>
        <v>9182571</v>
      </c>
    </row>
    <row r="666" spans="1:6" x14ac:dyDescent="0.2">
      <c r="A666" s="2">
        <f ca="1">IFERROR(__xludf.DUMMYFUNCTION("""COMPUTED_VALUE"""),43242.6666666666)</f>
        <v>43242.666666666599</v>
      </c>
      <c r="B666" s="1">
        <f ca="1">IFERROR(__xludf.DUMMYFUNCTION("""COMPUTED_VALUE"""),19.18)</f>
        <v>19.18</v>
      </c>
      <c r="C666" s="1">
        <f ca="1">IFERROR(__xludf.DUMMYFUNCTION("""COMPUTED_VALUE"""),19.2)</f>
        <v>19.2</v>
      </c>
      <c r="D666" s="1">
        <f ca="1">IFERROR(__xludf.DUMMYFUNCTION("""COMPUTED_VALUE"""),18.23)</f>
        <v>18.23</v>
      </c>
      <c r="E666" s="1">
        <f ca="1">IFERROR(__xludf.DUMMYFUNCTION("""COMPUTED_VALUE"""),18.33)</f>
        <v>18.329999999999998</v>
      </c>
      <c r="F666" s="1">
        <f ca="1">IFERROR(__xludf.DUMMYFUNCTION("""COMPUTED_VALUE"""),8945756)</f>
        <v>8945756</v>
      </c>
    </row>
    <row r="667" spans="1:6" x14ac:dyDescent="0.2">
      <c r="A667" s="2">
        <f ca="1">IFERROR(__xludf.DUMMYFUNCTION("""COMPUTED_VALUE"""),43243.6666666666)</f>
        <v>43243.666666666599</v>
      </c>
      <c r="B667" s="1">
        <f ca="1">IFERROR(__xludf.DUMMYFUNCTION("""COMPUTED_VALUE"""),18.52)</f>
        <v>18.52</v>
      </c>
      <c r="C667" s="1">
        <f ca="1">IFERROR(__xludf.DUMMYFUNCTION("""COMPUTED_VALUE"""),18.66)</f>
        <v>18.66</v>
      </c>
      <c r="D667" s="1">
        <f ca="1">IFERROR(__xludf.DUMMYFUNCTION("""COMPUTED_VALUE"""),18.27)</f>
        <v>18.27</v>
      </c>
      <c r="E667" s="1">
        <f ca="1">IFERROR(__xludf.DUMMYFUNCTION("""COMPUTED_VALUE"""),18.6)</f>
        <v>18.600000000000001</v>
      </c>
      <c r="F667" s="1">
        <f ca="1">IFERROR(__xludf.DUMMYFUNCTION("""COMPUTED_VALUE"""),5985053)</f>
        <v>5985053</v>
      </c>
    </row>
    <row r="668" spans="1:6" x14ac:dyDescent="0.2">
      <c r="A668" s="2">
        <f ca="1">IFERROR(__xludf.DUMMYFUNCTION("""COMPUTED_VALUE"""),43244.6666666666)</f>
        <v>43244.666666666599</v>
      </c>
      <c r="B668" s="1">
        <f ca="1">IFERROR(__xludf.DUMMYFUNCTION("""COMPUTED_VALUE"""),18.56)</f>
        <v>18.559999999999999</v>
      </c>
      <c r="C668" s="1">
        <f ca="1">IFERROR(__xludf.DUMMYFUNCTION("""COMPUTED_VALUE"""),18.74)</f>
        <v>18.739999999999998</v>
      </c>
      <c r="D668" s="1">
        <f ca="1">IFERROR(__xludf.DUMMYFUNCTION("""COMPUTED_VALUE"""),18.33)</f>
        <v>18.329999999999998</v>
      </c>
      <c r="E668" s="1">
        <f ca="1">IFERROR(__xludf.DUMMYFUNCTION("""COMPUTED_VALUE"""),18.52)</f>
        <v>18.52</v>
      </c>
      <c r="F668" s="1">
        <f ca="1">IFERROR(__xludf.DUMMYFUNCTION("""COMPUTED_VALUE"""),4176708)</f>
        <v>4176708</v>
      </c>
    </row>
    <row r="669" spans="1:6" x14ac:dyDescent="0.2">
      <c r="A669" s="2">
        <f ca="1">IFERROR(__xludf.DUMMYFUNCTION("""COMPUTED_VALUE"""),43245.6666666666)</f>
        <v>43245.666666666599</v>
      </c>
      <c r="B669" s="1">
        <f ca="1">IFERROR(__xludf.DUMMYFUNCTION("""COMPUTED_VALUE"""),18.51)</f>
        <v>18.510000000000002</v>
      </c>
      <c r="C669" s="1">
        <f ca="1">IFERROR(__xludf.DUMMYFUNCTION("""COMPUTED_VALUE"""),18.64)</f>
        <v>18.64</v>
      </c>
      <c r="D669" s="1">
        <f ca="1">IFERROR(__xludf.DUMMYFUNCTION("""COMPUTED_VALUE"""),18.37)</f>
        <v>18.37</v>
      </c>
      <c r="E669" s="1">
        <f ca="1">IFERROR(__xludf.DUMMYFUNCTION("""COMPUTED_VALUE"""),18.59)</f>
        <v>18.59</v>
      </c>
      <c r="F669" s="1">
        <f ca="1">IFERROR(__xludf.DUMMYFUNCTION("""COMPUTED_VALUE"""),3875082)</f>
        <v>3875082</v>
      </c>
    </row>
    <row r="670" spans="1:6" x14ac:dyDescent="0.2">
      <c r="A670" s="2">
        <f ca="1">IFERROR(__xludf.DUMMYFUNCTION("""COMPUTED_VALUE"""),43249.6666666666)</f>
        <v>43249.666666666599</v>
      </c>
      <c r="B670" s="1">
        <f ca="1">IFERROR(__xludf.DUMMYFUNCTION("""COMPUTED_VALUE"""),18.57)</f>
        <v>18.57</v>
      </c>
      <c r="C670" s="1">
        <f ca="1">IFERROR(__xludf.DUMMYFUNCTION("""COMPUTED_VALUE"""),19.1)</f>
        <v>19.100000000000001</v>
      </c>
      <c r="D670" s="1">
        <f ca="1">IFERROR(__xludf.DUMMYFUNCTION("""COMPUTED_VALUE"""),18.41)</f>
        <v>18.41</v>
      </c>
      <c r="E670" s="1">
        <f ca="1">IFERROR(__xludf.DUMMYFUNCTION("""COMPUTED_VALUE"""),18.92)</f>
        <v>18.920000000000002</v>
      </c>
      <c r="F670" s="1">
        <f ca="1">IFERROR(__xludf.DUMMYFUNCTION("""COMPUTED_VALUE"""),5666640)</f>
        <v>5666640</v>
      </c>
    </row>
    <row r="671" spans="1:6" x14ac:dyDescent="0.2">
      <c r="A671" s="2">
        <f ca="1">IFERROR(__xludf.DUMMYFUNCTION("""COMPUTED_VALUE"""),43250.6666666666)</f>
        <v>43250.666666666599</v>
      </c>
      <c r="B671" s="1">
        <f ca="1">IFERROR(__xludf.DUMMYFUNCTION("""COMPUTED_VALUE"""),18.89)</f>
        <v>18.89</v>
      </c>
      <c r="C671" s="1">
        <f ca="1">IFERROR(__xludf.DUMMYFUNCTION("""COMPUTED_VALUE"""),19.67)</f>
        <v>19.670000000000002</v>
      </c>
      <c r="D671" s="1">
        <f ca="1">IFERROR(__xludf.DUMMYFUNCTION("""COMPUTED_VALUE"""),18.77)</f>
        <v>18.77</v>
      </c>
      <c r="E671" s="1">
        <f ca="1">IFERROR(__xludf.DUMMYFUNCTION("""COMPUTED_VALUE"""),19.45)</f>
        <v>19.45</v>
      </c>
      <c r="F671" s="1">
        <f ca="1">IFERROR(__xludf.DUMMYFUNCTION("""COMPUTED_VALUE"""),7489686)</f>
        <v>7489686</v>
      </c>
    </row>
    <row r="672" spans="1:6" x14ac:dyDescent="0.2">
      <c r="A672" s="2">
        <f ca="1">IFERROR(__xludf.DUMMYFUNCTION("""COMPUTED_VALUE"""),43251.6666666666)</f>
        <v>43251.666666666599</v>
      </c>
      <c r="B672" s="1">
        <f ca="1">IFERROR(__xludf.DUMMYFUNCTION("""COMPUTED_VALUE"""),19.15)</f>
        <v>19.149999999999999</v>
      </c>
      <c r="C672" s="1">
        <f ca="1">IFERROR(__xludf.DUMMYFUNCTION("""COMPUTED_VALUE"""),19.36)</f>
        <v>19.36</v>
      </c>
      <c r="D672" s="1">
        <f ca="1">IFERROR(__xludf.DUMMYFUNCTION("""COMPUTED_VALUE"""),18.86)</f>
        <v>18.86</v>
      </c>
      <c r="E672" s="1">
        <f ca="1">IFERROR(__xludf.DUMMYFUNCTION("""COMPUTED_VALUE"""),18.98)</f>
        <v>18.98</v>
      </c>
      <c r="F672" s="1">
        <f ca="1">IFERROR(__xludf.DUMMYFUNCTION("""COMPUTED_VALUE"""),5919721)</f>
        <v>5919721</v>
      </c>
    </row>
    <row r="673" spans="1:6" x14ac:dyDescent="0.2">
      <c r="A673" s="2">
        <f ca="1">IFERROR(__xludf.DUMMYFUNCTION("""COMPUTED_VALUE"""),43252.6666666666)</f>
        <v>43252.666666666599</v>
      </c>
      <c r="B673" s="1">
        <f ca="1">IFERROR(__xludf.DUMMYFUNCTION("""COMPUTED_VALUE"""),19.06)</f>
        <v>19.059999999999999</v>
      </c>
      <c r="C673" s="1">
        <f ca="1">IFERROR(__xludf.DUMMYFUNCTION("""COMPUTED_VALUE"""),19.46)</f>
        <v>19.46</v>
      </c>
      <c r="D673" s="1">
        <f ca="1">IFERROR(__xludf.DUMMYFUNCTION("""COMPUTED_VALUE"""),18.92)</f>
        <v>18.920000000000002</v>
      </c>
      <c r="E673" s="1">
        <f ca="1">IFERROR(__xludf.DUMMYFUNCTION("""COMPUTED_VALUE"""),19.45)</f>
        <v>19.45</v>
      </c>
      <c r="F673" s="1">
        <f ca="1">IFERROR(__xludf.DUMMYFUNCTION("""COMPUTED_VALUE"""),5424386)</f>
        <v>5424386</v>
      </c>
    </row>
    <row r="674" spans="1:6" x14ac:dyDescent="0.2">
      <c r="A674" s="2">
        <f ca="1">IFERROR(__xludf.DUMMYFUNCTION("""COMPUTED_VALUE"""),43255.6666666666)</f>
        <v>43255.666666666599</v>
      </c>
      <c r="B674" s="1">
        <f ca="1">IFERROR(__xludf.DUMMYFUNCTION("""COMPUTED_VALUE"""),19.62)</f>
        <v>19.62</v>
      </c>
      <c r="C674" s="1">
        <f ca="1">IFERROR(__xludf.DUMMYFUNCTION("""COMPUTED_VALUE"""),19.93)</f>
        <v>19.93</v>
      </c>
      <c r="D674" s="1">
        <f ca="1">IFERROR(__xludf.DUMMYFUNCTION("""COMPUTED_VALUE"""),19.57)</f>
        <v>19.57</v>
      </c>
      <c r="E674" s="1">
        <f ca="1">IFERROR(__xludf.DUMMYFUNCTION("""COMPUTED_VALUE"""),19.78)</f>
        <v>19.78</v>
      </c>
      <c r="F674" s="1">
        <f ca="1">IFERROR(__xludf.DUMMYFUNCTION("""COMPUTED_VALUE"""),4797810)</f>
        <v>4797810</v>
      </c>
    </row>
    <row r="675" spans="1:6" x14ac:dyDescent="0.2">
      <c r="A675" s="2">
        <f ca="1">IFERROR(__xludf.DUMMYFUNCTION("""COMPUTED_VALUE"""),43256.6666666666)</f>
        <v>43256.666666666599</v>
      </c>
      <c r="B675" s="1">
        <f ca="1">IFERROR(__xludf.DUMMYFUNCTION("""COMPUTED_VALUE"""),19.85)</f>
        <v>19.850000000000001</v>
      </c>
      <c r="C675" s="1">
        <f ca="1">IFERROR(__xludf.DUMMYFUNCTION("""COMPUTED_VALUE"""),19.85)</f>
        <v>19.850000000000001</v>
      </c>
      <c r="D675" s="1">
        <f ca="1">IFERROR(__xludf.DUMMYFUNCTION("""COMPUTED_VALUE"""),19.12)</f>
        <v>19.12</v>
      </c>
      <c r="E675" s="1">
        <f ca="1">IFERROR(__xludf.DUMMYFUNCTION("""COMPUTED_VALUE"""),19.41)</f>
        <v>19.41</v>
      </c>
      <c r="F675" s="1">
        <f ca="1">IFERROR(__xludf.DUMMYFUNCTION("""COMPUTED_VALUE"""),5995157)</f>
        <v>5995157</v>
      </c>
    </row>
    <row r="676" spans="1:6" x14ac:dyDescent="0.2">
      <c r="A676" s="2">
        <f ca="1">IFERROR(__xludf.DUMMYFUNCTION("""COMPUTED_VALUE"""),43257.6666666666)</f>
        <v>43257.666666666599</v>
      </c>
      <c r="B676" s="1">
        <f ca="1">IFERROR(__xludf.DUMMYFUNCTION("""COMPUTED_VALUE"""),20.03)</f>
        <v>20.03</v>
      </c>
      <c r="C676" s="1">
        <f ca="1">IFERROR(__xludf.DUMMYFUNCTION("""COMPUTED_VALUE"""),21.48)</f>
        <v>21.48</v>
      </c>
      <c r="D676" s="1">
        <f ca="1">IFERROR(__xludf.DUMMYFUNCTION("""COMPUTED_VALUE"""),19.83)</f>
        <v>19.829999999999998</v>
      </c>
      <c r="E676" s="1">
        <f ca="1">IFERROR(__xludf.DUMMYFUNCTION("""COMPUTED_VALUE"""),21.3)</f>
        <v>21.3</v>
      </c>
      <c r="F676" s="1">
        <f ca="1">IFERROR(__xludf.DUMMYFUNCTION("""COMPUTED_VALUE"""),18767269)</f>
        <v>18767269</v>
      </c>
    </row>
    <row r="677" spans="1:6" x14ac:dyDescent="0.2">
      <c r="A677" s="2">
        <f ca="1">IFERROR(__xludf.DUMMYFUNCTION("""COMPUTED_VALUE"""),43258.6666666666)</f>
        <v>43258.666666666599</v>
      </c>
      <c r="B677" s="1">
        <f ca="1">IFERROR(__xludf.DUMMYFUNCTION("""COMPUTED_VALUE"""),21.08)</f>
        <v>21.08</v>
      </c>
      <c r="C677" s="1">
        <f ca="1">IFERROR(__xludf.DUMMYFUNCTION("""COMPUTED_VALUE"""),22)</f>
        <v>22</v>
      </c>
      <c r="D677" s="1">
        <f ca="1">IFERROR(__xludf.DUMMYFUNCTION("""COMPUTED_VALUE"""),20.91)</f>
        <v>20.91</v>
      </c>
      <c r="E677" s="1">
        <f ca="1">IFERROR(__xludf.DUMMYFUNCTION("""COMPUTED_VALUE"""),21.07)</f>
        <v>21.07</v>
      </c>
      <c r="F677" s="1">
        <f ca="1">IFERROR(__xludf.DUMMYFUNCTION("""COMPUTED_VALUE"""),14345271)</f>
        <v>14345271</v>
      </c>
    </row>
    <row r="678" spans="1:6" x14ac:dyDescent="0.2">
      <c r="A678" s="2">
        <f ca="1">IFERROR(__xludf.DUMMYFUNCTION("""COMPUTED_VALUE"""),43259.6666666666)</f>
        <v>43259.666666666599</v>
      </c>
      <c r="B678" s="1">
        <f ca="1">IFERROR(__xludf.DUMMYFUNCTION("""COMPUTED_VALUE"""),21.27)</f>
        <v>21.27</v>
      </c>
      <c r="C678" s="1">
        <f ca="1">IFERROR(__xludf.DUMMYFUNCTION("""COMPUTED_VALUE"""),21.63)</f>
        <v>21.63</v>
      </c>
      <c r="D678" s="1">
        <f ca="1">IFERROR(__xludf.DUMMYFUNCTION("""COMPUTED_VALUE"""),21.14)</f>
        <v>21.14</v>
      </c>
      <c r="E678" s="1">
        <f ca="1">IFERROR(__xludf.DUMMYFUNCTION("""COMPUTED_VALUE"""),21.18)</f>
        <v>21.18</v>
      </c>
      <c r="F678" s="1">
        <f ca="1">IFERROR(__xludf.DUMMYFUNCTION("""COMPUTED_VALUE"""),8205202)</f>
        <v>8205202</v>
      </c>
    </row>
    <row r="679" spans="1:6" x14ac:dyDescent="0.2">
      <c r="A679" s="2">
        <f ca="1">IFERROR(__xludf.DUMMYFUNCTION("""COMPUTED_VALUE"""),43262.6666666666)</f>
        <v>43262.666666666599</v>
      </c>
      <c r="B679" s="1">
        <f ca="1">IFERROR(__xludf.DUMMYFUNCTION("""COMPUTED_VALUE"""),21.5)</f>
        <v>21.5</v>
      </c>
      <c r="C679" s="1">
        <f ca="1">IFERROR(__xludf.DUMMYFUNCTION("""COMPUTED_VALUE"""),22.31)</f>
        <v>22.31</v>
      </c>
      <c r="D679" s="1">
        <f ca="1">IFERROR(__xludf.DUMMYFUNCTION("""COMPUTED_VALUE"""),21.5)</f>
        <v>21.5</v>
      </c>
      <c r="E679" s="1">
        <f ca="1">IFERROR(__xludf.DUMMYFUNCTION("""COMPUTED_VALUE"""),22.14)</f>
        <v>22.14</v>
      </c>
      <c r="F679" s="1">
        <f ca="1">IFERROR(__xludf.DUMMYFUNCTION("""COMPUTED_VALUE"""),13183473)</f>
        <v>13183473</v>
      </c>
    </row>
    <row r="680" spans="1:6" x14ac:dyDescent="0.2">
      <c r="A680" s="2">
        <f ca="1">IFERROR(__xludf.DUMMYFUNCTION("""COMPUTED_VALUE"""),43263.6666666666)</f>
        <v>43263.666666666599</v>
      </c>
      <c r="B680" s="1">
        <f ca="1">IFERROR(__xludf.DUMMYFUNCTION("""COMPUTED_VALUE"""),22.98)</f>
        <v>22.98</v>
      </c>
      <c r="C680" s="1">
        <f ca="1">IFERROR(__xludf.DUMMYFUNCTION("""COMPUTED_VALUE"""),23.66)</f>
        <v>23.66</v>
      </c>
      <c r="D680" s="1">
        <f ca="1">IFERROR(__xludf.DUMMYFUNCTION("""COMPUTED_VALUE"""),22.53)</f>
        <v>22.53</v>
      </c>
      <c r="E680" s="1">
        <f ca="1">IFERROR(__xludf.DUMMYFUNCTION("""COMPUTED_VALUE"""),22.85)</f>
        <v>22.85</v>
      </c>
      <c r="F680" s="1">
        <f ca="1">IFERROR(__xludf.DUMMYFUNCTION("""COMPUTED_VALUE"""),22347403)</f>
        <v>22347403</v>
      </c>
    </row>
    <row r="681" spans="1:6" x14ac:dyDescent="0.2">
      <c r="A681" s="2">
        <f ca="1">IFERROR(__xludf.DUMMYFUNCTION("""COMPUTED_VALUE"""),43264.6666666666)</f>
        <v>43264.666666666599</v>
      </c>
      <c r="B681" s="1">
        <f ca="1">IFERROR(__xludf.DUMMYFUNCTION("""COMPUTED_VALUE"""),23.11)</f>
        <v>23.11</v>
      </c>
      <c r="C681" s="1">
        <f ca="1">IFERROR(__xludf.DUMMYFUNCTION("""COMPUTED_VALUE"""),23.15)</f>
        <v>23.15</v>
      </c>
      <c r="D681" s="1">
        <f ca="1">IFERROR(__xludf.DUMMYFUNCTION("""COMPUTED_VALUE"""),22.65)</f>
        <v>22.65</v>
      </c>
      <c r="E681" s="1">
        <f ca="1">IFERROR(__xludf.DUMMYFUNCTION("""COMPUTED_VALUE"""),22.99)</f>
        <v>22.99</v>
      </c>
      <c r="F681" s="1">
        <f ca="1">IFERROR(__xludf.DUMMYFUNCTION("""COMPUTED_VALUE"""),9469804)</f>
        <v>9469804</v>
      </c>
    </row>
    <row r="682" spans="1:6" x14ac:dyDescent="0.2">
      <c r="A682" s="2">
        <f ca="1">IFERROR(__xludf.DUMMYFUNCTION("""COMPUTED_VALUE"""),43265.6666666666)</f>
        <v>43265.666666666599</v>
      </c>
      <c r="B682" s="1">
        <f ca="1">IFERROR(__xludf.DUMMYFUNCTION("""COMPUTED_VALUE"""),23.18)</f>
        <v>23.18</v>
      </c>
      <c r="C682" s="1">
        <f ca="1">IFERROR(__xludf.DUMMYFUNCTION("""COMPUTED_VALUE"""),23.92)</f>
        <v>23.92</v>
      </c>
      <c r="D682" s="1">
        <f ca="1">IFERROR(__xludf.DUMMYFUNCTION("""COMPUTED_VALUE"""),23.11)</f>
        <v>23.11</v>
      </c>
      <c r="E682" s="1">
        <f ca="1">IFERROR(__xludf.DUMMYFUNCTION("""COMPUTED_VALUE"""),23.85)</f>
        <v>23.85</v>
      </c>
      <c r="F682" s="1">
        <f ca="1">IFERROR(__xludf.DUMMYFUNCTION("""COMPUTED_VALUE"""),10981023)</f>
        <v>10981023</v>
      </c>
    </row>
    <row r="683" spans="1:6" x14ac:dyDescent="0.2">
      <c r="A683" s="2">
        <f ca="1">IFERROR(__xludf.DUMMYFUNCTION("""COMPUTED_VALUE"""),43266.6666666666)</f>
        <v>43266.666666666599</v>
      </c>
      <c r="B683" s="1">
        <f ca="1">IFERROR(__xludf.DUMMYFUNCTION("""COMPUTED_VALUE"""),23.59)</f>
        <v>23.59</v>
      </c>
      <c r="C683" s="1">
        <f ca="1">IFERROR(__xludf.DUMMYFUNCTION("""COMPUTED_VALUE"""),24.31)</f>
        <v>24.31</v>
      </c>
      <c r="D683" s="1">
        <f ca="1">IFERROR(__xludf.DUMMYFUNCTION("""COMPUTED_VALUE"""),23.42)</f>
        <v>23.42</v>
      </c>
      <c r="E683" s="1">
        <f ca="1">IFERROR(__xludf.DUMMYFUNCTION("""COMPUTED_VALUE"""),23.88)</f>
        <v>23.88</v>
      </c>
      <c r="F683" s="1">
        <f ca="1">IFERROR(__xludf.DUMMYFUNCTION("""COMPUTED_VALUE"""),10848254)</f>
        <v>10848254</v>
      </c>
    </row>
    <row r="684" spans="1:6" x14ac:dyDescent="0.2">
      <c r="A684" s="2">
        <f ca="1">IFERROR(__xludf.DUMMYFUNCTION("""COMPUTED_VALUE"""),43269.6666666666)</f>
        <v>43269.666666666599</v>
      </c>
      <c r="B684" s="1">
        <f ca="1">IFERROR(__xludf.DUMMYFUNCTION("""COMPUTED_VALUE"""),23.69)</f>
        <v>23.69</v>
      </c>
      <c r="C684" s="1">
        <f ca="1">IFERROR(__xludf.DUMMYFUNCTION("""COMPUTED_VALUE"""),24.92)</f>
        <v>24.92</v>
      </c>
      <c r="D684" s="1">
        <f ca="1">IFERROR(__xludf.DUMMYFUNCTION("""COMPUTED_VALUE"""),23.63)</f>
        <v>23.63</v>
      </c>
      <c r="E684" s="1">
        <f ca="1">IFERROR(__xludf.DUMMYFUNCTION("""COMPUTED_VALUE"""),24.72)</f>
        <v>24.72</v>
      </c>
      <c r="F684" s="1">
        <f ca="1">IFERROR(__xludf.DUMMYFUNCTION("""COMPUTED_VALUE"""),12073226)</f>
        <v>12073226</v>
      </c>
    </row>
    <row r="685" spans="1:6" x14ac:dyDescent="0.2">
      <c r="A685" s="2">
        <f ca="1">IFERROR(__xludf.DUMMYFUNCTION("""COMPUTED_VALUE"""),43270.6666666666)</f>
        <v>43270.666666666599</v>
      </c>
      <c r="B685" s="1">
        <f ca="1">IFERROR(__xludf.DUMMYFUNCTION("""COMPUTED_VALUE"""),24.34)</f>
        <v>24.34</v>
      </c>
      <c r="C685" s="1">
        <f ca="1">IFERROR(__xludf.DUMMYFUNCTION("""COMPUTED_VALUE"""),24.67)</f>
        <v>24.67</v>
      </c>
      <c r="D685" s="1">
        <f ca="1">IFERROR(__xludf.DUMMYFUNCTION("""COMPUTED_VALUE"""),23.08)</f>
        <v>23.08</v>
      </c>
      <c r="E685" s="1">
        <f ca="1">IFERROR(__xludf.DUMMYFUNCTION("""COMPUTED_VALUE"""),23.5)</f>
        <v>23.5</v>
      </c>
      <c r="F685" s="1">
        <f ca="1">IFERROR(__xludf.DUMMYFUNCTION("""COMPUTED_VALUE"""),12761903)</f>
        <v>12761903</v>
      </c>
    </row>
    <row r="686" spans="1:6" x14ac:dyDescent="0.2">
      <c r="A686" s="2">
        <f ca="1">IFERROR(__xludf.DUMMYFUNCTION("""COMPUTED_VALUE"""),43271.6666666666)</f>
        <v>43271.666666666599</v>
      </c>
      <c r="B686" s="1">
        <f ca="1">IFERROR(__xludf.DUMMYFUNCTION("""COMPUTED_VALUE"""),23.87)</f>
        <v>23.87</v>
      </c>
      <c r="C686" s="1">
        <f ca="1">IFERROR(__xludf.DUMMYFUNCTION("""COMPUTED_VALUE"""),24.29)</f>
        <v>24.29</v>
      </c>
      <c r="D686" s="1">
        <f ca="1">IFERROR(__xludf.DUMMYFUNCTION("""COMPUTED_VALUE"""),23.47)</f>
        <v>23.47</v>
      </c>
      <c r="E686" s="1">
        <f ca="1">IFERROR(__xludf.DUMMYFUNCTION("""COMPUTED_VALUE"""),24.15)</f>
        <v>24.15</v>
      </c>
      <c r="F686" s="1">
        <f ca="1">IFERROR(__xludf.DUMMYFUNCTION("""COMPUTED_VALUE"""),8383656)</f>
        <v>8383656</v>
      </c>
    </row>
    <row r="687" spans="1:6" x14ac:dyDescent="0.2">
      <c r="A687" s="2">
        <f ca="1">IFERROR(__xludf.DUMMYFUNCTION("""COMPUTED_VALUE"""),43272.6666666666)</f>
        <v>43272.666666666599</v>
      </c>
      <c r="B687" s="1">
        <f ca="1">IFERROR(__xludf.DUMMYFUNCTION("""COMPUTED_VALUE"""),24.13)</f>
        <v>24.13</v>
      </c>
      <c r="C687" s="1">
        <f ca="1">IFERROR(__xludf.DUMMYFUNCTION("""COMPUTED_VALUE"""),24.41)</f>
        <v>24.41</v>
      </c>
      <c r="D687" s="1">
        <f ca="1">IFERROR(__xludf.DUMMYFUNCTION("""COMPUTED_VALUE"""),23.08)</f>
        <v>23.08</v>
      </c>
      <c r="E687" s="1">
        <f ca="1">IFERROR(__xludf.DUMMYFUNCTION("""COMPUTED_VALUE"""),23.17)</f>
        <v>23.17</v>
      </c>
      <c r="F687" s="1">
        <f ca="1">IFERROR(__xludf.DUMMYFUNCTION("""COMPUTED_VALUE"""),7967145)</f>
        <v>7967145</v>
      </c>
    </row>
    <row r="688" spans="1:6" x14ac:dyDescent="0.2">
      <c r="A688" s="2">
        <f ca="1">IFERROR(__xludf.DUMMYFUNCTION("""COMPUTED_VALUE"""),43273.6666666666)</f>
        <v>43273.666666666599</v>
      </c>
      <c r="B688" s="1">
        <f ca="1">IFERROR(__xludf.DUMMYFUNCTION("""COMPUTED_VALUE"""),23.44)</f>
        <v>23.44</v>
      </c>
      <c r="C688" s="1">
        <f ca="1">IFERROR(__xludf.DUMMYFUNCTION("""COMPUTED_VALUE"""),23.48)</f>
        <v>23.48</v>
      </c>
      <c r="D688" s="1">
        <f ca="1">IFERROR(__xludf.DUMMYFUNCTION("""COMPUTED_VALUE"""),22.13)</f>
        <v>22.13</v>
      </c>
      <c r="E688" s="1">
        <f ca="1">IFERROR(__xludf.DUMMYFUNCTION("""COMPUTED_VALUE"""),22.24)</f>
        <v>22.24</v>
      </c>
      <c r="F688" s="1">
        <f ca="1">IFERROR(__xludf.DUMMYFUNCTION("""COMPUTED_VALUE"""),10266059)</f>
        <v>10266059</v>
      </c>
    </row>
    <row r="689" spans="1:6" x14ac:dyDescent="0.2">
      <c r="A689" s="2">
        <f ca="1">IFERROR(__xludf.DUMMYFUNCTION("""COMPUTED_VALUE"""),43276.6666666666)</f>
        <v>43276.666666666599</v>
      </c>
      <c r="B689" s="1">
        <f ca="1">IFERROR(__xludf.DUMMYFUNCTION("""COMPUTED_VALUE"""),22.01)</f>
        <v>22.01</v>
      </c>
      <c r="C689" s="1">
        <f ca="1">IFERROR(__xludf.DUMMYFUNCTION("""COMPUTED_VALUE"""),22.56)</f>
        <v>22.56</v>
      </c>
      <c r="D689" s="1">
        <f ca="1">IFERROR(__xludf.DUMMYFUNCTION("""COMPUTED_VALUE"""),21.83)</f>
        <v>21.83</v>
      </c>
      <c r="E689" s="1">
        <f ca="1">IFERROR(__xludf.DUMMYFUNCTION("""COMPUTED_VALUE"""),22.2)</f>
        <v>22.2</v>
      </c>
      <c r="F689" s="1">
        <f ca="1">IFERROR(__xludf.DUMMYFUNCTION("""COMPUTED_VALUE"""),6931304)</f>
        <v>6931304</v>
      </c>
    </row>
    <row r="690" spans="1:6" x14ac:dyDescent="0.2">
      <c r="A690" s="2">
        <f ca="1">IFERROR(__xludf.DUMMYFUNCTION("""COMPUTED_VALUE"""),43277.6666666666)</f>
        <v>43277.666666666599</v>
      </c>
      <c r="B690" s="1">
        <f ca="1">IFERROR(__xludf.DUMMYFUNCTION("""COMPUTED_VALUE"""),22.4)</f>
        <v>22.4</v>
      </c>
      <c r="C690" s="1">
        <f ca="1">IFERROR(__xludf.DUMMYFUNCTION("""COMPUTED_VALUE"""),22.9)</f>
        <v>22.9</v>
      </c>
      <c r="D690" s="1">
        <f ca="1">IFERROR(__xludf.DUMMYFUNCTION("""COMPUTED_VALUE"""),21.72)</f>
        <v>21.72</v>
      </c>
      <c r="E690" s="1">
        <f ca="1">IFERROR(__xludf.DUMMYFUNCTION("""COMPUTED_VALUE"""),22.8)</f>
        <v>22.8</v>
      </c>
      <c r="F690" s="1">
        <f ca="1">IFERROR(__xludf.DUMMYFUNCTION("""COMPUTED_VALUE"""),7452487)</f>
        <v>7452487</v>
      </c>
    </row>
    <row r="691" spans="1:6" x14ac:dyDescent="0.2">
      <c r="A691" s="2">
        <f ca="1">IFERROR(__xludf.DUMMYFUNCTION("""COMPUTED_VALUE"""),43278.6666666666)</f>
        <v>43278.666666666599</v>
      </c>
      <c r="B691" s="1">
        <f ca="1">IFERROR(__xludf.DUMMYFUNCTION("""COMPUTED_VALUE"""),23)</f>
        <v>23</v>
      </c>
      <c r="C691" s="1">
        <f ca="1">IFERROR(__xludf.DUMMYFUNCTION("""COMPUTED_VALUE"""),23.39)</f>
        <v>23.39</v>
      </c>
      <c r="D691" s="1">
        <f ca="1">IFERROR(__xludf.DUMMYFUNCTION("""COMPUTED_VALUE"""),22.63)</f>
        <v>22.63</v>
      </c>
      <c r="E691" s="1">
        <f ca="1">IFERROR(__xludf.DUMMYFUNCTION("""COMPUTED_VALUE"""),22.97)</f>
        <v>22.97</v>
      </c>
      <c r="F691" s="1">
        <f ca="1">IFERROR(__xludf.DUMMYFUNCTION("""COMPUTED_VALUE"""),8333727)</f>
        <v>8333727</v>
      </c>
    </row>
    <row r="692" spans="1:6" x14ac:dyDescent="0.2">
      <c r="A692" s="2">
        <f ca="1">IFERROR(__xludf.DUMMYFUNCTION("""COMPUTED_VALUE"""),43279.6666666666)</f>
        <v>43279.666666666599</v>
      </c>
      <c r="B692" s="1">
        <f ca="1">IFERROR(__xludf.DUMMYFUNCTION("""COMPUTED_VALUE"""),23.24)</f>
        <v>23.24</v>
      </c>
      <c r="C692" s="1">
        <f ca="1">IFERROR(__xludf.DUMMYFUNCTION("""COMPUTED_VALUE"""),23.8)</f>
        <v>23.8</v>
      </c>
      <c r="D692" s="1">
        <f ca="1">IFERROR(__xludf.DUMMYFUNCTION("""COMPUTED_VALUE"""),23.07)</f>
        <v>23.07</v>
      </c>
      <c r="E692" s="1">
        <f ca="1">IFERROR(__xludf.DUMMYFUNCTION("""COMPUTED_VALUE"""),23.33)</f>
        <v>23.33</v>
      </c>
      <c r="F692" s="1">
        <f ca="1">IFERROR(__xludf.DUMMYFUNCTION("""COMPUTED_VALUE"""),8398005)</f>
        <v>8398005</v>
      </c>
    </row>
    <row r="693" spans="1:6" x14ac:dyDescent="0.2">
      <c r="A693" s="2">
        <f ca="1">IFERROR(__xludf.DUMMYFUNCTION("""COMPUTED_VALUE"""),43280.6666666666)</f>
        <v>43280.666666666599</v>
      </c>
      <c r="B693" s="1">
        <f ca="1">IFERROR(__xludf.DUMMYFUNCTION("""COMPUTED_VALUE"""),23.56)</f>
        <v>23.56</v>
      </c>
      <c r="C693" s="1">
        <f ca="1">IFERROR(__xludf.DUMMYFUNCTION("""COMPUTED_VALUE"""),23.59)</f>
        <v>23.59</v>
      </c>
      <c r="D693" s="1">
        <f ca="1">IFERROR(__xludf.DUMMYFUNCTION("""COMPUTED_VALUE"""),22.83)</f>
        <v>22.83</v>
      </c>
      <c r="E693" s="1">
        <f ca="1">IFERROR(__xludf.DUMMYFUNCTION("""COMPUTED_VALUE"""),22.86)</f>
        <v>22.86</v>
      </c>
      <c r="F693" s="1">
        <f ca="1">IFERROR(__xludf.DUMMYFUNCTION("""COMPUTED_VALUE"""),6492396)</f>
        <v>6492396</v>
      </c>
    </row>
    <row r="694" spans="1:6" x14ac:dyDescent="0.2">
      <c r="A694" s="2">
        <f ca="1">IFERROR(__xludf.DUMMYFUNCTION("""COMPUTED_VALUE"""),43283.6666666666)</f>
        <v>43283.666666666599</v>
      </c>
      <c r="B694" s="1">
        <f ca="1">IFERROR(__xludf.DUMMYFUNCTION("""COMPUTED_VALUE"""),24)</f>
        <v>24</v>
      </c>
      <c r="C694" s="1">
        <f ca="1">IFERROR(__xludf.DUMMYFUNCTION("""COMPUTED_VALUE"""),24.32)</f>
        <v>24.32</v>
      </c>
      <c r="D694" s="1">
        <f ca="1">IFERROR(__xludf.DUMMYFUNCTION("""COMPUTED_VALUE"""),21.99)</f>
        <v>21.99</v>
      </c>
      <c r="E694" s="1">
        <f ca="1">IFERROR(__xludf.DUMMYFUNCTION("""COMPUTED_VALUE"""),22.34)</f>
        <v>22.34</v>
      </c>
      <c r="F694" s="1">
        <f ca="1">IFERROR(__xludf.DUMMYFUNCTION("""COMPUTED_VALUE"""),18759765)</f>
        <v>18759765</v>
      </c>
    </row>
    <row r="695" spans="1:6" x14ac:dyDescent="0.2">
      <c r="A695" s="2">
        <f ca="1">IFERROR(__xludf.DUMMYFUNCTION("""COMPUTED_VALUE"""),43284.5416666666)</f>
        <v>43284.541666666599</v>
      </c>
      <c r="B695" s="1">
        <f ca="1">IFERROR(__xludf.DUMMYFUNCTION("""COMPUTED_VALUE"""),22.12)</f>
        <v>22.12</v>
      </c>
      <c r="C695" s="1">
        <f ca="1">IFERROR(__xludf.DUMMYFUNCTION("""COMPUTED_VALUE"""),22.17)</f>
        <v>22.17</v>
      </c>
      <c r="D695" s="1">
        <f ca="1">IFERROR(__xludf.DUMMYFUNCTION("""COMPUTED_VALUE"""),20.65)</f>
        <v>20.65</v>
      </c>
      <c r="E695" s="1">
        <f ca="1">IFERROR(__xludf.DUMMYFUNCTION("""COMPUTED_VALUE"""),20.72)</f>
        <v>20.72</v>
      </c>
      <c r="F695" s="1">
        <f ca="1">IFERROR(__xludf.DUMMYFUNCTION("""COMPUTED_VALUE"""),12282638)</f>
        <v>12282638</v>
      </c>
    </row>
    <row r="696" spans="1:6" x14ac:dyDescent="0.2">
      <c r="A696" s="2">
        <f ca="1">IFERROR(__xludf.DUMMYFUNCTION("""COMPUTED_VALUE"""),43286.6666666666)</f>
        <v>43286.666666666599</v>
      </c>
      <c r="B696" s="1">
        <f ca="1">IFERROR(__xludf.DUMMYFUNCTION("""COMPUTED_VALUE"""),20.92)</f>
        <v>20.92</v>
      </c>
      <c r="C696" s="1">
        <f ca="1">IFERROR(__xludf.DUMMYFUNCTION("""COMPUTED_VALUE"""),20.96)</f>
        <v>20.96</v>
      </c>
      <c r="D696" s="1">
        <f ca="1">IFERROR(__xludf.DUMMYFUNCTION("""COMPUTED_VALUE"""),19.75)</f>
        <v>19.75</v>
      </c>
      <c r="E696" s="1">
        <f ca="1">IFERROR(__xludf.DUMMYFUNCTION("""COMPUTED_VALUE"""),20.61)</f>
        <v>20.61</v>
      </c>
      <c r="F696" s="1">
        <f ca="1">IFERROR(__xludf.DUMMYFUNCTION("""COMPUTED_VALUE"""),17476374)</f>
        <v>17476374</v>
      </c>
    </row>
    <row r="697" spans="1:6" x14ac:dyDescent="0.2">
      <c r="A697" s="2">
        <f ca="1">IFERROR(__xludf.DUMMYFUNCTION("""COMPUTED_VALUE"""),43287.6666666666)</f>
        <v>43287.666666666599</v>
      </c>
      <c r="B697" s="1">
        <f ca="1">IFERROR(__xludf.DUMMYFUNCTION("""COMPUTED_VALUE"""),20.33)</f>
        <v>20.329999999999998</v>
      </c>
      <c r="C697" s="1">
        <f ca="1">IFERROR(__xludf.DUMMYFUNCTION("""COMPUTED_VALUE"""),20.8)</f>
        <v>20.8</v>
      </c>
      <c r="D697" s="1">
        <f ca="1">IFERROR(__xludf.DUMMYFUNCTION("""COMPUTED_VALUE"""),20.13)</f>
        <v>20.13</v>
      </c>
      <c r="E697" s="1">
        <f ca="1">IFERROR(__xludf.DUMMYFUNCTION("""COMPUTED_VALUE"""),20.59)</f>
        <v>20.59</v>
      </c>
      <c r="F697" s="1">
        <f ca="1">IFERROR(__xludf.DUMMYFUNCTION("""COMPUTED_VALUE"""),8865451)</f>
        <v>8865451</v>
      </c>
    </row>
    <row r="698" spans="1:6" x14ac:dyDescent="0.2">
      <c r="A698" s="2">
        <f ca="1">IFERROR(__xludf.DUMMYFUNCTION("""COMPUTED_VALUE"""),43290.6666666666)</f>
        <v>43290.666666666599</v>
      </c>
      <c r="B698" s="1">
        <f ca="1">IFERROR(__xludf.DUMMYFUNCTION("""COMPUTED_VALUE"""),20.8)</f>
        <v>20.8</v>
      </c>
      <c r="C698" s="1">
        <f ca="1">IFERROR(__xludf.DUMMYFUNCTION("""COMPUTED_VALUE"""),21.23)</f>
        <v>21.23</v>
      </c>
      <c r="D698" s="1">
        <f ca="1">IFERROR(__xludf.DUMMYFUNCTION("""COMPUTED_VALUE"""),20.53)</f>
        <v>20.53</v>
      </c>
      <c r="E698" s="1">
        <f ca="1">IFERROR(__xludf.DUMMYFUNCTION("""COMPUTED_VALUE"""),21.23)</f>
        <v>21.23</v>
      </c>
      <c r="F698" s="1">
        <f ca="1">IFERROR(__xludf.DUMMYFUNCTION("""COMPUTED_VALUE"""),7596753)</f>
        <v>7596753</v>
      </c>
    </row>
    <row r="699" spans="1:6" x14ac:dyDescent="0.2">
      <c r="A699" s="2">
        <f ca="1">IFERROR(__xludf.DUMMYFUNCTION("""COMPUTED_VALUE"""),43291.6666666666)</f>
        <v>43291.666666666599</v>
      </c>
      <c r="B699" s="1">
        <f ca="1">IFERROR(__xludf.DUMMYFUNCTION("""COMPUTED_VALUE"""),21.64)</f>
        <v>21.64</v>
      </c>
      <c r="C699" s="1">
        <f ca="1">IFERROR(__xludf.DUMMYFUNCTION("""COMPUTED_VALUE"""),21.85)</f>
        <v>21.85</v>
      </c>
      <c r="D699" s="1">
        <f ca="1">IFERROR(__xludf.DUMMYFUNCTION("""COMPUTED_VALUE"""),21.28)</f>
        <v>21.28</v>
      </c>
      <c r="E699" s="1">
        <f ca="1">IFERROR(__xludf.DUMMYFUNCTION("""COMPUTED_VALUE"""),21.5)</f>
        <v>21.5</v>
      </c>
      <c r="F699" s="1">
        <f ca="1">IFERROR(__xludf.DUMMYFUNCTION("""COMPUTED_VALUE"""),9471498)</f>
        <v>9471498</v>
      </c>
    </row>
    <row r="700" spans="1:6" x14ac:dyDescent="0.2">
      <c r="A700" s="2">
        <f ca="1">IFERROR(__xludf.DUMMYFUNCTION("""COMPUTED_VALUE"""),43292.6666666666)</f>
        <v>43292.666666666599</v>
      </c>
      <c r="B700" s="1">
        <f ca="1">IFERROR(__xludf.DUMMYFUNCTION("""COMPUTED_VALUE"""),21.05)</f>
        <v>21.05</v>
      </c>
      <c r="C700" s="1">
        <f ca="1">IFERROR(__xludf.DUMMYFUNCTION("""COMPUTED_VALUE"""),21.46)</f>
        <v>21.46</v>
      </c>
      <c r="D700" s="1">
        <f ca="1">IFERROR(__xludf.DUMMYFUNCTION("""COMPUTED_VALUE"""),21)</f>
        <v>21</v>
      </c>
      <c r="E700" s="1">
        <f ca="1">IFERROR(__xludf.DUMMYFUNCTION("""COMPUTED_VALUE"""),21.26)</f>
        <v>21.26</v>
      </c>
      <c r="F700" s="1">
        <f ca="1">IFERROR(__xludf.DUMMYFUNCTION("""COMPUTED_VALUE"""),4884076)</f>
        <v>4884076</v>
      </c>
    </row>
    <row r="701" spans="1:6" x14ac:dyDescent="0.2">
      <c r="A701" s="2">
        <f ca="1">IFERROR(__xludf.DUMMYFUNCTION("""COMPUTED_VALUE"""),43293.6666666666)</f>
        <v>43293.666666666599</v>
      </c>
      <c r="B701" s="1">
        <f ca="1">IFERROR(__xludf.DUMMYFUNCTION("""COMPUTED_VALUE"""),21.43)</f>
        <v>21.43</v>
      </c>
      <c r="C701" s="1">
        <f ca="1">IFERROR(__xludf.DUMMYFUNCTION("""COMPUTED_VALUE"""),21.55)</f>
        <v>21.55</v>
      </c>
      <c r="D701" s="1">
        <f ca="1">IFERROR(__xludf.DUMMYFUNCTION("""COMPUTED_VALUE"""),20.85)</f>
        <v>20.85</v>
      </c>
      <c r="E701" s="1">
        <f ca="1">IFERROR(__xludf.DUMMYFUNCTION("""COMPUTED_VALUE"""),21.11)</f>
        <v>21.11</v>
      </c>
      <c r="F701" s="1">
        <f ca="1">IFERROR(__xludf.DUMMYFUNCTION("""COMPUTED_VALUE"""),5721166)</f>
        <v>5721166</v>
      </c>
    </row>
    <row r="702" spans="1:6" x14ac:dyDescent="0.2">
      <c r="A702" s="2">
        <f ca="1">IFERROR(__xludf.DUMMYFUNCTION("""COMPUTED_VALUE"""),43294.6666666666)</f>
        <v>43294.666666666599</v>
      </c>
      <c r="B702" s="1">
        <f ca="1">IFERROR(__xludf.DUMMYFUNCTION("""COMPUTED_VALUE"""),21.04)</f>
        <v>21.04</v>
      </c>
      <c r="C702" s="1">
        <f ca="1">IFERROR(__xludf.DUMMYFUNCTION("""COMPUTED_VALUE"""),21.31)</f>
        <v>21.31</v>
      </c>
      <c r="D702" s="1">
        <f ca="1">IFERROR(__xludf.DUMMYFUNCTION("""COMPUTED_VALUE"""),20.62)</f>
        <v>20.62</v>
      </c>
      <c r="E702" s="1">
        <f ca="1">IFERROR(__xludf.DUMMYFUNCTION("""COMPUTED_VALUE"""),21.26)</f>
        <v>21.26</v>
      </c>
      <c r="F702" s="1">
        <f ca="1">IFERROR(__xludf.DUMMYFUNCTION("""COMPUTED_VALUE"""),5875770)</f>
        <v>5875770</v>
      </c>
    </row>
    <row r="703" spans="1:6" x14ac:dyDescent="0.2">
      <c r="A703" s="2">
        <f ca="1">IFERROR(__xludf.DUMMYFUNCTION("""COMPUTED_VALUE"""),43297.6666666666)</f>
        <v>43297.666666666599</v>
      </c>
      <c r="B703" s="1">
        <f ca="1">IFERROR(__xludf.DUMMYFUNCTION("""COMPUTED_VALUE"""),20.78)</f>
        <v>20.78</v>
      </c>
      <c r="C703" s="1">
        <f ca="1">IFERROR(__xludf.DUMMYFUNCTION("""COMPUTED_VALUE"""),21.01)</f>
        <v>21.01</v>
      </c>
      <c r="D703" s="1">
        <f ca="1">IFERROR(__xludf.DUMMYFUNCTION("""COMPUTED_VALUE"""),20.42)</f>
        <v>20.420000000000002</v>
      </c>
      <c r="E703" s="1">
        <f ca="1">IFERROR(__xludf.DUMMYFUNCTION("""COMPUTED_VALUE"""),20.67)</f>
        <v>20.67</v>
      </c>
      <c r="F703" s="1">
        <f ca="1">IFERROR(__xludf.DUMMYFUNCTION("""COMPUTED_VALUE"""),7818655)</f>
        <v>7818655</v>
      </c>
    </row>
    <row r="704" spans="1:6" x14ac:dyDescent="0.2">
      <c r="A704" s="2">
        <f ca="1">IFERROR(__xludf.DUMMYFUNCTION("""COMPUTED_VALUE"""),43298.6666666666)</f>
        <v>43298.666666666599</v>
      </c>
      <c r="B704" s="1">
        <f ca="1">IFERROR(__xludf.DUMMYFUNCTION("""COMPUTED_VALUE"""),20.59)</f>
        <v>20.59</v>
      </c>
      <c r="C704" s="1">
        <f ca="1">IFERROR(__xludf.DUMMYFUNCTION("""COMPUTED_VALUE"""),21.65)</f>
        <v>21.65</v>
      </c>
      <c r="D704" s="1">
        <f ca="1">IFERROR(__xludf.DUMMYFUNCTION("""COMPUTED_VALUE"""),20.57)</f>
        <v>20.57</v>
      </c>
      <c r="E704" s="1">
        <f ca="1">IFERROR(__xludf.DUMMYFUNCTION("""COMPUTED_VALUE"""),21.51)</f>
        <v>21.51</v>
      </c>
      <c r="F704" s="1">
        <f ca="1">IFERROR(__xludf.DUMMYFUNCTION("""COMPUTED_VALUE"""),6996232)</f>
        <v>6996232</v>
      </c>
    </row>
    <row r="705" spans="1:6" x14ac:dyDescent="0.2">
      <c r="A705" s="2">
        <f ca="1">IFERROR(__xludf.DUMMYFUNCTION("""COMPUTED_VALUE"""),43299.6666666666)</f>
        <v>43299.666666666599</v>
      </c>
      <c r="B705" s="1">
        <f ca="1">IFERROR(__xludf.DUMMYFUNCTION("""COMPUTED_VALUE"""),21.67)</f>
        <v>21.67</v>
      </c>
      <c r="C705" s="1">
        <f ca="1">IFERROR(__xludf.DUMMYFUNCTION("""COMPUTED_VALUE"""),21.7)</f>
        <v>21.7</v>
      </c>
      <c r="D705" s="1">
        <f ca="1">IFERROR(__xludf.DUMMYFUNCTION("""COMPUTED_VALUE"""),21.08)</f>
        <v>21.08</v>
      </c>
      <c r="E705" s="1">
        <f ca="1">IFERROR(__xludf.DUMMYFUNCTION("""COMPUTED_VALUE"""),21.59)</f>
        <v>21.59</v>
      </c>
      <c r="F705" s="1">
        <f ca="1">IFERROR(__xludf.DUMMYFUNCTION("""COMPUTED_VALUE"""),5624211)</f>
        <v>5624211</v>
      </c>
    </row>
    <row r="706" spans="1:6" x14ac:dyDescent="0.2">
      <c r="A706" s="2">
        <f ca="1">IFERROR(__xludf.DUMMYFUNCTION("""COMPUTED_VALUE"""),43300.6666666666)</f>
        <v>43300.666666666599</v>
      </c>
      <c r="B706" s="1">
        <f ca="1">IFERROR(__xludf.DUMMYFUNCTION("""COMPUTED_VALUE"""),21.09)</f>
        <v>21.09</v>
      </c>
      <c r="C706" s="1">
        <f ca="1">IFERROR(__xludf.DUMMYFUNCTION("""COMPUTED_VALUE"""),21.57)</f>
        <v>21.57</v>
      </c>
      <c r="D706" s="1">
        <f ca="1">IFERROR(__xludf.DUMMYFUNCTION("""COMPUTED_VALUE"""),20.93)</f>
        <v>20.93</v>
      </c>
      <c r="E706" s="1">
        <f ca="1">IFERROR(__xludf.DUMMYFUNCTION("""COMPUTED_VALUE"""),21.35)</f>
        <v>21.35</v>
      </c>
      <c r="F706" s="1">
        <f ca="1">IFERROR(__xludf.DUMMYFUNCTION("""COMPUTED_VALUE"""),5915345)</f>
        <v>5915345</v>
      </c>
    </row>
    <row r="707" spans="1:6" x14ac:dyDescent="0.2">
      <c r="A707" s="2">
        <f ca="1">IFERROR(__xludf.DUMMYFUNCTION("""COMPUTED_VALUE"""),43301.6666666666)</f>
        <v>43301.666666666599</v>
      </c>
      <c r="B707" s="1">
        <f ca="1">IFERROR(__xludf.DUMMYFUNCTION("""COMPUTED_VALUE"""),21.42)</f>
        <v>21.42</v>
      </c>
      <c r="C707" s="1">
        <f ca="1">IFERROR(__xludf.DUMMYFUNCTION("""COMPUTED_VALUE"""),21.55)</f>
        <v>21.55</v>
      </c>
      <c r="D707" s="1">
        <f ca="1">IFERROR(__xludf.DUMMYFUNCTION("""COMPUTED_VALUE"""),20.78)</f>
        <v>20.78</v>
      </c>
      <c r="E707" s="1">
        <f ca="1">IFERROR(__xludf.DUMMYFUNCTION("""COMPUTED_VALUE"""),20.91)</f>
        <v>20.91</v>
      </c>
      <c r="F707" s="1">
        <f ca="1">IFERROR(__xludf.DUMMYFUNCTION("""COMPUTED_VALUE"""),5166547)</f>
        <v>5166547</v>
      </c>
    </row>
    <row r="708" spans="1:6" x14ac:dyDescent="0.2">
      <c r="A708" s="2">
        <f ca="1">IFERROR(__xludf.DUMMYFUNCTION("""COMPUTED_VALUE"""),43304.6666666666)</f>
        <v>43304.666666666599</v>
      </c>
      <c r="B708" s="1">
        <f ca="1">IFERROR(__xludf.DUMMYFUNCTION("""COMPUTED_VALUE"""),20.12)</f>
        <v>20.12</v>
      </c>
      <c r="C708" s="1">
        <f ca="1">IFERROR(__xludf.DUMMYFUNCTION("""COMPUTED_VALUE"""),20.37)</f>
        <v>20.37</v>
      </c>
      <c r="D708" s="1">
        <f ca="1">IFERROR(__xludf.DUMMYFUNCTION("""COMPUTED_VALUE"""),19.52)</f>
        <v>19.52</v>
      </c>
      <c r="E708" s="1">
        <f ca="1">IFERROR(__xludf.DUMMYFUNCTION("""COMPUTED_VALUE"""),20.21)</f>
        <v>20.21</v>
      </c>
      <c r="F708" s="1">
        <f ca="1">IFERROR(__xludf.DUMMYFUNCTION("""COMPUTED_VALUE"""),10992947)</f>
        <v>10992947</v>
      </c>
    </row>
    <row r="709" spans="1:6" x14ac:dyDescent="0.2">
      <c r="A709" s="2">
        <f ca="1">IFERROR(__xludf.DUMMYFUNCTION("""COMPUTED_VALUE"""),43305.6666666666)</f>
        <v>43305.666666666599</v>
      </c>
      <c r="B709" s="1">
        <f ca="1">IFERROR(__xludf.DUMMYFUNCTION("""COMPUTED_VALUE"""),20.29)</f>
        <v>20.29</v>
      </c>
      <c r="C709" s="1">
        <f ca="1">IFERROR(__xludf.DUMMYFUNCTION("""COMPUTED_VALUE"""),20.51)</f>
        <v>20.51</v>
      </c>
      <c r="D709" s="1">
        <f ca="1">IFERROR(__xludf.DUMMYFUNCTION("""COMPUTED_VALUE"""),19.5)</f>
        <v>19.5</v>
      </c>
      <c r="E709" s="1">
        <f ca="1">IFERROR(__xludf.DUMMYFUNCTION("""COMPUTED_VALUE"""),19.83)</f>
        <v>19.829999999999998</v>
      </c>
      <c r="F709" s="1">
        <f ca="1">IFERROR(__xludf.DUMMYFUNCTION("""COMPUTED_VALUE"""),9590784)</f>
        <v>9590784</v>
      </c>
    </row>
    <row r="710" spans="1:6" x14ac:dyDescent="0.2">
      <c r="A710" s="2">
        <f ca="1">IFERROR(__xludf.DUMMYFUNCTION("""COMPUTED_VALUE"""),43306.6666666666)</f>
        <v>43306.666666666599</v>
      </c>
      <c r="B710" s="1">
        <f ca="1">IFERROR(__xludf.DUMMYFUNCTION("""COMPUTED_VALUE"""),19.78)</f>
        <v>19.78</v>
      </c>
      <c r="C710" s="1">
        <f ca="1">IFERROR(__xludf.DUMMYFUNCTION("""COMPUTED_VALUE"""),20.64)</f>
        <v>20.64</v>
      </c>
      <c r="D710" s="1">
        <f ca="1">IFERROR(__xludf.DUMMYFUNCTION("""COMPUTED_VALUE"""),19.63)</f>
        <v>19.63</v>
      </c>
      <c r="E710" s="1">
        <f ca="1">IFERROR(__xludf.DUMMYFUNCTION("""COMPUTED_VALUE"""),20.58)</f>
        <v>20.58</v>
      </c>
      <c r="F710" s="1">
        <f ca="1">IFERROR(__xludf.DUMMYFUNCTION("""COMPUTED_VALUE"""),7094180)</f>
        <v>7094180</v>
      </c>
    </row>
    <row r="711" spans="1:6" x14ac:dyDescent="0.2">
      <c r="A711" s="2">
        <f ca="1">IFERROR(__xludf.DUMMYFUNCTION("""COMPUTED_VALUE"""),43307.6666666666)</f>
        <v>43307.666666666599</v>
      </c>
      <c r="B711" s="1">
        <f ca="1">IFERROR(__xludf.DUMMYFUNCTION("""COMPUTED_VALUE"""),20.32)</f>
        <v>20.32</v>
      </c>
      <c r="C711" s="1">
        <f ca="1">IFERROR(__xludf.DUMMYFUNCTION("""COMPUTED_VALUE"""),20.71)</f>
        <v>20.71</v>
      </c>
      <c r="D711" s="1">
        <f ca="1">IFERROR(__xludf.DUMMYFUNCTION("""COMPUTED_VALUE"""),20.24)</f>
        <v>20.239999999999998</v>
      </c>
      <c r="E711" s="1">
        <f ca="1">IFERROR(__xludf.DUMMYFUNCTION("""COMPUTED_VALUE"""),20.44)</f>
        <v>20.440000000000001</v>
      </c>
      <c r="F711" s="1">
        <f ca="1">IFERROR(__xludf.DUMMYFUNCTION("""COMPUTED_VALUE"""),4630522)</f>
        <v>4630522</v>
      </c>
    </row>
    <row r="712" spans="1:6" x14ac:dyDescent="0.2">
      <c r="A712" s="2">
        <f ca="1">IFERROR(__xludf.DUMMYFUNCTION("""COMPUTED_VALUE"""),43308.6666666666)</f>
        <v>43308.666666666599</v>
      </c>
      <c r="B712" s="1">
        <f ca="1">IFERROR(__xludf.DUMMYFUNCTION("""COMPUTED_VALUE"""),20.48)</f>
        <v>20.48</v>
      </c>
      <c r="C712" s="1">
        <f ca="1">IFERROR(__xludf.DUMMYFUNCTION("""COMPUTED_VALUE"""),20.51)</f>
        <v>20.51</v>
      </c>
      <c r="D712" s="1">
        <f ca="1">IFERROR(__xludf.DUMMYFUNCTION("""COMPUTED_VALUE"""),19.69)</f>
        <v>19.690000000000001</v>
      </c>
      <c r="E712" s="1">
        <f ca="1">IFERROR(__xludf.DUMMYFUNCTION("""COMPUTED_VALUE"""),19.81)</f>
        <v>19.809999999999999</v>
      </c>
      <c r="F712" s="1">
        <f ca="1">IFERROR(__xludf.DUMMYFUNCTION("""COMPUTED_VALUE"""),5703326)</f>
        <v>5703326</v>
      </c>
    </row>
    <row r="713" spans="1:6" x14ac:dyDescent="0.2">
      <c r="A713" s="2">
        <f ca="1">IFERROR(__xludf.DUMMYFUNCTION("""COMPUTED_VALUE"""),43311.6666666666)</f>
        <v>43311.666666666599</v>
      </c>
      <c r="B713" s="1">
        <f ca="1">IFERROR(__xludf.DUMMYFUNCTION("""COMPUTED_VALUE"""),19.73)</f>
        <v>19.73</v>
      </c>
      <c r="C713" s="1">
        <f ca="1">IFERROR(__xludf.DUMMYFUNCTION("""COMPUTED_VALUE"""),19.74)</f>
        <v>19.739999999999998</v>
      </c>
      <c r="D713" s="1">
        <f ca="1">IFERROR(__xludf.DUMMYFUNCTION("""COMPUTED_VALUE"""),19.08)</f>
        <v>19.079999999999998</v>
      </c>
      <c r="E713" s="1">
        <f ca="1">IFERROR(__xludf.DUMMYFUNCTION("""COMPUTED_VALUE"""),19.34)</f>
        <v>19.34</v>
      </c>
      <c r="F713" s="1">
        <f ca="1">IFERROR(__xludf.DUMMYFUNCTION("""COMPUTED_VALUE"""),6814072)</f>
        <v>6814072</v>
      </c>
    </row>
    <row r="714" spans="1:6" x14ac:dyDescent="0.2">
      <c r="A714" s="2">
        <f ca="1">IFERROR(__xludf.DUMMYFUNCTION("""COMPUTED_VALUE"""),43312.6666666666)</f>
        <v>43312.666666666599</v>
      </c>
      <c r="B714" s="1">
        <f ca="1">IFERROR(__xludf.DUMMYFUNCTION("""COMPUTED_VALUE"""),19.48)</f>
        <v>19.48</v>
      </c>
      <c r="C714" s="1">
        <f ca="1">IFERROR(__xludf.DUMMYFUNCTION("""COMPUTED_VALUE"""),19.89)</f>
        <v>19.89</v>
      </c>
      <c r="D714" s="1">
        <f ca="1">IFERROR(__xludf.DUMMYFUNCTION("""COMPUTED_VALUE"""),19.27)</f>
        <v>19.27</v>
      </c>
      <c r="E714" s="1">
        <f ca="1">IFERROR(__xludf.DUMMYFUNCTION("""COMPUTED_VALUE"""),19.88)</f>
        <v>19.88</v>
      </c>
      <c r="F714" s="1">
        <f ca="1">IFERROR(__xludf.DUMMYFUNCTION("""COMPUTED_VALUE"""),5076916)</f>
        <v>5076916</v>
      </c>
    </row>
    <row r="715" spans="1:6" x14ac:dyDescent="0.2">
      <c r="A715" s="2">
        <f ca="1">IFERROR(__xludf.DUMMYFUNCTION("""COMPUTED_VALUE"""),43313.6666666666)</f>
        <v>43313.666666666599</v>
      </c>
      <c r="B715" s="1">
        <f ca="1">IFERROR(__xludf.DUMMYFUNCTION("""COMPUTED_VALUE"""),19.87)</f>
        <v>19.87</v>
      </c>
      <c r="C715" s="1">
        <f ca="1">IFERROR(__xludf.DUMMYFUNCTION("""COMPUTED_VALUE"""),20.2)</f>
        <v>20.2</v>
      </c>
      <c r="D715" s="1">
        <f ca="1">IFERROR(__xludf.DUMMYFUNCTION("""COMPUTED_VALUE"""),19.53)</f>
        <v>19.53</v>
      </c>
      <c r="E715" s="1">
        <f ca="1">IFERROR(__xludf.DUMMYFUNCTION("""COMPUTED_VALUE"""),20.06)</f>
        <v>20.059999999999999</v>
      </c>
      <c r="F715" s="1">
        <f ca="1">IFERROR(__xludf.DUMMYFUNCTION("""COMPUTED_VALUE"""),10129430)</f>
        <v>10129430</v>
      </c>
    </row>
    <row r="716" spans="1:6" x14ac:dyDescent="0.2">
      <c r="A716" s="2">
        <f ca="1">IFERROR(__xludf.DUMMYFUNCTION("""COMPUTED_VALUE"""),43314.6666666666)</f>
        <v>43314.666666666599</v>
      </c>
      <c r="B716" s="1">
        <f ca="1">IFERROR(__xludf.DUMMYFUNCTION("""COMPUTED_VALUE"""),21.9)</f>
        <v>21.9</v>
      </c>
      <c r="C716" s="1">
        <f ca="1">IFERROR(__xludf.DUMMYFUNCTION("""COMPUTED_VALUE"""),23.33)</f>
        <v>23.33</v>
      </c>
      <c r="D716" s="1">
        <f ca="1">IFERROR(__xludf.DUMMYFUNCTION("""COMPUTED_VALUE"""),21.54)</f>
        <v>21.54</v>
      </c>
      <c r="E716" s="1">
        <f ca="1">IFERROR(__xludf.DUMMYFUNCTION("""COMPUTED_VALUE"""),23.3)</f>
        <v>23.3</v>
      </c>
      <c r="F716" s="1">
        <f ca="1">IFERROR(__xludf.DUMMYFUNCTION("""COMPUTED_VALUE"""),23214962)</f>
        <v>23214962</v>
      </c>
    </row>
    <row r="717" spans="1:6" x14ac:dyDescent="0.2">
      <c r="A717" s="2">
        <f ca="1">IFERROR(__xludf.DUMMYFUNCTION("""COMPUTED_VALUE"""),43315.6666666666)</f>
        <v>43315.666666666599</v>
      </c>
      <c r="B717" s="1">
        <f ca="1">IFERROR(__xludf.DUMMYFUNCTION("""COMPUTED_VALUE"""),23.19)</f>
        <v>23.19</v>
      </c>
      <c r="C717" s="1">
        <f ca="1">IFERROR(__xludf.DUMMYFUNCTION("""COMPUTED_VALUE"""),23.67)</f>
        <v>23.67</v>
      </c>
      <c r="D717" s="1">
        <f ca="1">IFERROR(__xludf.DUMMYFUNCTION("""COMPUTED_VALUE"""),22.84)</f>
        <v>22.84</v>
      </c>
      <c r="E717" s="1">
        <f ca="1">IFERROR(__xludf.DUMMYFUNCTION("""COMPUTED_VALUE"""),23.21)</f>
        <v>23.21</v>
      </c>
      <c r="F717" s="1">
        <f ca="1">IFERROR(__xludf.DUMMYFUNCTION("""COMPUTED_VALUE"""),13656486)</f>
        <v>13656486</v>
      </c>
    </row>
    <row r="718" spans="1:6" x14ac:dyDescent="0.2">
      <c r="A718" s="2">
        <f ca="1">IFERROR(__xludf.DUMMYFUNCTION("""COMPUTED_VALUE"""),43318.6666666666)</f>
        <v>43318.666666666599</v>
      </c>
      <c r="B718" s="1">
        <f ca="1">IFERROR(__xludf.DUMMYFUNCTION("""COMPUTED_VALUE"""),23.03)</f>
        <v>23.03</v>
      </c>
      <c r="C718" s="1">
        <f ca="1">IFERROR(__xludf.DUMMYFUNCTION("""COMPUTED_VALUE"""),23.67)</f>
        <v>23.67</v>
      </c>
      <c r="D718" s="1">
        <f ca="1">IFERROR(__xludf.DUMMYFUNCTION("""COMPUTED_VALUE"""),22.79)</f>
        <v>22.79</v>
      </c>
      <c r="E718" s="1">
        <f ca="1">IFERROR(__xludf.DUMMYFUNCTION("""COMPUTED_VALUE"""),22.8)</f>
        <v>22.8</v>
      </c>
      <c r="F718" s="1">
        <f ca="1">IFERROR(__xludf.DUMMYFUNCTION("""COMPUTED_VALUE"""),8564331)</f>
        <v>8564331</v>
      </c>
    </row>
    <row r="719" spans="1:6" x14ac:dyDescent="0.2">
      <c r="A719" s="2">
        <f ca="1">IFERROR(__xludf.DUMMYFUNCTION("""COMPUTED_VALUE"""),43319.6666666666)</f>
        <v>43319.666666666599</v>
      </c>
      <c r="B719" s="1">
        <f ca="1">IFERROR(__xludf.DUMMYFUNCTION("""COMPUTED_VALUE"""),22.92)</f>
        <v>22.92</v>
      </c>
      <c r="C719" s="1">
        <f ca="1">IFERROR(__xludf.DUMMYFUNCTION("""COMPUTED_VALUE"""),25.83)</f>
        <v>25.83</v>
      </c>
      <c r="D719" s="1">
        <f ca="1">IFERROR(__xludf.DUMMYFUNCTION("""COMPUTED_VALUE"""),22.61)</f>
        <v>22.61</v>
      </c>
      <c r="E719" s="1">
        <f ca="1">IFERROR(__xludf.DUMMYFUNCTION("""COMPUTED_VALUE"""),25.3)</f>
        <v>25.3</v>
      </c>
      <c r="F719" s="1">
        <f ca="1">IFERROR(__xludf.DUMMYFUNCTION("""COMPUTED_VALUE"""),30875768)</f>
        <v>30875768</v>
      </c>
    </row>
    <row r="720" spans="1:6" x14ac:dyDescent="0.2">
      <c r="A720" s="2">
        <f ca="1">IFERROR(__xludf.DUMMYFUNCTION("""COMPUTED_VALUE"""),43320.6666666666)</f>
        <v>43320.666666666599</v>
      </c>
      <c r="B720" s="1">
        <f ca="1">IFERROR(__xludf.DUMMYFUNCTION("""COMPUTED_VALUE"""),24.61)</f>
        <v>24.61</v>
      </c>
      <c r="C720" s="1">
        <f ca="1">IFERROR(__xludf.DUMMYFUNCTION("""COMPUTED_VALUE"""),25.51)</f>
        <v>25.51</v>
      </c>
      <c r="D720" s="1">
        <f ca="1">IFERROR(__xludf.DUMMYFUNCTION("""COMPUTED_VALUE"""),24.47)</f>
        <v>24.47</v>
      </c>
      <c r="E720" s="1">
        <f ca="1">IFERROR(__xludf.DUMMYFUNCTION("""COMPUTED_VALUE"""),24.69)</f>
        <v>24.69</v>
      </c>
      <c r="F720" s="1">
        <f ca="1">IFERROR(__xludf.DUMMYFUNCTION("""COMPUTED_VALUE"""),24571163)</f>
        <v>24571163</v>
      </c>
    </row>
    <row r="721" spans="1:6" x14ac:dyDescent="0.2">
      <c r="A721" s="2">
        <f ca="1">IFERROR(__xludf.DUMMYFUNCTION("""COMPUTED_VALUE"""),43321.6666666666)</f>
        <v>43321.666666666599</v>
      </c>
      <c r="B721" s="1">
        <f ca="1">IFERROR(__xludf.DUMMYFUNCTION("""COMPUTED_VALUE"""),24.37)</f>
        <v>24.37</v>
      </c>
      <c r="C721" s="1">
        <f ca="1">IFERROR(__xludf.DUMMYFUNCTION("""COMPUTED_VALUE"""),24.47)</f>
        <v>24.47</v>
      </c>
      <c r="D721" s="1">
        <f ca="1">IFERROR(__xludf.DUMMYFUNCTION("""COMPUTED_VALUE"""),23.05)</f>
        <v>23.05</v>
      </c>
      <c r="E721" s="1">
        <f ca="1">IFERROR(__xludf.DUMMYFUNCTION("""COMPUTED_VALUE"""),23.5)</f>
        <v>23.5</v>
      </c>
      <c r="F721" s="1">
        <f ca="1">IFERROR(__xludf.DUMMYFUNCTION("""COMPUTED_VALUE"""),17183811)</f>
        <v>17183811</v>
      </c>
    </row>
    <row r="722" spans="1:6" x14ac:dyDescent="0.2">
      <c r="A722" s="2">
        <f ca="1">IFERROR(__xludf.DUMMYFUNCTION("""COMPUTED_VALUE"""),43322.6666666666)</f>
        <v>43322.666666666599</v>
      </c>
      <c r="B722" s="1">
        <f ca="1">IFERROR(__xludf.DUMMYFUNCTION("""COMPUTED_VALUE"""),23.6)</f>
        <v>23.6</v>
      </c>
      <c r="C722" s="1">
        <f ca="1">IFERROR(__xludf.DUMMYFUNCTION("""COMPUTED_VALUE"""),24)</f>
        <v>24</v>
      </c>
      <c r="D722" s="1">
        <f ca="1">IFERROR(__xludf.DUMMYFUNCTION("""COMPUTED_VALUE"""),23.07)</f>
        <v>23.07</v>
      </c>
      <c r="E722" s="1">
        <f ca="1">IFERROR(__xludf.DUMMYFUNCTION("""COMPUTED_VALUE"""),23.7)</f>
        <v>23.7</v>
      </c>
      <c r="F722" s="1">
        <f ca="1">IFERROR(__xludf.DUMMYFUNCTION("""COMPUTED_VALUE"""),11552044)</f>
        <v>11552044</v>
      </c>
    </row>
    <row r="723" spans="1:6" x14ac:dyDescent="0.2">
      <c r="A723" s="2">
        <f ca="1">IFERROR(__xludf.DUMMYFUNCTION("""COMPUTED_VALUE"""),43325.6666666666)</f>
        <v>43325.666666666599</v>
      </c>
      <c r="B723" s="1">
        <f ca="1">IFERROR(__xludf.DUMMYFUNCTION("""COMPUTED_VALUE"""),24.08)</f>
        <v>24.08</v>
      </c>
      <c r="C723" s="1">
        <f ca="1">IFERROR(__xludf.DUMMYFUNCTION("""COMPUTED_VALUE"""),24.21)</f>
        <v>24.21</v>
      </c>
      <c r="D723" s="1">
        <f ca="1">IFERROR(__xludf.DUMMYFUNCTION("""COMPUTED_VALUE"""),23.27)</f>
        <v>23.27</v>
      </c>
      <c r="E723" s="1">
        <f ca="1">IFERROR(__xludf.DUMMYFUNCTION("""COMPUTED_VALUE"""),23.76)</f>
        <v>23.76</v>
      </c>
      <c r="F723" s="1">
        <f ca="1">IFERROR(__xludf.DUMMYFUNCTION("""COMPUTED_VALUE"""),10463881)</f>
        <v>10463881</v>
      </c>
    </row>
    <row r="724" spans="1:6" x14ac:dyDescent="0.2">
      <c r="A724" s="2">
        <f ca="1">IFERROR(__xludf.DUMMYFUNCTION("""COMPUTED_VALUE"""),43326.6666666666)</f>
        <v>43326.666666666599</v>
      </c>
      <c r="B724" s="1">
        <f ca="1">IFERROR(__xludf.DUMMYFUNCTION("""COMPUTED_VALUE"""),23.9)</f>
        <v>23.9</v>
      </c>
      <c r="C724" s="1">
        <f ca="1">IFERROR(__xludf.DUMMYFUNCTION("""COMPUTED_VALUE"""),23.95)</f>
        <v>23.95</v>
      </c>
      <c r="D724" s="1">
        <f ca="1">IFERROR(__xludf.DUMMYFUNCTION("""COMPUTED_VALUE"""),23.14)</f>
        <v>23.14</v>
      </c>
      <c r="E724" s="1">
        <f ca="1">IFERROR(__xludf.DUMMYFUNCTION("""COMPUTED_VALUE"""),23.18)</f>
        <v>23.18</v>
      </c>
      <c r="F724" s="1">
        <f ca="1">IFERROR(__xludf.DUMMYFUNCTION("""COMPUTED_VALUE"""),6986427)</f>
        <v>6986427</v>
      </c>
    </row>
    <row r="725" spans="1:6" x14ac:dyDescent="0.2">
      <c r="A725" s="2">
        <f ca="1">IFERROR(__xludf.DUMMYFUNCTION("""COMPUTED_VALUE"""),43327.6666666666)</f>
        <v>43327.666666666599</v>
      </c>
      <c r="B725" s="1">
        <f ca="1">IFERROR(__xludf.DUMMYFUNCTION("""COMPUTED_VALUE"""),22.79)</f>
        <v>22.79</v>
      </c>
      <c r="C725" s="1">
        <f ca="1">IFERROR(__xludf.DUMMYFUNCTION("""COMPUTED_VALUE"""),22.97)</f>
        <v>22.97</v>
      </c>
      <c r="D725" s="1">
        <f ca="1">IFERROR(__xludf.DUMMYFUNCTION("""COMPUTED_VALUE"""),22.14)</f>
        <v>22.14</v>
      </c>
      <c r="E725" s="1">
        <f ca="1">IFERROR(__xludf.DUMMYFUNCTION("""COMPUTED_VALUE"""),22.58)</f>
        <v>22.58</v>
      </c>
      <c r="F725" s="1">
        <f ca="1">IFERROR(__xludf.DUMMYFUNCTION("""COMPUTED_VALUE"""),9101258)</f>
        <v>9101258</v>
      </c>
    </row>
    <row r="726" spans="1:6" x14ac:dyDescent="0.2">
      <c r="A726" s="2">
        <f ca="1">IFERROR(__xludf.DUMMYFUNCTION("""COMPUTED_VALUE"""),43328.6666666666)</f>
        <v>43328.666666666599</v>
      </c>
      <c r="B726" s="1">
        <f ca="1">IFERROR(__xludf.DUMMYFUNCTION("""COMPUTED_VALUE"""),22.66)</f>
        <v>22.66</v>
      </c>
      <c r="C726" s="1">
        <f ca="1">IFERROR(__xludf.DUMMYFUNCTION("""COMPUTED_VALUE"""),22.82)</f>
        <v>22.82</v>
      </c>
      <c r="D726" s="1">
        <f ca="1">IFERROR(__xludf.DUMMYFUNCTION("""COMPUTED_VALUE"""),22.25)</f>
        <v>22.25</v>
      </c>
      <c r="E726" s="1">
        <f ca="1">IFERROR(__xludf.DUMMYFUNCTION("""COMPUTED_VALUE"""),22.36)</f>
        <v>22.36</v>
      </c>
      <c r="F726" s="1">
        <f ca="1">IFERROR(__xludf.DUMMYFUNCTION("""COMPUTED_VALUE"""),6064033)</f>
        <v>6064033</v>
      </c>
    </row>
    <row r="727" spans="1:6" x14ac:dyDescent="0.2">
      <c r="A727" s="2">
        <f ca="1">IFERROR(__xludf.DUMMYFUNCTION("""COMPUTED_VALUE"""),43329.6666666666)</f>
        <v>43329.666666666599</v>
      </c>
      <c r="B727" s="1">
        <f ca="1">IFERROR(__xludf.DUMMYFUNCTION("""COMPUTED_VALUE"""),21.57)</f>
        <v>21.57</v>
      </c>
      <c r="C727" s="1">
        <f ca="1">IFERROR(__xludf.DUMMYFUNCTION("""COMPUTED_VALUE"""),21.78)</f>
        <v>21.78</v>
      </c>
      <c r="D727" s="1">
        <f ca="1">IFERROR(__xludf.DUMMYFUNCTION("""COMPUTED_VALUE"""),20.24)</f>
        <v>20.239999999999998</v>
      </c>
      <c r="E727" s="1">
        <f ca="1">IFERROR(__xludf.DUMMYFUNCTION("""COMPUTED_VALUE"""),20.37)</f>
        <v>20.37</v>
      </c>
      <c r="F727" s="1">
        <f ca="1">IFERROR(__xludf.DUMMYFUNCTION("""COMPUTED_VALUE"""),18958612)</f>
        <v>18958612</v>
      </c>
    </row>
    <row r="728" spans="1:6" x14ac:dyDescent="0.2">
      <c r="A728" s="2">
        <f ca="1">IFERROR(__xludf.DUMMYFUNCTION("""COMPUTED_VALUE"""),43332.6666666666)</f>
        <v>43332.666666666599</v>
      </c>
      <c r="B728" s="1">
        <f ca="1">IFERROR(__xludf.DUMMYFUNCTION("""COMPUTED_VALUE"""),19.45)</f>
        <v>19.45</v>
      </c>
      <c r="C728" s="1">
        <f ca="1">IFERROR(__xludf.DUMMYFUNCTION("""COMPUTED_VALUE"""),20.57)</f>
        <v>20.57</v>
      </c>
      <c r="D728" s="1">
        <f ca="1">IFERROR(__xludf.DUMMYFUNCTION("""COMPUTED_VALUE"""),19.21)</f>
        <v>19.21</v>
      </c>
      <c r="E728" s="1">
        <f ca="1">IFERROR(__xludf.DUMMYFUNCTION("""COMPUTED_VALUE"""),20.56)</f>
        <v>20.56</v>
      </c>
      <c r="F728" s="1">
        <f ca="1">IFERROR(__xludf.DUMMYFUNCTION("""COMPUTED_VALUE"""),17402335)</f>
        <v>17402335</v>
      </c>
    </row>
    <row r="729" spans="1:6" x14ac:dyDescent="0.2">
      <c r="A729" s="2">
        <f ca="1">IFERROR(__xludf.DUMMYFUNCTION("""COMPUTED_VALUE"""),43333.6666666666)</f>
        <v>43333.666666666599</v>
      </c>
      <c r="B729" s="1">
        <f ca="1">IFERROR(__xludf.DUMMYFUNCTION("""COMPUTED_VALUE"""),20.71)</f>
        <v>20.71</v>
      </c>
      <c r="C729" s="1">
        <f ca="1">IFERROR(__xludf.DUMMYFUNCTION("""COMPUTED_VALUE"""),21.65)</f>
        <v>21.65</v>
      </c>
      <c r="D729" s="1">
        <f ca="1">IFERROR(__xludf.DUMMYFUNCTION("""COMPUTED_VALUE"""),20.6)</f>
        <v>20.6</v>
      </c>
      <c r="E729" s="1">
        <f ca="1">IFERROR(__xludf.DUMMYFUNCTION("""COMPUTED_VALUE"""),21.46)</f>
        <v>21.46</v>
      </c>
      <c r="F729" s="1">
        <f ca="1">IFERROR(__xludf.DUMMYFUNCTION("""COMPUTED_VALUE"""),13172230)</f>
        <v>13172230</v>
      </c>
    </row>
    <row r="730" spans="1:6" x14ac:dyDescent="0.2">
      <c r="A730" s="2">
        <f ca="1">IFERROR(__xludf.DUMMYFUNCTION("""COMPUTED_VALUE"""),43334.6666666666)</f>
        <v>43334.666666666599</v>
      </c>
      <c r="B730" s="1">
        <f ca="1">IFERROR(__xludf.DUMMYFUNCTION("""COMPUTED_VALUE"""),21.39)</f>
        <v>21.39</v>
      </c>
      <c r="C730" s="1">
        <f ca="1">IFERROR(__xludf.DUMMYFUNCTION("""COMPUTED_VALUE"""),21.59)</f>
        <v>21.59</v>
      </c>
      <c r="D730" s="1">
        <f ca="1">IFERROR(__xludf.DUMMYFUNCTION("""COMPUTED_VALUE"""),20.98)</f>
        <v>20.98</v>
      </c>
      <c r="E730" s="1">
        <f ca="1">IFERROR(__xludf.DUMMYFUNCTION("""COMPUTED_VALUE"""),21.44)</f>
        <v>21.44</v>
      </c>
      <c r="F730" s="1">
        <f ca="1">IFERROR(__xludf.DUMMYFUNCTION("""COMPUTED_VALUE"""),5945955)</f>
        <v>5945955</v>
      </c>
    </row>
    <row r="731" spans="1:6" x14ac:dyDescent="0.2">
      <c r="A731" s="2">
        <f ca="1">IFERROR(__xludf.DUMMYFUNCTION("""COMPUTED_VALUE"""),43335.6666666666)</f>
        <v>43335.666666666599</v>
      </c>
      <c r="B731" s="1">
        <f ca="1">IFERROR(__xludf.DUMMYFUNCTION("""COMPUTED_VALUE"""),21.28)</f>
        <v>21.28</v>
      </c>
      <c r="C731" s="1">
        <f ca="1">IFERROR(__xludf.DUMMYFUNCTION("""COMPUTED_VALUE"""),21.82)</f>
        <v>21.82</v>
      </c>
      <c r="D731" s="1">
        <f ca="1">IFERROR(__xludf.DUMMYFUNCTION("""COMPUTED_VALUE"""),21.21)</f>
        <v>21.21</v>
      </c>
      <c r="E731" s="1">
        <f ca="1">IFERROR(__xludf.DUMMYFUNCTION("""COMPUTED_VALUE"""),21.34)</f>
        <v>21.34</v>
      </c>
      <c r="F731" s="1">
        <f ca="1">IFERROR(__xludf.DUMMYFUNCTION("""COMPUTED_VALUE"""),5147286)</f>
        <v>5147286</v>
      </c>
    </row>
    <row r="732" spans="1:6" x14ac:dyDescent="0.2">
      <c r="A732" s="2">
        <f ca="1">IFERROR(__xludf.DUMMYFUNCTION("""COMPUTED_VALUE"""),43336.6666666666)</f>
        <v>43336.666666666599</v>
      </c>
      <c r="B732" s="1">
        <f ca="1">IFERROR(__xludf.DUMMYFUNCTION("""COMPUTED_VALUE"""),21.38)</f>
        <v>21.38</v>
      </c>
      <c r="C732" s="1">
        <f ca="1">IFERROR(__xludf.DUMMYFUNCTION("""COMPUTED_VALUE"""),21.59)</f>
        <v>21.59</v>
      </c>
      <c r="D732" s="1">
        <f ca="1">IFERROR(__xludf.DUMMYFUNCTION("""COMPUTED_VALUE"""),21.29)</f>
        <v>21.29</v>
      </c>
      <c r="E732" s="1">
        <f ca="1">IFERROR(__xludf.DUMMYFUNCTION("""COMPUTED_VALUE"""),21.52)</f>
        <v>21.52</v>
      </c>
      <c r="F732" s="1">
        <f ca="1">IFERROR(__xludf.DUMMYFUNCTION("""COMPUTED_VALUE"""),3602564)</f>
        <v>3602564</v>
      </c>
    </row>
    <row r="733" spans="1:6" x14ac:dyDescent="0.2">
      <c r="A733" s="2">
        <f ca="1">IFERROR(__xludf.DUMMYFUNCTION("""COMPUTED_VALUE"""),43339.6666666666)</f>
        <v>43339.666666666599</v>
      </c>
      <c r="B733" s="1">
        <f ca="1">IFERROR(__xludf.DUMMYFUNCTION("""COMPUTED_VALUE"""),21.2)</f>
        <v>21.2</v>
      </c>
      <c r="C733" s="1">
        <f ca="1">IFERROR(__xludf.DUMMYFUNCTION("""COMPUTED_VALUE"""),21.5)</f>
        <v>21.5</v>
      </c>
      <c r="D733" s="1">
        <f ca="1">IFERROR(__xludf.DUMMYFUNCTION("""COMPUTED_VALUE"""),20.59)</f>
        <v>20.59</v>
      </c>
      <c r="E733" s="1">
        <f ca="1">IFERROR(__xludf.DUMMYFUNCTION("""COMPUTED_VALUE"""),21.28)</f>
        <v>21.28</v>
      </c>
      <c r="F733" s="1">
        <f ca="1">IFERROR(__xludf.DUMMYFUNCTION("""COMPUTED_VALUE"""),13079288)</f>
        <v>13079288</v>
      </c>
    </row>
    <row r="734" spans="1:6" x14ac:dyDescent="0.2">
      <c r="A734" s="2">
        <f ca="1">IFERROR(__xludf.DUMMYFUNCTION("""COMPUTED_VALUE"""),43340.6666666666)</f>
        <v>43340.666666666599</v>
      </c>
      <c r="B734" s="1">
        <f ca="1">IFERROR(__xludf.DUMMYFUNCTION("""COMPUTED_VALUE"""),21.23)</f>
        <v>21.23</v>
      </c>
      <c r="C734" s="1">
        <f ca="1">IFERROR(__xludf.DUMMYFUNCTION("""COMPUTED_VALUE"""),21.26)</f>
        <v>21.26</v>
      </c>
      <c r="D734" s="1">
        <f ca="1">IFERROR(__xludf.DUMMYFUNCTION("""COMPUTED_VALUE"""),20.75)</f>
        <v>20.75</v>
      </c>
      <c r="E734" s="1">
        <f ca="1">IFERROR(__xludf.DUMMYFUNCTION("""COMPUTED_VALUE"""),20.79)</f>
        <v>20.79</v>
      </c>
      <c r="F734" s="1">
        <f ca="1">IFERROR(__xludf.DUMMYFUNCTION("""COMPUTED_VALUE"""),7649091)</f>
        <v>7649091</v>
      </c>
    </row>
    <row r="735" spans="1:6" x14ac:dyDescent="0.2">
      <c r="A735" s="2">
        <f ca="1">IFERROR(__xludf.DUMMYFUNCTION("""COMPUTED_VALUE"""),43341.6666666666)</f>
        <v>43341.666666666599</v>
      </c>
      <c r="B735" s="1">
        <f ca="1">IFERROR(__xludf.DUMMYFUNCTION("""COMPUTED_VALUE"""),20.68)</f>
        <v>20.68</v>
      </c>
      <c r="C735" s="1">
        <f ca="1">IFERROR(__xludf.DUMMYFUNCTION("""COMPUTED_VALUE"""),20.79)</f>
        <v>20.79</v>
      </c>
      <c r="D735" s="1">
        <f ca="1">IFERROR(__xludf.DUMMYFUNCTION("""COMPUTED_VALUE"""),20.25)</f>
        <v>20.25</v>
      </c>
      <c r="E735" s="1">
        <f ca="1">IFERROR(__xludf.DUMMYFUNCTION("""COMPUTED_VALUE"""),20.33)</f>
        <v>20.329999999999998</v>
      </c>
      <c r="F735" s="1">
        <f ca="1">IFERROR(__xludf.DUMMYFUNCTION("""COMPUTED_VALUE"""),7447392)</f>
        <v>7447392</v>
      </c>
    </row>
    <row r="736" spans="1:6" x14ac:dyDescent="0.2">
      <c r="A736" s="2">
        <f ca="1">IFERROR(__xludf.DUMMYFUNCTION("""COMPUTED_VALUE"""),43342.6666666666)</f>
        <v>43342.666666666599</v>
      </c>
      <c r="B736" s="1">
        <f ca="1">IFERROR(__xludf.DUMMYFUNCTION("""COMPUTED_VALUE"""),20.15)</f>
        <v>20.149999999999999</v>
      </c>
      <c r="C736" s="1">
        <f ca="1">IFERROR(__xludf.DUMMYFUNCTION("""COMPUTED_VALUE"""),20.31)</f>
        <v>20.309999999999999</v>
      </c>
      <c r="D736" s="1">
        <f ca="1">IFERROR(__xludf.DUMMYFUNCTION("""COMPUTED_VALUE"""),19.85)</f>
        <v>19.850000000000001</v>
      </c>
      <c r="E736" s="1">
        <f ca="1">IFERROR(__xludf.DUMMYFUNCTION("""COMPUTED_VALUE"""),20.21)</f>
        <v>20.21</v>
      </c>
      <c r="F736" s="1">
        <f ca="1">IFERROR(__xludf.DUMMYFUNCTION("""COMPUTED_VALUE"""),7216706)</f>
        <v>7216706</v>
      </c>
    </row>
    <row r="737" spans="1:6" x14ac:dyDescent="0.2">
      <c r="A737" s="2">
        <f ca="1">IFERROR(__xludf.DUMMYFUNCTION("""COMPUTED_VALUE"""),43343.6666666666)</f>
        <v>43343.666666666599</v>
      </c>
      <c r="B737" s="1">
        <f ca="1">IFERROR(__xludf.DUMMYFUNCTION("""COMPUTED_VALUE"""),20.13)</f>
        <v>20.13</v>
      </c>
      <c r="C737" s="1">
        <f ca="1">IFERROR(__xludf.DUMMYFUNCTION("""COMPUTED_VALUE"""),20.35)</f>
        <v>20.350000000000001</v>
      </c>
      <c r="D737" s="1">
        <f ca="1">IFERROR(__xludf.DUMMYFUNCTION("""COMPUTED_VALUE"""),19.91)</f>
        <v>19.91</v>
      </c>
      <c r="E737" s="1">
        <f ca="1">IFERROR(__xludf.DUMMYFUNCTION("""COMPUTED_VALUE"""),20.11)</f>
        <v>20.11</v>
      </c>
      <c r="F737" s="1">
        <f ca="1">IFERROR(__xludf.DUMMYFUNCTION("""COMPUTED_VALUE"""),5375104)</f>
        <v>5375104</v>
      </c>
    </row>
    <row r="738" spans="1:6" x14ac:dyDescent="0.2">
      <c r="A738" s="2">
        <f ca="1">IFERROR(__xludf.DUMMYFUNCTION("""COMPUTED_VALUE"""),43347.6666666666)</f>
        <v>43347.666666666599</v>
      </c>
      <c r="B738" s="1">
        <f ca="1">IFERROR(__xludf.DUMMYFUNCTION("""COMPUTED_VALUE"""),19.8)</f>
        <v>19.8</v>
      </c>
      <c r="C738" s="1">
        <f ca="1">IFERROR(__xludf.DUMMYFUNCTION("""COMPUTED_VALUE"""),19.88)</f>
        <v>19.88</v>
      </c>
      <c r="D738" s="1">
        <f ca="1">IFERROR(__xludf.DUMMYFUNCTION("""COMPUTED_VALUE"""),19.2)</f>
        <v>19.2</v>
      </c>
      <c r="E738" s="1">
        <f ca="1">IFERROR(__xludf.DUMMYFUNCTION("""COMPUTED_VALUE"""),19.26)</f>
        <v>19.260000000000002</v>
      </c>
      <c r="F738" s="1">
        <f ca="1">IFERROR(__xludf.DUMMYFUNCTION("""COMPUTED_VALUE"""),8350469)</f>
        <v>8350469</v>
      </c>
    </row>
    <row r="739" spans="1:6" x14ac:dyDescent="0.2">
      <c r="A739" s="2">
        <f ca="1">IFERROR(__xludf.DUMMYFUNCTION("""COMPUTED_VALUE"""),43348.6666666666)</f>
        <v>43348.666666666599</v>
      </c>
      <c r="B739" s="1">
        <f ca="1">IFERROR(__xludf.DUMMYFUNCTION("""COMPUTED_VALUE"""),19)</f>
        <v>19</v>
      </c>
      <c r="C739" s="1">
        <f ca="1">IFERROR(__xludf.DUMMYFUNCTION("""COMPUTED_VALUE"""),19.12)</f>
        <v>19.12</v>
      </c>
      <c r="D739" s="1">
        <f ca="1">IFERROR(__xludf.DUMMYFUNCTION("""COMPUTED_VALUE"""),18.48)</f>
        <v>18.48</v>
      </c>
      <c r="E739" s="1">
        <f ca="1">IFERROR(__xludf.DUMMYFUNCTION("""COMPUTED_VALUE"""),18.72)</f>
        <v>18.72</v>
      </c>
      <c r="F739" s="1">
        <f ca="1">IFERROR(__xludf.DUMMYFUNCTION("""COMPUTED_VALUE"""),7720821)</f>
        <v>7720821</v>
      </c>
    </row>
    <row r="740" spans="1:6" x14ac:dyDescent="0.2">
      <c r="A740" s="2">
        <f ca="1">IFERROR(__xludf.DUMMYFUNCTION("""COMPUTED_VALUE"""),43349.6666666666)</f>
        <v>43349.666666666599</v>
      </c>
      <c r="B740" s="1">
        <f ca="1">IFERROR(__xludf.DUMMYFUNCTION("""COMPUTED_VALUE"""),18.99)</f>
        <v>18.989999999999998</v>
      </c>
      <c r="C740" s="1">
        <f ca="1">IFERROR(__xludf.DUMMYFUNCTION("""COMPUTED_VALUE"""),19.41)</f>
        <v>19.41</v>
      </c>
      <c r="D740" s="1">
        <f ca="1">IFERROR(__xludf.DUMMYFUNCTION("""COMPUTED_VALUE"""),18.59)</f>
        <v>18.59</v>
      </c>
      <c r="E740" s="1">
        <f ca="1">IFERROR(__xludf.DUMMYFUNCTION("""COMPUTED_VALUE"""),18.73)</f>
        <v>18.73</v>
      </c>
      <c r="F740" s="1">
        <f ca="1">IFERROR(__xludf.DUMMYFUNCTION("""COMPUTED_VALUE"""),7480760)</f>
        <v>7480760</v>
      </c>
    </row>
    <row r="741" spans="1:6" x14ac:dyDescent="0.2">
      <c r="A741" s="2">
        <f ca="1">IFERROR(__xludf.DUMMYFUNCTION("""COMPUTED_VALUE"""),43350.6666666666)</f>
        <v>43350.666666666599</v>
      </c>
      <c r="B741" s="1">
        <f ca="1">IFERROR(__xludf.DUMMYFUNCTION("""COMPUTED_VALUE"""),17.34)</f>
        <v>17.34</v>
      </c>
      <c r="C741" s="1">
        <f ca="1">IFERROR(__xludf.DUMMYFUNCTION("""COMPUTED_VALUE"""),17.89)</f>
        <v>17.89</v>
      </c>
      <c r="D741" s="1">
        <f ca="1">IFERROR(__xludf.DUMMYFUNCTION("""COMPUTED_VALUE"""),16.82)</f>
        <v>16.82</v>
      </c>
      <c r="E741" s="1">
        <f ca="1">IFERROR(__xludf.DUMMYFUNCTION("""COMPUTED_VALUE"""),17.55)</f>
        <v>17.55</v>
      </c>
      <c r="F741" s="1">
        <f ca="1">IFERROR(__xludf.DUMMYFUNCTION("""COMPUTED_VALUE"""),22491931)</f>
        <v>22491931</v>
      </c>
    </row>
    <row r="742" spans="1:6" x14ac:dyDescent="0.2">
      <c r="A742" s="2">
        <f ca="1">IFERROR(__xludf.DUMMYFUNCTION("""COMPUTED_VALUE"""),43353.6666666666)</f>
        <v>43353.666666666599</v>
      </c>
      <c r="B742" s="1">
        <f ca="1">IFERROR(__xludf.DUMMYFUNCTION("""COMPUTED_VALUE"""),18.22)</f>
        <v>18.22</v>
      </c>
      <c r="C742" s="1">
        <f ca="1">IFERROR(__xludf.DUMMYFUNCTION("""COMPUTED_VALUE"""),19.07)</f>
        <v>19.07</v>
      </c>
      <c r="D742" s="1">
        <f ca="1">IFERROR(__xludf.DUMMYFUNCTION("""COMPUTED_VALUE"""),18.07)</f>
        <v>18.07</v>
      </c>
      <c r="E742" s="1">
        <f ca="1">IFERROR(__xludf.DUMMYFUNCTION("""COMPUTED_VALUE"""),19.03)</f>
        <v>19.03</v>
      </c>
      <c r="F742" s="1">
        <f ca="1">IFERROR(__xludf.DUMMYFUNCTION("""COMPUTED_VALUE"""),14283528)</f>
        <v>14283528</v>
      </c>
    </row>
    <row r="743" spans="1:6" x14ac:dyDescent="0.2">
      <c r="A743" s="2">
        <f ca="1">IFERROR(__xludf.DUMMYFUNCTION("""COMPUTED_VALUE"""),43354.6666666666)</f>
        <v>43354.666666666599</v>
      </c>
      <c r="B743" s="1">
        <f ca="1">IFERROR(__xludf.DUMMYFUNCTION("""COMPUTED_VALUE"""),18.63)</f>
        <v>18.63</v>
      </c>
      <c r="C743" s="1">
        <f ca="1">IFERROR(__xludf.DUMMYFUNCTION("""COMPUTED_VALUE"""),18.8)</f>
        <v>18.8</v>
      </c>
      <c r="D743" s="1">
        <f ca="1">IFERROR(__xludf.DUMMYFUNCTION("""COMPUTED_VALUE"""),18.24)</f>
        <v>18.239999999999998</v>
      </c>
      <c r="E743" s="1">
        <f ca="1">IFERROR(__xludf.DUMMYFUNCTION("""COMPUTED_VALUE"""),18.63)</f>
        <v>18.63</v>
      </c>
      <c r="F743" s="1">
        <f ca="1">IFERROR(__xludf.DUMMYFUNCTION("""COMPUTED_VALUE"""),9169989)</f>
        <v>9169989</v>
      </c>
    </row>
    <row r="744" spans="1:6" x14ac:dyDescent="0.2">
      <c r="A744" s="2">
        <f ca="1">IFERROR(__xludf.DUMMYFUNCTION("""COMPUTED_VALUE"""),43355.6666666666)</f>
        <v>43355.666666666599</v>
      </c>
      <c r="B744" s="1">
        <f ca="1">IFERROR(__xludf.DUMMYFUNCTION("""COMPUTED_VALUE"""),18.76)</f>
        <v>18.760000000000002</v>
      </c>
      <c r="C744" s="1">
        <f ca="1">IFERROR(__xludf.DUMMYFUNCTION("""COMPUTED_VALUE"""),19.5)</f>
        <v>19.5</v>
      </c>
      <c r="D744" s="1">
        <f ca="1">IFERROR(__xludf.DUMMYFUNCTION("""COMPUTED_VALUE"""),18.58)</f>
        <v>18.579999999999998</v>
      </c>
      <c r="E744" s="1">
        <f ca="1">IFERROR(__xludf.DUMMYFUNCTION("""COMPUTED_VALUE"""),19.37)</f>
        <v>19.37</v>
      </c>
      <c r="F744" s="1">
        <f ca="1">IFERROR(__xludf.DUMMYFUNCTION("""COMPUTED_VALUE"""),10015427)</f>
        <v>10015427</v>
      </c>
    </row>
    <row r="745" spans="1:6" x14ac:dyDescent="0.2">
      <c r="A745" s="2">
        <f ca="1">IFERROR(__xludf.DUMMYFUNCTION("""COMPUTED_VALUE"""),43356.6666666666)</f>
        <v>43356.666666666599</v>
      </c>
      <c r="B745" s="1">
        <f ca="1">IFERROR(__xludf.DUMMYFUNCTION("""COMPUTED_VALUE"""),19.2)</f>
        <v>19.2</v>
      </c>
      <c r="C745" s="1">
        <f ca="1">IFERROR(__xludf.DUMMYFUNCTION("""COMPUTED_VALUE"""),19.67)</f>
        <v>19.670000000000002</v>
      </c>
      <c r="D745" s="1">
        <f ca="1">IFERROR(__xludf.DUMMYFUNCTION("""COMPUTED_VALUE"""),19.01)</f>
        <v>19.010000000000002</v>
      </c>
      <c r="E745" s="1">
        <f ca="1">IFERROR(__xludf.DUMMYFUNCTION("""COMPUTED_VALUE"""),19.3)</f>
        <v>19.3</v>
      </c>
      <c r="F745" s="1">
        <f ca="1">IFERROR(__xludf.DUMMYFUNCTION("""COMPUTED_VALUE"""),6340336)</f>
        <v>6340336</v>
      </c>
    </row>
    <row r="746" spans="1:6" x14ac:dyDescent="0.2">
      <c r="A746" s="2">
        <f ca="1">IFERROR(__xludf.DUMMYFUNCTION("""COMPUTED_VALUE"""),43357.6666666666)</f>
        <v>43357.666666666599</v>
      </c>
      <c r="B746" s="1">
        <f ca="1">IFERROR(__xludf.DUMMYFUNCTION("""COMPUTED_VALUE"""),19.25)</f>
        <v>19.25</v>
      </c>
      <c r="C746" s="1">
        <f ca="1">IFERROR(__xludf.DUMMYFUNCTION("""COMPUTED_VALUE"""),19.82)</f>
        <v>19.82</v>
      </c>
      <c r="D746" s="1">
        <f ca="1">IFERROR(__xludf.DUMMYFUNCTION("""COMPUTED_VALUE"""),19.1)</f>
        <v>19.100000000000001</v>
      </c>
      <c r="E746" s="1">
        <f ca="1">IFERROR(__xludf.DUMMYFUNCTION("""COMPUTED_VALUE"""),19.68)</f>
        <v>19.68</v>
      </c>
      <c r="F746" s="1">
        <f ca="1">IFERROR(__xludf.DUMMYFUNCTION("""COMPUTED_VALUE"""),6765612)</f>
        <v>6765612</v>
      </c>
    </row>
    <row r="747" spans="1:6" x14ac:dyDescent="0.2">
      <c r="A747" s="2">
        <f ca="1">IFERROR(__xludf.DUMMYFUNCTION("""COMPUTED_VALUE"""),43360.6666666666)</f>
        <v>43360.666666666599</v>
      </c>
      <c r="B747" s="1">
        <f ca="1">IFERROR(__xludf.DUMMYFUNCTION("""COMPUTED_VALUE"""),19.34)</f>
        <v>19.34</v>
      </c>
      <c r="C747" s="1">
        <f ca="1">IFERROR(__xludf.DUMMYFUNCTION("""COMPUTED_VALUE"""),20.06)</f>
        <v>20.059999999999999</v>
      </c>
      <c r="D747" s="1">
        <f ca="1">IFERROR(__xludf.DUMMYFUNCTION("""COMPUTED_VALUE"""),19.21)</f>
        <v>19.21</v>
      </c>
      <c r="E747" s="1">
        <f ca="1">IFERROR(__xludf.DUMMYFUNCTION("""COMPUTED_VALUE"""),19.66)</f>
        <v>19.66</v>
      </c>
      <c r="F747" s="1">
        <f ca="1">IFERROR(__xludf.DUMMYFUNCTION("""COMPUTED_VALUE"""),6887577)</f>
        <v>6887577</v>
      </c>
    </row>
    <row r="748" spans="1:6" x14ac:dyDescent="0.2">
      <c r="A748" s="2">
        <f ca="1">IFERROR(__xludf.DUMMYFUNCTION("""COMPUTED_VALUE"""),43361.6666666666)</f>
        <v>43361.666666666599</v>
      </c>
      <c r="B748" s="1">
        <f ca="1">IFERROR(__xludf.DUMMYFUNCTION("""COMPUTED_VALUE"""),19.78)</f>
        <v>19.78</v>
      </c>
      <c r="C748" s="1">
        <f ca="1">IFERROR(__xludf.DUMMYFUNCTION("""COMPUTED_VALUE"""),20.18)</f>
        <v>20.18</v>
      </c>
      <c r="D748" s="1">
        <f ca="1">IFERROR(__xludf.DUMMYFUNCTION("""COMPUTED_VALUE"""),18.37)</f>
        <v>18.37</v>
      </c>
      <c r="E748" s="1">
        <f ca="1">IFERROR(__xludf.DUMMYFUNCTION("""COMPUTED_VALUE"""),19)</f>
        <v>19</v>
      </c>
      <c r="F748" s="1">
        <f ca="1">IFERROR(__xludf.DUMMYFUNCTION("""COMPUTED_VALUE"""),16547522)</f>
        <v>16547522</v>
      </c>
    </row>
    <row r="749" spans="1:6" x14ac:dyDescent="0.2">
      <c r="A749" s="2">
        <f ca="1">IFERROR(__xludf.DUMMYFUNCTION("""COMPUTED_VALUE"""),43362.6666666666)</f>
        <v>43362.666666666599</v>
      </c>
      <c r="B749" s="1">
        <f ca="1">IFERROR(__xludf.DUMMYFUNCTION("""COMPUTED_VALUE"""),18.7)</f>
        <v>18.7</v>
      </c>
      <c r="C749" s="1">
        <f ca="1">IFERROR(__xludf.DUMMYFUNCTION("""COMPUTED_VALUE"""),20)</f>
        <v>20</v>
      </c>
      <c r="D749" s="1">
        <f ca="1">IFERROR(__xludf.DUMMYFUNCTION("""COMPUTED_VALUE"""),18.7)</f>
        <v>18.7</v>
      </c>
      <c r="E749" s="1">
        <f ca="1">IFERROR(__xludf.DUMMYFUNCTION("""COMPUTED_VALUE"""),19.93)</f>
        <v>19.93</v>
      </c>
      <c r="F749" s="1">
        <f ca="1">IFERROR(__xludf.DUMMYFUNCTION("""COMPUTED_VALUE"""),8294917)</f>
        <v>8294917</v>
      </c>
    </row>
    <row r="750" spans="1:6" x14ac:dyDescent="0.2">
      <c r="A750" s="2">
        <f ca="1">IFERROR(__xludf.DUMMYFUNCTION("""COMPUTED_VALUE"""),43363.6666666666)</f>
        <v>43363.666666666599</v>
      </c>
      <c r="B750" s="1">
        <f ca="1">IFERROR(__xludf.DUMMYFUNCTION("""COMPUTED_VALUE"""),20.24)</f>
        <v>20.239999999999998</v>
      </c>
      <c r="C750" s="1">
        <f ca="1">IFERROR(__xludf.DUMMYFUNCTION("""COMPUTED_VALUE"""),20.4)</f>
        <v>20.399999999999999</v>
      </c>
      <c r="D750" s="1">
        <f ca="1">IFERROR(__xludf.DUMMYFUNCTION("""COMPUTED_VALUE"""),19.56)</f>
        <v>19.559999999999999</v>
      </c>
      <c r="E750" s="1">
        <f ca="1">IFERROR(__xludf.DUMMYFUNCTION("""COMPUTED_VALUE"""),19.89)</f>
        <v>19.89</v>
      </c>
      <c r="F750" s="1">
        <f ca="1">IFERROR(__xludf.DUMMYFUNCTION("""COMPUTED_VALUE"""),7349422)</f>
        <v>7349422</v>
      </c>
    </row>
    <row r="751" spans="1:6" x14ac:dyDescent="0.2">
      <c r="A751" s="2">
        <f ca="1">IFERROR(__xludf.DUMMYFUNCTION("""COMPUTED_VALUE"""),43364.6666666666)</f>
        <v>43364.666666666599</v>
      </c>
      <c r="B751" s="1">
        <f ca="1">IFERROR(__xludf.DUMMYFUNCTION("""COMPUTED_VALUE"""),19.85)</f>
        <v>19.850000000000001</v>
      </c>
      <c r="C751" s="1">
        <f ca="1">IFERROR(__xludf.DUMMYFUNCTION("""COMPUTED_VALUE"""),20.04)</f>
        <v>20.04</v>
      </c>
      <c r="D751" s="1">
        <f ca="1">IFERROR(__xludf.DUMMYFUNCTION("""COMPUTED_VALUE"""),19.69)</f>
        <v>19.690000000000001</v>
      </c>
      <c r="E751" s="1">
        <f ca="1">IFERROR(__xludf.DUMMYFUNCTION("""COMPUTED_VALUE"""),19.94)</f>
        <v>19.940000000000001</v>
      </c>
      <c r="F751" s="1">
        <f ca="1">IFERROR(__xludf.DUMMYFUNCTION("""COMPUTED_VALUE"""),5050478)</f>
        <v>5050478</v>
      </c>
    </row>
    <row r="752" spans="1:6" x14ac:dyDescent="0.2">
      <c r="A752" s="2">
        <f ca="1">IFERROR(__xludf.DUMMYFUNCTION("""COMPUTED_VALUE"""),43367.6666666666)</f>
        <v>43367.666666666599</v>
      </c>
      <c r="B752" s="1">
        <f ca="1">IFERROR(__xludf.DUMMYFUNCTION("""COMPUTED_VALUE"""),19.9)</f>
        <v>19.899999999999999</v>
      </c>
      <c r="C752" s="1">
        <f ca="1">IFERROR(__xludf.DUMMYFUNCTION("""COMPUTED_VALUE"""),20.2)</f>
        <v>20.2</v>
      </c>
      <c r="D752" s="1">
        <f ca="1">IFERROR(__xludf.DUMMYFUNCTION("""COMPUTED_VALUE"""),19.57)</f>
        <v>19.57</v>
      </c>
      <c r="E752" s="1">
        <f ca="1">IFERROR(__xludf.DUMMYFUNCTION("""COMPUTED_VALUE"""),19.98)</f>
        <v>19.98</v>
      </c>
      <c r="F752" s="1">
        <f ca="1">IFERROR(__xludf.DUMMYFUNCTION("""COMPUTED_VALUE"""),4842961)</f>
        <v>4842961</v>
      </c>
    </row>
    <row r="753" spans="1:6" x14ac:dyDescent="0.2">
      <c r="A753" s="2">
        <f ca="1">IFERROR(__xludf.DUMMYFUNCTION("""COMPUTED_VALUE"""),43368.6666666666)</f>
        <v>43368.666666666599</v>
      </c>
      <c r="B753" s="1">
        <f ca="1">IFERROR(__xludf.DUMMYFUNCTION("""COMPUTED_VALUE"""),20)</f>
        <v>20</v>
      </c>
      <c r="C753" s="1">
        <f ca="1">IFERROR(__xludf.DUMMYFUNCTION("""COMPUTED_VALUE"""),20.31)</f>
        <v>20.309999999999999</v>
      </c>
      <c r="D753" s="1">
        <f ca="1">IFERROR(__xludf.DUMMYFUNCTION("""COMPUTED_VALUE"""),19.77)</f>
        <v>19.77</v>
      </c>
      <c r="E753" s="1">
        <f ca="1">IFERROR(__xludf.DUMMYFUNCTION("""COMPUTED_VALUE"""),20.07)</f>
        <v>20.07</v>
      </c>
      <c r="F753" s="1">
        <f ca="1">IFERROR(__xludf.DUMMYFUNCTION("""COMPUTED_VALUE"""),4481729)</f>
        <v>4481729</v>
      </c>
    </row>
    <row r="754" spans="1:6" x14ac:dyDescent="0.2">
      <c r="A754" s="2">
        <f ca="1">IFERROR(__xludf.DUMMYFUNCTION("""COMPUTED_VALUE"""),43369.6666666666)</f>
        <v>43369.666666666599</v>
      </c>
      <c r="B754" s="1">
        <f ca="1">IFERROR(__xludf.DUMMYFUNCTION("""COMPUTED_VALUE"""),20.13)</f>
        <v>20.13</v>
      </c>
      <c r="C754" s="1">
        <f ca="1">IFERROR(__xludf.DUMMYFUNCTION("""COMPUTED_VALUE"""),20.93)</f>
        <v>20.93</v>
      </c>
      <c r="D754" s="1">
        <f ca="1">IFERROR(__xludf.DUMMYFUNCTION("""COMPUTED_VALUE"""),20.07)</f>
        <v>20.07</v>
      </c>
      <c r="E754" s="1">
        <f ca="1">IFERROR(__xludf.DUMMYFUNCTION("""COMPUTED_VALUE"""),20.64)</f>
        <v>20.64</v>
      </c>
      <c r="F754" s="1">
        <f ca="1">IFERROR(__xludf.DUMMYFUNCTION("""COMPUTED_VALUE"""),7843216)</f>
        <v>7843216</v>
      </c>
    </row>
    <row r="755" spans="1:6" x14ac:dyDescent="0.2">
      <c r="A755" s="2">
        <f ca="1">IFERROR(__xludf.DUMMYFUNCTION("""COMPUTED_VALUE"""),43370.6666666666)</f>
        <v>43370.666666666599</v>
      </c>
      <c r="B755" s="1">
        <f ca="1">IFERROR(__xludf.DUMMYFUNCTION("""COMPUTED_VALUE"""),20.86)</f>
        <v>20.86</v>
      </c>
      <c r="C755" s="1">
        <f ca="1">IFERROR(__xludf.DUMMYFUNCTION("""COMPUTED_VALUE"""),21)</f>
        <v>21</v>
      </c>
      <c r="D755" s="1">
        <f ca="1">IFERROR(__xludf.DUMMYFUNCTION("""COMPUTED_VALUE"""),20.46)</f>
        <v>20.46</v>
      </c>
      <c r="E755" s="1">
        <f ca="1">IFERROR(__xludf.DUMMYFUNCTION("""COMPUTED_VALUE"""),20.5)</f>
        <v>20.5</v>
      </c>
      <c r="F755" s="1">
        <f ca="1">IFERROR(__xludf.DUMMYFUNCTION("""COMPUTED_VALUE"""),8509084)</f>
        <v>8509084</v>
      </c>
    </row>
    <row r="756" spans="1:6" x14ac:dyDescent="0.2">
      <c r="A756" s="2">
        <f ca="1">IFERROR(__xludf.DUMMYFUNCTION("""COMPUTED_VALUE"""),43371.6666666666)</f>
        <v>43371.666666666599</v>
      </c>
      <c r="B756" s="1">
        <f ca="1">IFERROR(__xludf.DUMMYFUNCTION("""COMPUTED_VALUE"""),18.02)</f>
        <v>18.02</v>
      </c>
      <c r="C756" s="1">
        <f ca="1">IFERROR(__xludf.DUMMYFUNCTION("""COMPUTED_VALUE"""),18.53)</f>
        <v>18.53</v>
      </c>
      <c r="D756" s="1">
        <f ca="1">IFERROR(__xludf.DUMMYFUNCTION("""COMPUTED_VALUE"""),17.37)</f>
        <v>17.37</v>
      </c>
      <c r="E756" s="1">
        <f ca="1">IFERROR(__xludf.DUMMYFUNCTION("""COMPUTED_VALUE"""),17.65)</f>
        <v>17.649999999999999</v>
      </c>
      <c r="F756" s="1">
        <f ca="1">IFERROR(__xludf.DUMMYFUNCTION("""COMPUTED_VALUE"""),33649694)</f>
        <v>33649694</v>
      </c>
    </row>
    <row r="757" spans="1:6" x14ac:dyDescent="0.2">
      <c r="A757" s="2">
        <f ca="1">IFERROR(__xludf.DUMMYFUNCTION("""COMPUTED_VALUE"""),43374.6666666666)</f>
        <v>43374.666666666599</v>
      </c>
      <c r="B757" s="1">
        <f ca="1">IFERROR(__xludf.DUMMYFUNCTION("""COMPUTED_VALUE"""),20.38)</f>
        <v>20.38</v>
      </c>
      <c r="C757" s="1">
        <f ca="1">IFERROR(__xludf.DUMMYFUNCTION("""COMPUTED_VALUE"""),20.76)</f>
        <v>20.76</v>
      </c>
      <c r="D757" s="1">
        <f ca="1">IFERROR(__xludf.DUMMYFUNCTION("""COMPUTED_VALUE"""),20.07)</f>
        <v>20.07</v>
      </c>
      <c r="E757" s="1">
        <f ca="1">IFERROR(__xludf.DUMMYFUNCTION("""COMPUTED_VALUE"""),20.71)</f>
        <v>20.71</v>
      </c>
      <c r="F757" s="1">
        <f ca="1">IFERROR(__xludf.DUMMYFUNCTION("""COMPUTED_VALUE"""),21777597)</f>
        <v>21777597</v>
      </c>
    </row>
    <row r="758" spans="1:6" x14ac:dyDescent="0.2">
      <c r="A758" s="2">
        <f ca="1">IFERROR(__xludf.DUMMYFUNCTION("""COMPUTED_VALUE"""),43375.6666666666)</f>
        <v>43375.666666666599</v>
      </c>
      <c r="B758" s="1">
        <f ca="1">IFERROR(__xludf.DUMMYFUNCTION("""COMPUTED_VALUE"""),20.93)</f>
        <v>20.93</v>
      </c>
      <c r="C758" s="1">
        <f ca="1">IFERROR(__xludf.DUMMYFUNCTION("""COMPUTED_VALUE"""),21.12)</f>
        <v>21.12</v>
      </c>
      <c r="D758" s="1">
        <f ca="1">IFERROR(__xludf.DUMMYFUNCTION("""COMPUTED_VALUE"""),19.94)</f>
        <v>19.940000000000001</v>
      </c>
      <c r="E758" s="1">
        <f ca="1">IFERROR(__xludf.DUMMYFUNCTION("""COMPUTED_VALUE"""),20.07)</f>
        <v>20.07</v>
      </c>
      <c r="F758" s="1">
        <f ca="1">IFERROR(__xludf.DUMMYFUNCTION("""COMPUTED_VALUE"""),11743511)</f>
        <v>11743511</v>
      </c>
    </row>
    <row r="759" spans="1:6" x14ac:dyDescent="0.2">
      <c r="A759" s="2">
        <f ca="1">IFERROR(__xludf.DUMMYFUNCTION("""COMPUTED_VALUE"""),43376.6666666666)</f>
        <v>43376.666666666599</v>
      </c>
      <c r="B759" s="1">
        <f ca="1">IFERROR(__xludf.DUMMYFUNCTION("""COMPUTED_VALUE"""),20.22)</f>
        <v>20.22</v>
      </c>
      <c r="C759" s="1">
        <f ca="1">IFERROR(__xludf.DUMMYFUNCTION("""COMPUTED_VALUE"""),20.31)</f>
        <v>20.309999999999999</v>
      </c>
      <c r="D759" s="1">
        <f ca="1">IFERROR(__xludf.DUMMYFUNCTION("""COMPUTED_VALUE"""),19.44)</f>
        <v>19.440000000000001</v>
      </c>
      <c r="E759" s="1">
        <f ca="1">IFERROR(__xludf.DUMMYFUNCTION("""COMPUTED_VALUE"""),19.65)</f>
        <v>19.649999999999999</v>
      </c>
      <c r="F759" s="1">
        <f ca="1">IFERROR(__xludf.DUMMYFUNCTION("""COMPUTED_VALUE"""),7994988)</f>
        <v>7994988</v>
      </c>
    </row>
    <row r="760" spans="1:6" x14ac:dyDescent="0.2">
      <c r="A760" s="2">
        <f ca="1">IFERROR(__xludf.DUMMYFUNCTION("""COMPUTED_VALUE"""),43377.6666666666)</f>
        <v>43377.666666666599</v>
      </c>
      <c r="B760" s="1">
        <f ca="1">IFERROR(__xludf.DUMMYFUNCTION("""COMPUTED_VALUE"""),19.6)</f>
        <v>19.600000000000001</v>
      </c>
      <c r="C760" s="1">
        <f ca="1">IFERROR(__xludf.DUMMYFUNCTION("""COMPUTED_VALUE"""),19.6)</f>
        <v>19.600000000000001</v>
      </c>
      <c r="D760" s="1">
        <f ca="1">IFERROR(__xludf.DUMMYFUNCTION("""COMPUTED_VALUE"""),18.51)</f>
        <v>18.510000000000002</v>
      </c>
      <c r="E760" s="1">
        <f ca="1">IFERROR(__xludf.DUMMYFUNCTION("""COMPUTED_VALUE"""),18.79)</f>
        <v>18.79</v>
      </c>
      <c r="F760" s="1">
        <f ca="1">IFERROR(__xludf.DUMMYFUNCTION("""COMPUTED_VALUE"""),9814212)</f>
        <v>9814212</v>
      </c>
    </row>
    <row r="761" spans="1:6" x14ac:dyDescent="0.2">
      <c r="A761" s="2">
        <f ca="1">IFERROR(__xludf.DUMMYFUNCTION("""COMPUTED_VALUE"""),43378.6666666666)</f>
        <v>43378.666666666599</v>
      </c>
      <c r="B761" s="1">
        <f ca="1">IFERROR(__xludf.DUMMYFUNCTION("""COMPUTED_VALUE"""),18.31)</f>
        <v>18.309999999999999</v>
      </c>
      <c r="C761" s="1">
        <f ca="1">IFERROR(__xludf.DUMMYFUNCTION("""COMPUTED_VALUE"""),18.33)</f>
        <v>18.329999999999998</v>
      </c>
      <c r="D761" s="1">
        <f ca="1">IFERROR(__xludf.DUMMYFUNCTION("""COMPUTED_VALUE"""),17.33)</f>
        <v>17.329999999999998</v>
      </c>
      <c r="E761" s="1">
        <f ca="1">IFERROR(__xludf.DUMMYFUNCTION("""COMPUTED_VALUE"""),17.46)</f>
        <v>17.46</v>
      </c>
      <c r="F761" s="1">
        <f ca="1">IFERROR(__xludf.DUMMYFUNCTION("""COMPUTED_VALUE"""),17944537)</f>
        <v>17944537</v>
      </c>
    </row>
    <row r="762" spans="1:6" x14ac:dyDescent="0.2">
      <c r="A762" s="2">
        <f ca="1">IFERROR(__xludf.DUMMYFUNCTION("""COMPUTED_VALUE"""),43381.6666666666)</f>
        <v>43381.666666666599</v>
      </c>
      <c r="B762" s="1">
        <f ca="1">IFERROR(__xludf.DUMMYFUNCTION("""COMPUTED_VALUE"""),17.63)</f>
        <v>17.63</v>
      </c>
      <c r="C762" s="1">
        <f ca="1">IFERROR(__xludf.DUMMYFUNCTION("""COMPUTED_VALUE"""),17.85)</f>
        <v>17.850000000000001</v>
      </c>
      <c r="D762" s="1">
        <f ca="1">IFERROR(__xludf.DUMMYFUNCTION("""COMPUTED_VALUE"""),16.6)</f>
        <v>16.600000000000001</v>
      </c>
      <c r="E762" s="1">
        <f ca="1">IFERROR(__xludf.DUMMYFUNCTION("""COMPUTED_VALUE"""),16.7)</f>
        <v>16.7</v>
      </c>
      <c r="F762" s="1">
        <f ca="1">IFERROR(__xludf.DUMMYFUNCTION("""COMPUTED_VALUE"""),13472653)</f>
        <v>13472653</v>
      </c>
    </row>
    <row r="763" spans="1:6" x14ac:dyDescent="0.2">
      <c r="A763" s="2">
        <f ca="1">IFERROR(__xludf.DUMMYFUNCTION("""COMPUTED_VALUE"""),43382.6666666666)</f>
        <v>43382.666666666599</v>
      </c>
      <c r="B763" s="1">
        <f ca="1">IFERROR(__xludf.DUMMYFUNCTION("""COMPUTED_VALUE"""),17.02)</f>
        <v>17.02</v>
      </c>
      <c r="C763" s="1">
        <f ca="1">IFERROR(__xludf.DUMMYFUNCTION("""COMPUTED_VALUE"""),17.78)</f>
        <v>17.78</v>
      </c>
      <c r="D763" s="1">
        <f ca="1">IFERROR(__xludf.DUMMYFUNCTION("""COMPUTED_VALUE"""),16.89)</f>
        <v>16.89</v>
      </c>
      <c r="E763" s="1">
        <f ca="1">IFERROR(__xludf.DUMMYFUNCTION("""COMPUTED_VALUE"""),17.52)</f>
        <v>17.52</v>
      </c>
      <c r="F763" s="1">
        <f ca="1">IFERROR(__xludf.DUMMYFUNCTION("""COMPUTED_VALUE"""),12060574)</f>
        <v>12060574</v>
      </c>
    </row>
    <row r="764" spans="1:6" x14ac:dyDescent="0.2">
      <c r="A764" s="2">
        <f ca="1">IFERROR(__xludf.DUMMYFUNCTION("""COMPUTED_VALUE"""),43383.6666666666)</f>
        <v>43383.666666666599</v>
      </c>
      <c r="B764" s="1">
        <f ca="1">IFERROR(__xludf.DUMMYFUNCTION("""COMPUTED_VALUE"""),17.64)</f>
        <v>17.64</v>
      </c>
      <c r="C764" s="1">
        <f ca="1">IFERROR(__xludf.DUMMYFUNCTION("""COMPUTED_VALUE"""),17.7)</f>
        <v>17.7</v>
      </c>
      <c r="D764" s="1">
        <f ca="1">IFERROR(__xludf.DUMMYFUNCTION("""COMPUTED_VALUE"""),16.52)</f>
        <v>16.52</v>
      </c>
      <c r="E764" s="1">
        <f ca="1">IFERROR(__xludf.DUMMYFUNCTION("""COMPUTED_VALUE"""),17.13)</f>
        <v>17.13</v>
      </c>
      <c r="F764" s="1">
        <f ca="1">IFERROR(__xludf.DUMMYFUNCTION("""COMPUTED_VALUE"""),12815278)</f>
        <v>12815278</v>
      </c>
    </row>
    <row r="765" spans="1:6" x14ac:dyDescent="0.2">
      <c r="A765" s="2">
        <f ca="1">IFERROR(__xludf.DUMMYFUNCTION("""COMPUTED_VALUE"""),43384.6666666666)</f>
        <v>43384.666666666599</v>
      </c>
      <c r="B765" s="1">
        <f ca="1">IFERROR(__xludf.DUMMYFUNCTION("""COMPUTED_VALUE"""),17.17)</f>
        <v>17.170000000000002</v>
      </c>
      <c r="C765" s="1">
        <f ca="1">IFERROR(__xludf.DUMMYFUNCTION("""COMPUTED_VALUE"""),17.48)</f>
        <v>17.48</v>
      </c>
      <c r="D765" s="1">
        <f ca="1">IFERROR(__xludf.DUMMYFUNCTION("""COMPUTED_VALUE"""),16.6)</f>
        <v>16.600000000000001</v>
      </c>
      <c r="E765" s="1">
        <f ca="1">IFERROR(__xludf.DUMMYFUNCTION("""COMPUTED_VALUE"""),16.82)</f>
        <v>16.82</v>
      </c>
      <c r="F765" s="1">
        <f ca="1">IFERROR(__xludf.DUMMYFUNCTION("""COMPUTED_VALUE"""),8167738)</f>
        <v>8167738</v>
      </c>
    </row>
    <row r="766" spans="1:6" x14ac:dyDescent="0.2">
      <c r="A766" s="2">
        <f ca="1">IFERROR(__xludf.DUMMYFUNCTION("""COMPUTED_VALUE"""),43385.6666666666)</f>
        <v>43385.666666666599</v>
      </c>
      <c r="B766" s="1">
        <f ca="1">IFERROR(__xludf.DUMMYFUNCTION("""COMPUTED_VALUE"""),17.4)</f>
        <v>17.399999999999999</v>
      </c>
      <c r="C766" s="1">
        <f ca="1">IFERROR(__xludf.DUMMYFUNCTION("""COMPUTED_VALUE"""),17.47)</f>
        <v>17.47</v>
      </c>
      <c r="D766" s="1">
        <f ca="1">IFERROR(__xludf.DUMMYFUNCTION("""COMPUTED_VALUE"""),16.8)</f>
        <v>16.8</v>
      </c>
      <c r="E766" s="1">
        <f ca="1">IFERROR(__xludf.DUMMYFUNCTION("""COMPUTED_VALUE"""),17.25)</f>
        <v>17.25</v>
      </c>
      <c r="F766" s="1">
        <f ca="1">IFERROR(__xludf.DUMMYFUNCTION("""COMPUTED_VALUE"""),7201404)</f>
        <v>7201404</v>
      </c>
    </row>
    <row r="767" spans="1:6" x14ac:dyDescent="0.2">
      <c r="A767" s="2">
        <f ca="1">IFERROR(__xludf.DUMMYFUNCTION("""COMPUTED_VALUE"""),43388.6666666666)</f>
        <v>43388.666666666599</v>
      </c>
      <c r="B767" s="1">
        <f ca="1">IFERROR(__xludf.DUMMYFUNCTION("""COMPUTED_VALUE"""),17.27)</f>
        <v>17.27</v>
      </c>
      <c r="C767" s="1">
        <f ca="1">IFERROR(__xludf.DUMMYFUNCTION("""COMPUTED_VALUE"""),17.55)</f>
        <v>17.55</v>
      </c>
      <c r="D767" s="1">
        <f ca="1">IFERROR(__xludf.DUMMYFUNCTION("""COMPUTED_VALUE"""),16.97)</f>
        <v>16.97</v>
      </c>
      <c r="E767" s="1">
        <f ca="1">IFERROR(__xludf.DUMMYFUNCTION("""COMPUTED_VALUE"""),17.31)</f>
        <v>17.309999999999999</v>
      </c>
      <c r="F767" s="1">
        <f ca="1">IFERROR(__xludf.DUMMYFUNCTION("""COMPUTED_VALUE"""),6199965)</f>
        <v>6199965</v>
      </c>
    </row>
    <row r="768" spans="1:6" x14ac:dyDescent="0.2">
      <c r="A768" s="2">
        <f ca="1">IFERROR(__xludf.DUMMYFUNCTION("""COMPUTED_VALUE"""),43389.6666666666)</f>
        <v>43389.666666666599</v>
      </c>
      <c r="B768" s="1">
        <f ca="1">IFERROR(__xludf.DUMMYFUNCTION("""COMPUTED_VALUE"""),17.71)</f>
        <v>17.71</v>
      </c>
      <c r="C768" s="1">
        <f ca="1">IFERROR(__xludf.DUMMYFUNCTION("""COMPUTED_VALUE"""),18.49)</f>
        <v>18.489999999999998</v>
      </c>
      <c r="D768" s="1">
        <f ca="1">IFERROR(__xludf.DUMMYFUNCTION("""COMPUTED_VALUE"""),17.48)</f>
        <v>17.48</v>
      </c>
      <c r="E768" s="1">
        <f ca="1">IFERROR(__xludf.DUMMYFUNCTION("""COMPUTED_VALUE"""),18.44)</f>
        <v>18.440000000000001</v>
      </c>
      <c r="F768" s="1">
        <f ca="1">IFERROR(__xludf.DUMMYFUNCTION("""COMPUTED_VALUE"""),9526401)</f>
        <v>9526401</v>
      </c>
    </row>
    <row r="769" spans="1:6" x14ac:dyDescent="0.2">
      <c r="A769" s="2">
        <f ca="1">IFERROR(__xludf.DUMMYFUNCTION("""COMPUTED_VALUE"""),43390.6666666666)</f>
        <v>43390.666666666599</v>
      </c>
      <c r="B769" s="1">
        <f ca="1">IFERROR(__xludf.DUMMYFUNCTION("""COMPUTED_VALUE"""),18.83)</f>
        <v>18.829999999999998</v>
      </c>
      <c r="C769" s="1">
        <f ca="1">IFERROR(__xludf.DUMMYFUNCTION("""COMPUTED_VALUE"""),18.85)</f>
        <v>18.850000000000001</v>
      </c>
      <c r="D769" s="1">
        <f ca="1">IFERROR(__xludf.DUMMYFUNCTION("""COMPUTED_VALUE"""),17.72)</f>
        <v>17.72</v>
      </c>
      <c r="E769" s="1">
        <f ca="1">IFERROR(__xludf.DUMMYFUNCTION("""COMPUTED_VALUE"""),18.12)</f>
        <v>18.12</v>
      </c>
      <c r="F769" s="1">
        <f ca="1">IFERROR(__xludf.DUMMYFUNCTION("""COMPUTED_VALUE"""),8655542)</f>
        <v>8655542</v>
      </c>
    </row>
    <row r="770" spans="1:6" x14ac:dyDescent="0.2">
      <c r="A770" s="2">
        <f ca="1">IFERROR(__xludf.DUMMYFUNCTION("""COMPUTED_VALUE"""),43391.6666666666)</f>
        <v>43391.666666666599</v>
      </c>
      <c r="B770" s="1">
        <f ca="1">IFERROR(__xludf.DUMMYFUNCTION("""COMPUTED_VALUE"""),17.95)</f>
        <v>17.95</v>
      </c>
      <c r="C770" s="1">
        <f ca="1">IFERROR(__xludf.DUMMYFUNCTION("""COMPUTED_VALUE"""),18.07)</f>
        <v>18.07</v>
      </c>
      <c r="D770" s="1">
        <f ca="1">IFERROR(__xludf.DUMMYFUNCTION("""COMPUTED_VALUE"""),17.53)</f>
        <v>17.53</v>
      </c>
      <c r="E770" s="1">
        <f ca="1">IFERROR(__xludf.DUMMYFUNCTION("""COMPUTED_VALUE"""),17.59)</f>
        <v>17.59</v>
      </c>
      <c r="F770" s="1">
        <f ca="1">IFERROR(__xludf.DUMMYFUNCTION("""COMPUTED_VALUE"""),5421184)</f>
        <v>5421184</v>
      </c>
    </row>
    <row r="771" spans="1:6" x14ac:dyDescent="0.2">
      <c r="A771" s="2">
        <f ca="1">IFERROR(__xludf.DUMMYFUNCTION("""COMPUTED_VALUE"""),43392.6666666666)</f>
        <v>43392.666666666599</v>
      </c>
      <c r="B771" s="1">
        <f ca="1">IFERROR(__xludf.DUMMYFUNCTION("""COMPUTED_VALUE"""),17.83)</f>
        <v>17.829999999999998</v>
      </c>
      <c r="C771" s="1">
        <f ca="1">IFERROR(__xludf.DUMMYFUNCTION("""COMPUTED_VALUE"""),17.98)</f>
        <v>17.98</v>
      </c>
      <c r="D771" s="1">
        <f ca="1">IFERROR(__xludf.DUMMYFUNCTION("""COMPUTED_VALUE"""),16.9)</f>
        <v>16.899999999999999</v>
      </c>
      <c r="E771" s="1">
        <f ca="1">IFERROR(__xludf.DUMMYFUNCTION("""COMPUTED_VALUE"""),17.33)</f>
        <v>17.329999999999998</v>
      </c>
      <c r="F771" s="1">
        <f ca="1">IFERROR(__xludf.DUMMYFUNCTION("""COMPUTED_VALUE"""),9375549)</f>
        <v>9375549</v>
      </c>
    </row>
    <row r="772" spans="1:6" x14ac:dyDescent="0.2">
      <c r="A772" s="2">
        <f ca="1">IFERROR(__xludf.DUMMYFUNCTION("""COMPUTED_VALUE"""),43395.6666666666)</f>
        <v>43395.666666666599</v>
      </c>
      <c r="B772" s="1">
        <f ca="1">IFERROR(__xludf.DUMMYFUNCTION("""COMPUTED_VALUE"""),17.38)</f>
        <v>17.38</v>
      </c>
      <c r="C772" s="1">
        <f ca="1">IFERROR(__xludf.DUMMYFUNCTION("""COMPUTED_VALUE"""),17.46)</f>
        <v>17.46</v>
      </c>
      <c r="D772" s="1">
        <f ca="1">IFERROR(__xludf.DUMMYFUNCTION("""COMPUTED_VALUE"""),16.84)</f>
        <v>16.84</v>
      </c>
      <c r="E772" s="1">
        <f ca="1">IFERROR(__xludf.DUMMYFUNCTION("""COMPUTED_VALUE"""),17.4)</f>
        <v>17.399999999999999</v>
      </c>
      <c r="F772" s="1">
        <f ca="1">IFERROR(__xludf.DUMMYFUNCTION("""COMPUTED_VALUE"""),5600260)</f>
        <v>5600260</v>
      </c>
    </row>
    <row r="773" spans="1:6" x14ac:dyDescent="0.2">
      <c r="A773" s="2">
        <f ca="1">IFERROR(__xludf.DUMMYFUNCTION("""COMPUTED_VALUE"""),43396.6666666666)</f>
        <v>43396.666666666599</v>
      </c>
      <c r="B773" s="1">
        <f ca="1">IFERROR(__xludf.DUMMYFUNCTION("""COMPUTED_VALUE"""),17.59)</f>
        <v>17.59</v>
      </c>
      <c r="C773" s="1">
        <f ca="1">IFERROR(__xludf.DUMMYFUNCTION("""COMPUTED_VALUE"""),19.86)</f>
        <v>19.86</v>
      </c>
      <c r="D773" s="1">
        <f ca="1">IFERROR(__xludf.DUMMYFUNCTION("""COMPUTED_VALUE"""),17.47)</f>
        <v>17.47</v>
      </c>
      <c r="E773" s="1">
        <f ca="1">IFERROR(__xludf.DUMMYFUNCTION("""COMPUTED_VALUE"""),19.61)</f>
        <v>19.61</v>
      </c>
      <c r="F773" s="1">
        <f ca="1">IFERROR(__xludf.DUMMYFUNCTION("""COMPUTED_VALUE"""),19027753)</f>
        <v>19027753</v>
      </c>
    </row>
    <row r="774" spans="1:6" x14ac:dyDescent="0.2">
      <c r="A774" s="2">
        <f ca="1">IFERROR(__xludf.DUMMYFUNCTION("""COMPUTED_VALUE"""),43397.6666666666)</f>
        <v>43397.666666666599</v>
      </c>
      <c r="B774" s="1">
        <f ca="1">IFERROR(__xludf.DUMMYFUNCTION("""COMPUTED_VALUE"""),20.07)</f>
        <v>20.07</v>
      </c>
      <c r="C774" s="1">
        <f ca="1">IFERROR(__xludf.DUMMYFUNCTION("""COMPUTED_VALUE"""),20.3)</f>
        <v>20.3</v>
      </c>
      <c r="D774" s="1">
        <f ca="1">IFERROR(__xludf.DUMMYFUNCTION("""COMPUTED_VALUE"""),19.05)</f>
        <v>19.05</v>
      </c>
      <c r="E774" s="1">
        <f ca="1">IFERROR(__xludf.DUMMYFUNCTION("""COMPUTED_VALUE"""),19.23)</f>
        <v>19.23</v>
      </c>
      <c r="F774" s="1">
        <f ca="1">IFERROR(__xludf.DUMMYFUNCTION("""COMPUTED_VALUE"""),20058258)</f>
        <v>20058258</v>
      </c>
    </row>
    <row r="775" spans="1:6" x14ac:dyDescent="0.2">
      <c r="A775" s="2">
        <f ca="1">IFERROR(__xludf.DUMMYFUNCTION("""COMPUTED_VALUE"""),43398.6666666666)</f>
        <v>43398.666666666599</v>
      </c>
      <c r="B775" s="1">
        <f ca="1">IFERROR(__xludf.DUMMYFUNCTION("""COMPUTED_VALUE"""),21.15)</f>
        <v>21.15</v>
      </c>
      <c r="C775" s="1">
        <f ca="1">IFERROR(__xludf.DUMMYFUNCTION("""COMPUTED_VALUE"""),21.4)</f>
        <v>21.4</v>
      </c>
      <c r="D775" s="1">
        <f ca="1">IFERROR(__xludf.DUMMYFUNCTION("""COMPUTED_VALUE"""),20.07)</f>
        <v>20.07</v>
      </c>
      <c r="E775" s="1">
        <f ca="1">IFERROR(__xludf.DUMMYFUNCTION("""COMPUTED_VALUE"""),20.99)</f>
        <v>20.99</v>
      </c>
      <c r="F775" s="1">
        <f ca="1">IFERROR(__xludf.DUMMYFUNCTION("""COMPUTED_VALUE"""),20840724)</f>
        <v>20840724</v>
      </c>
    </row>
    <row r="776" spans="1:6" x14ac:dyDescent="0.2">
      <c r="A776" s="2">
        <f ca="1">IFERROR(__xludf.DUMMYFUNCTION("""COMPUTED_VALUE"""),43399.6666666666)</f>
        <v>43399.666666666599</v>
      </c>
      <c r="B776" s="1">
        <f ca="1">IFERROR(__xludf.DUMMYFUNCTION("""COMPUTED_VALUE"""),20.55)</f>
        <v>20.55</v>
      </c>
      <c r="C776" s="1">
        <f ca="1">IFERROR(__xludf.DUMMYFUNCTION("""COMPUTED_VALUE"""),22.66)</f>
        <v>22.66</v>
      </c>
      <c r="D776" s="1">
        <f ca="1">IFERROR(__xludf.DUMMYFUNCTION("""COMPUTED_VALUE"""),20.44)</f>
        <v>20.440000000000001</v>
      </c>
      <c r="E776" s="1">
        <f ca="1">IFERROR(__xludf.DUMMYFUNCTION("""COMPUTED_VALUE"""),22.06)</f>
        <v>22.06</v>
      </c>
      <c r="F776" s="1">
        <f ca="1">IFERROR(__xludf.DUMMYFUNCTION("""COMPUTED_VALUE"""),27425520)</f>
        <v>27425520</v>
      </c>
    </row>
    <row r="777" spans="1:6" x14ac:dyDescent="0.2">
      <c r="A777" s="2">
        <f ca="1">IFERROR(__xludf.DUMMYFUNCTION("""COMPUTED_VALUE"""),43402.6666666666)</f>
        <v>43402.666666666599</v>
      </c>
      <c r="B777" s="1">
        <f ca="1">IFERROR(__xludf.DUMMYFUNCTION("""COMPUTED_VALUE"""),22.5)</f>
        <v>22.5</v>
      </c>
      <c r="C777" s="1">
        <f ca="1">IFERROR(__xludf.DUMMYFUNCTION("""COMPUTED_VALUE"""),23.14)</f>
        <v>23.14</v>
      </c>
      <c r="D777" s="1">
        <f ca="1">IFERROR(__xludf.DUMMYFUNCTION("""COMPUTED_VALUE"""),21.77)</f>
        <v>21.77</v>
      </c>
      <c r="E777" s="1">
        <f ca="1">IFERROR(__xludf.DUMMYFUNCTION("""COMPUTED_VALUE"""),22.32)</f>
        <v>22.32</v>
      </c>
      <c r="F777" s="1">
        <f ca="1">IFERROR(__xludf.DUMMYFUNCTION("""COMPUTED_VALUE"""),14486027)</f>
        <v>14486027</v>
      </c>
    </row>
    <row r="778" spans="1:6" x14ac:dyDescent="0.2">
      <c r="A778" s="2">
        <f ca="1">IFERROR(__xludf.DUMMYFUNCTION("""COMPUTED_VALUE"""),43403.6666666666)</f>
        <v>43403.666666666599</v>
      </c>
      <c r="B778" s="1">
        <f ca="1">IFERROR(__xludf.DUMMYFUNCTION("""COMPUTED_VALUE"""),21.89)</f>
        <v>21.89</v>
      </c>
      <c r="C778" s="1">
        <f ca="1">IFERROR(__xludf.DUMMYFUNCTION("""COMPUTED_VALUE"""),22.53)</f>
        <v>22.53</v>
      </c>
      <c r="D778" s="1">
        <f ca="1">IFERROR(__xludf.DUMMYFUNCTION("""COMPUTED_VALUE"""),21.48)</f>
        <v>21.48</v>
      </c>
      <c r="E778" s="1">
        <f ca="1">IFERROR(__xludf.DUMMYFUNCTION("""COMPUTED_VALUE"""),21.99)</f>
        <v>21.99</v>
      </c>
      <c r="F778" s="1">
        <f ca="1">IFERROR(__xludf.DUMMYFUNCTION("""COMPUTED_VALUE"""),9126704)</f>
        <v>9126704</v>
      </c>
    </row>
    <row r="779" spans="1:6" x14ac:dyDescent="0.2">
      <c r="A779" s="2">
        <f ca="1">IFERROR(__xludf.DUMMYFUNCTION("""COMPUTED_VALUE"""),43404.6666666666)</f>
        <v>43404.666666666599</v>
      </c>
      <c r="B779" s="1">
        <f ca="1">IFERROR(__xludf.DUMMYFUNCTION("""COMPUTED_VALUE"""),22.17)</f>
        <v>22.17</v>
      </c>
      <c r="C779" s="1">
        <f ca="1">IFERROR(__xludf.DUMMYFUNCTION("""COMPUTED_VALUE"""),22.8)</f>
        <v>22.8</v>
      </c>
      <c r="D779" s="1">
        <f ca="1">IFERROR(__xludf.DUMMYFUNCTION("""COMPUTED_VALUE"""),21.94)</f>
        <v>21.94</v>
      </c>
      <c r="E779" s="1">
        <f ca="1">IFERROR(__xludf.DUMMYFUNCTION("""COMPUTED_VALUE"""),22.49)</f>
        <v>22.49</v>
      </c>
      <c r="F779" s="1">
        <f ca="1">IFERROR(__xludf.DUMMYFUNCTION("""COMPUTED_VALUE"""),7624348)</f>
        <v>7624348</v>
      </c>
    </row>
    <row r="780" spans="1:6" x14ac:dyDescent="0.2">
      <c r="A780" s="2">
        <f ca="1">IFERROR(__xludf.DUMMYFUNCTION("""COMPUTED_VALUE"""),43405.6666666666)</f>
        <v>43405.666666666599</v>
      </c>
      <c r="B780" s="1">
        <f ca="1">IFERROR(__xludf.DUMMYFUNCTION("""COMPUTED_VALUE"""),22.55)</f>
        <v>22.55</v>
      </c>
      <c r="C780" s="1">
        <f ca="1">IFERROR(__xludf.DUMMYFUNCTION("""COMPUTED_VALUE"""),23.19)</f>
        <v>23.19</v>
      </c>
      <c r="D780" s="1">
        <f ca="1">IFERROR(__xludf.DUMMYFUNCTION("""COMPUTED_VALUE"""),22.32)</f>
        <v>22.32</v>
      </c>
      <c r="E780" s="1">
        <f ca="1">IFERROR(__xludf.DUMMYFUNCTION("""COMPUTED_VALUE"""),22.95)</f>
        <v>22.95</v>
      </c>
      <c r="F780" s="1">
        <f ca="1">IFERROR(__xludf.DUMMYFUNCTION("""COMPUTED_VALUE"""),8000132)</f>
        <v>8000132</v>
      </c>
    </row>
    <row r="781" spans="1:6" x14ac:dyDescent="0.2">
      <c r="A781" s="2">
        <f ca="1">IFERROR(__xludf.DUMMYFUNCTION("""COMPUTED_VALUE"""),43406.6666666666)</f>
        <v>43406.666666666599</v>
      </c>
      <c r="B781" s="1">
        <f ca="1">IFERROR(__xludf.DUMMYFUNCTION("""COMPUTED_VALUE"""),22.92)</f>
        <v>22.92</v>
      </c>
      <c r="C781" s="1">
        <f ca="1">IFERROR(__xludf.DUMMYFUNCTION("""COMPUTED_VALUE"""),23.28)</f>
        <v>23.28</v>
      </c>
      <c r="D781" s="1">
        <f ca="1">IFERROR(__xludf.DUMMYFUNCTION("""COMPUTED_VALUE"""),22.73)</f>
        <v>22.73</v>
      </c>
      <c r="E781" s="1">
        <f ca="1">IFERROR(__xludf.DUMMYFUNCTION("""COMPUTED_VALUE"""),23.09)</f>
        <v>23.09</v>
      </c>
      <c r="F781" s="1">
        <f ca="1">IFERROR(__xludf.DUMMYFUNCTION("""COMPUTED_VALUE"""),7807971)</f>
        <v>7807971</v>
      </c>
    </row>
    <row r="782" spans="1:6" x14ac:dyDescent="0.2">
      <c r="A782" s="2">
        <f ca="1">IFERROR(__xludf.DUMMYFUNCTION("""COMPUTED_VALUE"""),43409.6666666666)</f>
        <v>43409.666666666599</v>
      </c>
      <c r="B782" s="1">
        <f ca="1">IFERROR(__xludf.DUMMYFUNCTION("""COMPUTED_VALUE"""),22.7)</f>
        <v>22.7</v>
      </c>
      <c r="C782" s="1">
        <f ca="1">IFERROR(__xludf.DUMMYFUNCTION("""COMPUTED_VALUE"""),22.93)</f>
        <v>22.93</v>
      </c>
      <c r="D782" s="1">
        <f ca="1">IFERROR(__xludf.DUMMYFUNCTION("""COMPUTED_VALUE"""),22.01)</f>
        <v>22.01</v>
      </c>
      <c r="E782" s="1">
        <f ca="1">IFERROR(__xludf.DUMMYFUNCTION("""COMPUTED_VALUE"""),22.76)</f>
        <v>22.76</v>
      </c>
      <c r="F782" s="1">
        <f ca="1">IFERROR(__xludf.DUMMYFUNCTION("""COMPUTED_VALUE"""),7831048)</f>
        <v>7831048</v>
      </c>
    </row>
    <row r="783" spans="1:6" x14ac:dyDescent="0.2">
      <c r="A783" s="2">
        <f ca="1">IFERROR(__xludf.DUMMYFUNCTION("""COMPUTED_VALUE"""),43410.6666666666)</f>
        <v>43410.666666666599</v>
      </c>
      <c r="B783" s="1">
        <f ca="1">IFERROR(__xludf.DUMMYFUNCTION("""COMPUTED_VALUE"""),22.6)</f>
        <v>22.6</v>
      </c>
      <c r="C783" s="1">
        <f ca="1">IFERROR(__xludf.DUMMYFUNCTION("""COMPUTED_VALUE"""),23.25)</f>
        <v>23.25</v>
      </c>
      <c r="D783" s="1">
        <f ca="1">IFERROR(__xludf.DUMMYFUNCTION("""COMPUTED_VALUE"""),22.41)</f>
        <v>22.41</v>
      </c>
      <c r="E783" s="1">
        <f ca="1">IFERROR(__xludf.DUMMYFUNCTION("""COMPUTED_VALUE"""),22.74)</f>
        <v>22.74</v>
      </c>
      <c r="F783" s="1">
        <f ca="1">IFERROR(__xludf.DUMMYFUNCTION("""COMPUTED_VALUE"""),6762889)</f>
        <v>6762889</v>
      </c>
    </row>
    <row r="784" spans="1:6" x14ac:dyDescent="0.2">
      <c r="A784" s="2">
        <f ca="1">IFERROR(__xludf.DUMMYFUNCTION("""COMPUTED_VALUE"""),43411.6666666666)</f>
        <v>43411.666666666599</v>
      </c>
      <c r="B784" s="1">
        <f ca="1">IFERROR(__xludf.DUMMYFUNCTION("""COMPUTED_VALUE"""),22.89)</f>
        <v>22.89</v>
      </c>
      <c r="C784" s="1">
        <f ca="1">IFERROR(__xludf.DUMMYFUNCTION("""COMPUTED_VALUE"""),23.41)</f>
        <v>23.41</v>
      </c>
      <c r="D784" s="1">
        <f ca="1">IFERROR(__xludf.DUMMYFUNCTION("""COMPUTED_VALUE"""),22.72)</f>
        <v>22.72</v>
      </c>
      <c r="E784" s="1">
        <f ca="1">IFERROR(__xludf.DUMMYFUNCTION("""COMPUTED_VALUE"""),23.21)</f>
        <v>23.21</v>
      </c>
      <c r="F784" s="1">
        <f ca="1">IFERROR(__xludf.DUMMYFUNCTION("""COMPUTED_VALUE"""),7374522)</f>
        <v>7374522</v>
      </c>
    </row>
    <row r="785" spans="1:6" x14ac:dyDescent="0.2">
      <c r="A785" s="2">
        <f ca="1">IFERROR(__xludf.DUMMYFUNCTION("""COMPUTED_VALUE"""),43412.6666666666)</f>
        <v>43412.666666666599</v>
      </c>
      <c r="B785" s="1">
        <f ca="1">IFERROR(__xludf.DUMMYFUNCTION("""COMPUTED_VALUE"""),23.23)</f>
        <v>23.23</v>
      </c>
      <c r="C785" s="1">
        <f ca="1">IFERROR(__xludf.DUMMYFUNCTION("""COMPUTED_VALUE"""),23.84)</f>
        <v>23.84</v>
      </c>
      <c r="D785" s="1">
        <f ca="1">IFERROR(__xludf.DUMMYFUNCTION("""COMPUTED_VALUE"""),23.23)</f>
        <v>23.23</v>
      </c>
      <c r="E785" s="1">
        <f ca="1">IFERROR(__xludf.DUMMYFUNCTION("""COMPUTED_VALUE"""),23.43)</f>
        <v>23.43</v>
      </c>
      <c r="F785" s="1">
        <f ca="1">IFERROR(__xludf.DUMMYFUNCTION("""COMPUTED_VALUE"""),7090674)</f>
        <v>7090674</v>
      </c>
    </row>
    <row r="786" spans="1:6" x14ac:dyDescent="0.2">
      <c r="A786" s="2">
        <f ca="1">IFERROR(__xludf.DUMMYFUNCTION("""COMPUTED_VALUE"""),43413.6666666666)</f>
        <v>43413.666666666599</v>
      </c>
      <c r="B786" s="1">
        <f ca="1">IFERROR(__xludf.DUMMYFUNCTION("""COMPUTED_VALUE"""),23.27)</f>
        <v>23.27</v>
      </c>
      <c r="C786" s="1">
        <f ca="1">IFERROR(__xludf.DUMMYFUNCTION("""COMPUTED_VALUE"""),23.6)</f>
        <v>23.6</v>
      </c>
      <c r="D786" s="1">
        <f ca="1">IFERROR(__xludf.DUMMYFUNCTION("""COMPUTED_VALUE"""),23.02)</f>
        <v>23.02</v>
      </c>
      <c r="E786" s="1">
        <f ca="1">IFERROR(__xludf.DUMMYFUNCTION("""COMPUTED_VALUE"""),23.37)</f>
        <v>23.37</v>
      </c>
      <c r="F786" s="1">
        <f ca="1">IFERROR(__xludf.DUMMYFUNCTION("""COMPUTED_VALUE"""),5098846)</f>
        <v>5098846</v>
      </c>
    </row>
    <row r="787" spans="1:6" x14ac:dyDescent="0.2">
      <c r="A787" s="2">
        <f ca="1">IFERROR(__xludf.DUMMYFUNCTION("""COMPUTED_VALUE"""),43416.6666666666)</f>
        <v>43416.666666666599</v>
      </c>
      <c r="B787" s="1">
        <f ca="1">IFERROR(__xludf.DUMMYFUNCTION("""COMPUTED_VALUE"""),23.22)</f>
        <v>23.22</v>
      </c>
      <c r="C787" s="1">
        <f ca="1">IFERROR(__xludf.DUMMYFUNCTION("""COMPUTED_VALUE"""),23.32)</f>
        <v>23.32</v>
      </c>
      <c r="D787" s="1">
        <f ca="1">IFERROR(__xludf.DUMMYFUNCTION("""COMPUTED_VALUE"""),22.02)</f>
        <v>22.02</v>
      </c>
      <c r="E787" s="1">
        <f ca="1">IFERROR(__xludf.DUMMYFUNCTION("""COMPUTED_VALUE"""),22.09)</f>
        <v>22.09</v>
      </c>
      <c r="F787" s="1">
        <f ca="1">IFERROR(__xludf.DUMMYFUNCTION("""COMPUTED_VALUE"""),6941523)</f>
        <v>6941523</v>
      </c>
    </row>
    <row r="788" spans="1:6" x14ac:dyDescent="0.2">
      <c r="A788" s="2">
        <f ca="1">IFERROR(__xludf.DUMMYFUNCTION("""COMPUTED_VALUE"""),43417.6666666666)</f>
        <v>43417.666666666599</v>
      </c>
      <c r="B788" s="1">
        <f ca="1">IFERROR(__xludf.DUMMYFUNCTION("""COMPUTED_VALUE"""),22.21)</f>
        <v>22.21</v>
      </c>
      <c r="C788" s="1">
        <f ca="1">IFERROR(__xludf.DUMMYFUNCTION("""COMPUTED_VALUE"""),22.98)</f>
        <v>22.98</v>
      </c>
      <c r="D788" s="1">
        <f ca="1">IFERROR(__xludf.DUMMYFUNCTION("""COMPUTED_VALUE"""),22.15)</f>
        <v>22.15</v>
      </c>
      <c r="E788" s="1">
        <f ca="1">IFERROR(__xludf.DUMMYFUNCTION("""COMPUTED_VALUE"""),22.58)</f>
        <v>22.58</v>
      </c>
      <c r="F788" s="1">
        <f ca="1">IFERROR(__xludf.DUMMYFUNCTION("""COMPUTED_VALUE"""),5448597)</f>
        <v>5448597</v>
      </c>
    </row>
    <row r="789" spans="1:6" x14ac:dyDescent="0.2">
      <c r="A789" s="2">
        <f ca="1">IFERROR(__xludf.DUMMYFUNCTION("""COMPUTED_VALUE"""),43418.6666666666)</f>
        <v>43418.666666666599</v>
      </c>
      <c r="B789" s="1">
        <f ca="1">IFERROR(__xludf.DUMMYFUNCTION("""COMPUTED_VALUE"""),22.85)</f>
        <v>22.85</v>
      </c>
      <c r="C789" s="1">
        <f ca="1">IFERROR(__xludf.DUMMYFUNCTION("""COMPUTED_VALUE"""),23.14)</f>
        <v>23.14</v>
      </c>
      <c r="D789" s="1">
        <f ca="1">IFERROR(__xludf.DUMMYFUNCTION("""COMPUTED_VALUE"""),22.48)</f>
        <v>22.48</v>
      </c>
      <c r="E789" s="1">
        <f ca="1">IFERROR(__xludf.DUMMYFUNCTION("""COMPUTED_VALUE"""),22.93)</f>
        <v>22.93</v>
      </c>
      <c r="F789" s="1">
        <f ca="1">IFERROR(__xludf.DUMMYFUNCTION("""COMPUTED_VALUE"""),5040287)</f>
        <v>5040287</v>
      </c>
    </row>
    <row r="790" spans="1:6" x14ac:dyDescent="0.2">
      <c r="A790" s="2">
        <f ca="1">IFERROR(__xludf.DUMMYFUNCTION("""COMPUTED_VALUE"""),43419.6666666666)</f>
        <v>43419.666666666599</v>
      </c>
      <c r="B790" s="1">
        <f ca="1">IFERROR(__xludf.DUMMYFUNCTION("""COMPUTED_VALUE"""),22.82)</f>
        <v>22.82</v>
      </c>
      <c r="C790" s="1">
        <f ca="1">IFERROR(__xludf.DUMMYFUNCTION("""COMPUTED_VALUE"""),23.24)</f>
        <v>23.24</v>
      </c>
      <c r="D790" s="1">
        <f ca="1">IFERROR(__xludf.DUMMYFUNCTION("""COMPUTED_VALUE"""),22.6)</f>
        <v>22.6</v>
      </c>
      <c r="E790" s="1">
        <f ca="1">IFERROR(__xludf.DUMMYFUNCTION("""COMPUTED_VALUE"""),23.23)</f>
        <v>23.23</v>
      </c>
      <c r="F790" s="1">
        <f ca="1">IFERROR(__xludf.DUMMYFUNCTION("""COMPUTED_VALUE"""),4625719)</f>
        <v>4625719</v>
      </c>
    </row>
    <row r="791" spans="1:6" x14ac:dyDescent="0.2">
      <c r="A791" s="2">
        <f ca="1">IFERROR(__xludf.DUMMYFUNCTION("""COMPUTED_VALUE"""),43420.6666666666)</f>
        <v>43420.666666666599</v>
      </c>
      <c r="B791" s="1">
        <f ca="1">IFERROR(__xludf.DUMMYFUNCTION("""COMPUTED_VALUE"""),23.01)</f>
        <v>23.01</v>
      </c>
      <c r="C791" s="1">
        <f ca="1">IFERROR(__xludf.DUMMYFUNCTION("""COMPUTED_VALUE"""),23.71)</f>
        <v>23.71</v>
      </c>
      <c r="D791" s="1">
        <f ca="1">IFERROR(__xludf.DUMMYFUNCTION("""COMPUTED_VALUE"""),23.01)</f>
        <v>23.01</v>
      </c>
      <c r="E791" s="1">
        <f ca="1">IFERROR(__xludf.DUMMYFUNCTION("""COMPUTED_VALUE"""),23.62)</f>
        <v>23.62</v>
      </c>
      <c r="F791" s="1">
        <f ca="1">IFERROR(__xludf.DUMMYFUNCTION("""COMPUTED_VALUE"""),7206191)</f>
        <v>7206191</v>
      </c>
    </row>
    <row r="792" spans="1:6" x14ac:dyDescent="0.2">
      <c r="A792" s="2">
        <f ca="1">IFERROR(__xludf.DUMMYFUNCTION("""COMPUTED_VALUE"""),43423.6666666666)</f>
        <v>43423.666666666599</v>
      </c>
      <c r="B792" s="1">
        <f ca="1">IFERROR(__xludf.DUMMYFUNCTION("""COMPUTED_VALUE"""),23.76)</f>
        <v>23.76</v>
      </c>
      <c r="C792" s="1">
        <f ca="1">IFERROR(__xludf.DUMMYFUNCTION("""COMPUTED_VALUE"""),24.45)</f>
        <v>24.45</v>
      </c>
      <c r="D792" s="1">
        <f ca="1">IFERROR(__xludf.DUMMYFUNCTION("""COMPUTED_VALUE"""),23.53)</f>
        <v>23.53</v>
      </c>
      <c r="E792" s="1">
        <f ca="1">IFERROR(__xludf.DUMMYFUNCTION("""COMPUTED_VALUE"""),23.56)</f>
        <v>23.56</v>
      </c>
      <c r="F792" s="1">
        <f ca="1">IFERROR(__xludf.DUMMYFUNCTION("""COMPUTED_VALUE"""),9708871)</f>
        <v>9708871</v>
      </c>
    </row>
    <row r="793" spans="1:6" x14ac:dyDescent="0.2">
      <c r="A793" s="2">
        <f ca="1">IFERROR(__xludf.DUMMYFUNCTION("""COMPUTED_VALUE"""),43424.6666666666)</f>
        <v>43424.666666666599</v>
      </c>
      <c r="B793" s="1">
        <f ca="1">IFERROR(__xludf.DUMMYFUNCTION("""COMPUTED_VALUE"""),22.78)</f>
        <v>22.78</v>
      </c>
      <c r="C793" s="1">
        <f ca="1">IFERROR(__xludf.DUMMYFUNCTION("""COMPUTED_VALUE"""),23.32)</f>
        <v>23.32</v>
      </c>
      <c r="D793" s="1">
        <f ca="1">IFERROR(__xludf.DUMMYFUNCTION("""COMPUTED_VALUE"""),22.24)</f>
        <v>22.24</v>
      </c>
      <c r="E793" s="1">
        <f ca="1">IFERROR(__xludf.DUMMYFUNCTION("""COMPUTED_VALUE"""),23.17)</f>
        <v>23.17</v>
      </c>
      <c r="F793" s="1">
        <f ca="1">IFERROR(__xludf.DUMMYFUNCTION("""COMPUTED_VALUE"""),8004709)</f>
        <v>8004709</v>
      </c>
    </row>
    <row r="794" spans="1:6" x14ac:dyDescent="0.2">
      <c r="A794" s="2">
        <f ca="1">IFERROR(__xludf.DUMMYFUNCTION("""COMPUTED_VALUE"""),43425.6666666666)</f>
        <v>43425.666666666599</v>
      </c>
      <c r="B794" s="1">
        <f ca="1">IFERROR(__xludf.DUMMYFUNCTION("""COMPUTED_VALUE"""),23.47)</f>
        <v>23.47</v>
      </c>
      <c r="C794" s="1">
        <f ca="1">IFERROR(__xludf.DUMMYFUNCTION("""COMPUTED_VALUE"""),23.54)</f>
        <v>23.54</v>
      </c>
      <c r="D794" s="1">
        <f ca="1">IFERROR(__xludf.DUMMYFUNCTION("""COMPUTED_VALUE"""),22.49)</f>
        <v>22.49</v>
      </c>
      <c r="E794" s="1">
        <f ca="1">IFERROR(__xludf.DUMMYFUNCTION("""COMPUTED_VALUE"""),22.55)</f>
        <v>22.55</v>
      </c>
      <c r="F794" s="1">
        <f ca="1">IFERROR(__xludf.DUMMYFUNCTION("""COMPUTED_VALUE"""),4686808)</f>
        <v>4686808</v>
      </c>
    </row>
    <row r="795" spans="1:6" x14ac:dyDescent="0.2">
      <c r="A795" s="2">
        <f ca="1">IFERROR(__xludf.DUMMYFUNCTION("""COMPUTED_VALUE"""),43427.5416666666)</f>
        <v>43427.541666666599</v>
      </c>
      <c r="B795" s="1">
        <f ca="1">IFERROR(__xludf.DUMMYFUNCTION("""COMPUTED_VALUE"""),22.29)</f>
        <v>22.29</v>
      </c>
      <c r="C795" s="1">
        <f ca="1">IFERROR(__xludf.DUMMYFUNCTION("""COMPUTED_VALUE"""),22.5)</f>
        <v>22.5</v>
      </c>
      <c r="D795" s="1">
        <f ca="1">IFERROR(__xludf.DUMMYFUNCTION("""COMPUTED_VALUE"""),21.7)</f>
        <v>21.7</v>
      </c>
      <c r="E795" s="1">
        <f ca="1">IFERROR(__xludf.DUMMYFUNCTION("""COMPUTED_VALUE"""),21.72)</f>
        <v>21.72</v>
      </c>
      <c r="F795" s="1">
        <f ca="1">IFERROR(__xludf.DUMMYFUNCTION("""COMPUTED_VALUE"""),4202642)</f>
        <v>4202642</v>
      </c>
    </row>
    <row r="796" spans="1:6" x14ac:dyDescent="0.2">
      <c r="A796" s="2">
        <f ca="1">IFERROR(__xludf.DUMMYFUNCTION("""COMPUTED_VALUE"""),43430.6666666666)</f>
        <v>43430.666666666599</v>
      </c>
      <c r="B796" s="1">
        <f ca="1">IFERROR(__xludf.DUMMYFUNCTION("""COMPUTED_VALUE"""),21.67)</f>
        <v>21.67</v>
      </c>
      <c r="C796" s="1">
        <f ca="1">IFERROR(__xludf.DUMMYFUNCTION("""COMPUTED_VALUE"""),23.08)</f>
        <v>23.08</v>
      </c>
      <c r="D796" s="1">
        <f ca="1">IFERROR(__xludf.DUMMYFUNCTION("""COMPUTED_VALUE"""),21.67)</f>
        <v>21.67</v>
      </c>
      <c r="E796" s="1">
        <f ca="1">IFERROR(__xludf.DUMMYFUNCTION("""COMPUTED_VALUE"""),23.07)</f>
        <v>23.07</v>
      </c>
      <c r="F796" s="1">
        <f ca="1">IFERROR(__xludf.DUMMYFUNCTION("""COMPUTED_VALUE"""),7992141)</f>
        <v>7992141</v>
      </c>
    </row>
    <row r="797" spans="1:6" x14ac:dyDescent="0.2">
      <c r="A797" s="2">
        <f ca="1">IFERROR(__xludf.DUMMYFUNCTION("""COMPUTED_VALUE"""),43431.6666666666)</f>
        <v>43431.666666666599</v>
      </c>
      <c r="B797" s="1">
        <f ca="1">IFERROR(__xludf.DUMMYFUNCTION("""COMPUTED_VALUE"""),22.67)</f>
        <v>22.67</v>
      </c>
      <c r="C797" s="1">
        <f ca="1">IFERROR(__xludf.DUMMYFUNCTION("""COMPUTED_VALUE"""),23.13)</f>
        <v>23.13</v>
      </c>
      <c r="D797" s="1">
        <f ca="1">IFERROR(__xludf.DUMMYFUNCTION("""COMPUTED_VALUE"""),22.37)</f>
        <v>22.37</v>
      </c>
      <c r="E797" s="1">
        <f ca="1">IFERROR(__xludf.DUMMYFUNCTION("""COMPUTED_VALUE"""),22.93)</f>
        <v>22.93</v>
      </c>
      <c r="F797" s="1">
        <f ca="1">IFERROR(__xludf.DUMMYFUNCTION("""COMPUTED_VALUE"""),6358300)</f>
        <v>6358300</v>
      </c>
    </row>
    <row r="798" spans="1:6" x14ac:dyDescent="0.2">
      <c r="A798" s="2">
        <f ca="1">IFERROR(__xludf.DUMMYFUNCTION("""COMPUTED_VALUE"""),43432.6666666666)</f>
        <v>43432.666666666599</v>
      </c>
      <c r="B798" s="1">
        <f ca="1">IFERROR(__xludf.DUMMYFUNCTION("""COMPUTED_VALUE"""),23.07)</f>
        <v>23.07</v>
      </c>
      <c r="C798" s="1">
        <f ca="1">IFERROR(__xludf.DUMMYFUNCTION("""COMPUTED_VALUE"""),23.22)</f>
        <v>23.22</v>
      </c>
      <c r="D798" s="1">
        <f ca="1">IFERROR(__xludf.DUMMYFUNCTION("""COMPUTED_VALUE"""),22.81)</f>
        <v>22.81</v>
      </c>
      <c r="E798" s="1">
        <f ca="1">IFERROR(__xludf.DUMMYFUNCTION("""COMPUTED_VALUE"""),23.19)</f>
        <v>23.19</v>
      </c>
      <c r="F798" s="1">
        <f ca="1">IFERROR(__xludf.DUMMYFUNCTION("""COMPUTED_VALUE"""),4127578)</f>
        <v>4127578</v>
      </c>
    </row>
    <row r="799" spans="1:6" x14ac:dyDescent="0.2">
      <c r="A799" s="2">
        <f ca="1">IFERROR(__xludf.DUMMYFUNCTION("""COMPUTED_VALUE"""),43433.6666666666)</f>
        <v>43433.666666666599</v>
      </c>
      <c r="B799" s="1">
        <f ca="1">IFERROR(__xludf.DUMMYFUNCTION("""COMPUTED_VALUE"""),23.13)</f>
        <v>23.13</v>
      </c>
      <c r="C799" s="1">
        <f ca="1">IFERROR(__xludf.DUMMYFUNCTION("""COMPUTED_VALUE"""),23.17)</f>
        <v>23.17</v>
      </c>
      <c r="D799" s="1">
        <f ca="1">IFERROR(__xludf.DUMMYFUNCTION("""COMPUTED_VALUE"""),22.64)</f>
        <v>22.64</v>
      </c>
      <c r="E799" s="1">
        <f ca="1">IFERROR(__xludf.DUMMYFUNCTION("""COMPUTED_VALUE"""),22.74)</f>
        <v>22.74</v>
      </c>
      <c r="F799" s="1">
        <f ca="1">IFERROR(__xludf.DUMMYFUNCTION("""COMPUTED_VALUE"""),3080724)</f>
        <v>3080724</v>
      </c>
    </row>
    <row r="800" spans="1:6" x14ac:dyDescent="0.2">
      <c r="A800" s="2">
        <f ca="1">IFERROR(__xludf.DUMMYFUNCTION("""COMPUTED_VALUE"""),43434.6666666666)</f>
        <v>43434.666666666599</v>
      </c>
      <c r="B800" s="1">
        <f ca="1">IFERROR(__xludf.DUMMYFUNCTION("""COMPUTED_VALUE"""),22.79)</f>
        <v>22.79</v>
      </c>
      <c r="C800" s="1">
        <f ca="1">IFERROR(__xludf.DUMMYFUNCTION("""COMPUTED_VALUE"""),23.44)</f>
        <v>23.44</v>
      </c>
      <c r="D800" s="1">
        <f ca="1">IFERROR(__xludf.DUMMYFUNCTION("""COMPUTED_VALUE"""),22.55)</f>
        <v>22.55</v>
      </c>
      <c r="E800" s="1">
        <f ca="1">IFERROR(__xludf.DUMMYFUNCTION("""COMPUTED_VALUE"""),23.37)</f>
        <v>23.37</v>
      </c>
      <c r="F800" s="1">
        <f ca="1">IFERROR(__xludf.DUMMYFUNCTION("""COMPUTED_VALUE"""),5628895)</f>
        <v>5628895</v>
      </c>
    </row>
    <row r="801" spans="1:6" x14ac:dyDescent="0.2">
      <c r="A801" s="2">
        <f ca="1">IFERROR(__xludf.DUMMYFUNCTION("""COMPUTED_VALUE"""),43437.6666666666)</f>
        <v>43437.666666666599</v>
      </c>
      <c r="B801" s="1">
        <f ca="1">IFERROR(__xludf.DUMMYFUNCTION("""COMPUTED_VALUE"""),24)</f>
        <v>24</v>
      </c>
      <c r="C801" s="1">
        <f ca="1">IFERROR(__xludf.DUMMYFUNCTION("""COMPUTED_VALUE"""),24.4)</f>
        <v>24.4</v>
      </c>
      <c r="D801" s="1">
        <f ca="1">IFERROR(__xludf.DUMMYFUNCTION("""COMPUTED_VALUE"""),23.47)</f>
        <v>23.47</v>
      </c>
      <c r="E801" s="1">
        <f ca="1">IFERROR(__xludf.DUMMYFUNCTION("""COMPUTED_VALUE"""),23.9)</f>
        <v>23.9</v>
      </c>
      <c r="F801" s="1">
        <f ca="1">IFERROR(__xludf.DUMMYFUNCTION("""COMPUTED_VALUE"""),8306511)</f>
        <v>8306511</v>
      </c>
    </row>
    <row r="802" spans="1:6" x14ac:dyDescent="0.2">
      <c r="A802" s="2">
        <f ca="1">IFERROR(__xludf.DUMMYFUNCTION("""COMPUTED_VALUE"""),43438.6666666666)</f>
        <v>43438.666666666599</v>
      </c>
      <c r="B802" s="1">
        <f ca="1">IFERROR(__xludf.DUMMYFUNCTION("""COMPUTED_VALUE"""),23.74)</f>
        <v>23.74</v>
      </c>
      <c r="C802" s="1">
        <f ca="1">IFERROR(__xludf.DUMMYFUNCTION("""COMPUTED_VALUE"""),24.58)</f>
        <v>24.58</v>
      </c>
      <c r="D802" s="1">
        <f ca="1">IFERROR(__xludf.DUMMYFUNCTION("""COMPUTED_VALUE"""),23.47)</f>
        <v>23.47</v>
      </c>
      <c r="E802" s="1">
        <f ca="1">IFERROR(__xludf.DUMMYFUNCTION("""COMPUTED_VALUE"""),23.98)</f>
        <v>23.98</v>
      </c>
      <c r="F802" s="1">
        <f ca="1">IFERROR(__xludf.DUMMYFUNCTION("""COMPUTED_VALUE"""),8461945)</f>
        <v>8461945</v>
      </c>
    </row>
    <row r="803" spans="1:6" x14ac:dyDescent="0.2">
      <c r="A803" s="2">
        <f ca="1">IFERROR(__xludf.DUMMYFUNCTION("""COMPUTED_VALUE"""),43440.6666666666)</f>
        <v>43440.666666666599</v>
      </c>
      <c r="B803" s="1">
        <f ca="1">IFERROR(__xludf.DUMMYFUNCTION("""COMPUTED_VALUE"""),23.73)</f>
        <v>23.73</v>
      </c>
      <c r="C803" s="1">
        <f ca="1">IFERROR(__xludf.DUMMYFUNCTION("""COMPUTED_VALUE"""),24.49)</f>
        <v>24.49</v>
      </c>
      <c r="D803" s="1">
        <f ca="1">IFERROR(__xludf.DUMMYFUNCTION("""COMPUTED_VALUE"""),23.38)</f>
        <v>23.38</v>
      </c>
      <c r="E803" s="1">
        <f ca="1">IFERROR(__xludf.DUMMYFUNCTION("""COMPUTED_VALUE"""),24.2)</f>
        <v>24.2</v>
      </c>
      <c r="F803" s="1">
        <f ca="1">IFERROR(__xludf.DUMMYFUNCTION("""COMPUTED_VALUE"""),7842508)</f>
        <v>7842508</v>
      </c>
    </row>
    <row r="804" spans="1:6" x14ac:dyDescent="0.2">
      <c r="A804" s="2">
        <f ca="1">IFERROR(__xludf.DUMMYFUNCTION("""COMPUTED_VALUE"""),43441.6666666666)</f>
        <v>43441.666666666599</v>
      </c>
      <c r="B804" s="1">
        <f ca="1">IFERROR(__xludf.DUMMYFUNCTION("""COMPUTED_VALUE"""),24.6)</f>
        <v>24.6</v>
      </c>
      <c r="C804" s="1">
        <f ca="1">IFERROR(__xludf.DUMMYFUNCTION("""COMPUTED_VALUE"""),25.3)</f>
        <v>25.3</v>
      </c>
      <c r="D804" s="1">
        <f ca="1">IFERROR(__xludf.DUMMYFUNCTION("""COMPUTED_VALUE"""),23.84)</f>
        <v>23.84</v>
      </c>
      <c r="E804" s="1">
        <f ca="1">IFERROR(__xludf.DUMMYFUNCTION("""COMPUTED_VALUE"""),23.86)</f>
        <v>23.86</v>
      </c>
      <c r="F804" s="1">
        <f ca="1">IFERROR(__xludf.DUMMYFUNCTION("""COMPUTED_VALUE"""),11511177)</f>
        <v>11511177</v>
      </c>
    </row>
    <row r="805" spans="1:6" x14ac:dyDescent="0.2">
      <c r="A805" s="2">
        <f ca="1">IFERROR(__xludf.DUMMYFUNCTION("""COMPUTED_VALUE"""),43444.6666666666)</f>
        <v>43444.666666666599</v>
      </c>
      <c r="B805" s="1">
        <f ca="1">IFERROR(__xludf.DUMMYFUNCTION("""COMPUTED_VALUE"""),24)</f>
        <v>24</v>
      </c>
      <c r="C805" s="1">
        <f ca="1">IFERROR(__xludf.DUMMYFUNCTION("""COMPUTED_VALUE"""),24.4)</f>
        <v>24.4</v>
      </c>
      <c r="D805" s="1">
        <f ca="1">IFERROR(__xludf.DUMMYFUNCTION("""COMPUTED_VALUE"""),23.54)</f>
        <v>23.54</v>
      </c>
      <c r="E805" s="1">
        <f ca="1">IFERROR(__xludf.DUMMYFUNCTION("""COMPUTED_VALUE"""),24.34)</f>
        <v>24.34</v>
      </c>
      <c r="F805" s="1">
        <f ca="1">IFERROR(__xludf.DUMMYFUNCTION("""COMPUTED_VALUE"""),6613455)</f>
        <v>6613455</v>
      </c>
    </row>
    <row r="806" spans="1:6" x14ac:dyDescent="0.2">
      <c r="A806" s="2">
        <f ca="1">IFERROR(__xludf.DUMMYFUNCTION("""COMPUTED_VALUE"""),43445.6666666666)</f>
        <v>43445.666666666599</v>
      </c>
      <c r="B806" s="1">
        <f ca="1">IFERROR(__xludf.DUMMYFUNCTION("""COMPUTED_VALUE"""),24.66)</f>
        <v>24.66</v>
      </c>
      <c r="C806" s="1">
        <f ca="1">IFERROR(__xludf.DUMMYFUNCTION("""COMPUTED_VALUE"""),24.81)</f>
        <v>24.81</v>
      </c>
      <c r="D806" s="1">
        <f ca="1">IFERROR(__xludf.DUMMYFUNCTION("""COMPUTED_VALUE"""),24.02)</f>
        <v>24.02</v>
      </c>
      <c r="E806" s="1">
        <f ca="1">IFERROR(__xludf.DUMMYFUNCTION("""COMPUTED_VALUE"""),24.45)</f>
        <v>24.45</v>
      </c>
      <c r="F806" s="1">
        <f ca="1">IFERROR(__xludf.DUMMYFUNCTION("""COMPUTED_VALUE"""),6308769)</f>
        <v>6308769</v>
      </c>
    </row>
    <row r="807" spans="1:6" x14ac:dyDescent="0.2">
      <c r="A807" s="2">
        <f ca="1">IFERROR(__xludf.DUMMYFUNCTION("""COMPUTED_VALUE"""),43446.6666666666)</f>
        <v>43446.666666666599</v>
      </c>
      <c r="B807" s="1">
        <f ca="1">IFERROR(__xludf.DUMMYFUNCTION("""COMPUTED_VALUE"""),24.63)</f>
        <v>24.63</v>
      </c>
      <c r="C807" s="1">
        <f ca="1">IFERROR(__xludf.DUMMYFUNCTION("""COMPUTED_VALUE"""),24.79)</f>
        <v>24.79</v>
      </c>
      <c r="D807" s="1">
        <f ca="1">IFERROR(__xludf.DUMMYFUNCTION("""COMPUTED_VALUE"""),24.34)</f>
        <v>24.34</v>
      </c>
      <c r="E807" s="1">
        <f ca="1">IFERROR(__xludf.DUMMYFUNCTION("""COMPUTED_VALUE"""),24.44)</f>
        <v>24.44</v>
      </c>
      <c r="F807" s="1">
        <f ca="1">IFERROR(__xludf.DUMMYFUNCTION("""COMPUTED_VALUE"""),5027048)</f>
        <v>5027048</v>
      </c>
    </row>
    <row r="808" spans="1:6" x14ac:dyDescent="0.2">
      <c r="A808" s="2">
        <f ca="1">IFERROR(__xludf.DUMMYFUNCTION("""COMPUTED_VALUE"""),43447.6666666666)</f>
        <v>43447.666666666599</v>
      </c>
      <c r="B808" s="1">
        <f ca="1">IFERROR(__xludf.DUMMYFUNCTION("""COMPUTED_VALUE"""),24.68)</f>
        <v>24.68</v>
      </c>
      <c r="C808" s="1">
        <f ca="1">IFERROR(__xludf.DUMMYFUNCTION("""COMPUTED_VALUE"""),25.16)</f>
        <v>25.16</v>
      </c>
      <c r="D808" s="1">
        <f ca="1">IFERROR(__xludf.DUMMYFUNCTION("""COMPUTED_VALUE"""),24.45)</f>
        <v>24.45</v>
      </c>
      <c r="E808" s="1">
        <f ca="1">IFERROR(__xludf.DUMMYFUNCTION("""COMPUTED_VALUE"""),25.12)</f>
        <v>25.12</v>
      </c>
      <c r="F808" s="1">
        <f ca="1">IFERROR(__xludf.DUMMYFUNCTION("""COMPUTED_VALUE"""),7365854)</f>
        <v>7365854</v>
      </c>
    </row>
    <row r="809" spans="1:6" x14ac:dyDescent="0.2">
      <c r="A809" s="2">
        <f ca="1">IFERROR(__xludf.DUMMYFUNCTION("""COMPUTED_VALUE"""),43448.6666666666)</f>
        <v>43448.666666666599</v>
      </c>
      <c r="B809" s="1">
        <f ca="1">IFERROR(__xludf.DUMMYFUNCTION("""COMPUTED_VALUE"""),25)</f>
        <v>25</v>
      </c>
      <c r="C809" s="1">
        <f ca="1">IFERROR(__xludf.DUMMYFUNCTION("""COMPUTED_VALUE"""),25.19)</f>
        <v>25.19</v>
      </c>
      <c r="D809" s="1">
        <f ca="1">IFERROR(__xludf.DUMMYFUNCTION("""COMPUTED_VALUE"""),24.29)</f>
        <v>24.29</v>
      </c>
      <c r="E809" s="1">
        <f ca="1">IFERROR(__xludf.DUMMYFUNCTION("""COMPUTED_VALUE"""),24.38)</f>
        <v>24.38</v>
      </c>
      <c r="F809" s="1">
        <f ca="1">IFERROR(__xludf.DUMMYFUNCTION("""COMPUTED_VALUE"""),6337555)</f>
        <v>6337555</v>
      </c>
    </row>
    <row r="810" spans="1:6" x14ac:dyDescent="0.2">
      <c r="A810" s="2">
        <f ca="1">IFERROR(__xludf.DUMMYFUNCTION("""COMPUTED_VALUE"""),43451.6666666666)</f>
        <v>43451.666666666599</v>
      </c>
      <c r="B810" s="1">
        <f ca="1">IFERROR(__xludf.DUMMYFUNCTION("""COMPUTED_VALUE"""),24.13)</f>
        <v>24.13</v>
      </c>
      <c r="C810" s="1">
        <f ca="1">IFERROR(__xludf.DUMMYFUNCTION("""COMPUTED_VALUE"""),24.38)</f>
        <v>24.38</v>
      </c>
      <c r="D810" s="1">
        <f ca="1">IFERROR(__xludf.DUMMYFUNCTION("""COMPUTED_VALUE"""),22.93)</f>
        <v>22.93</v>
      </c>
      <c r="E810" s="1">
        <f ca="1">IFERROR(__xludf.DUMMYFUNCTION("""COMPUTED_VALUE"""),23.23)</f>
        <v>23.23</v>
      </c>
      <c r="F810" s="1">
        <f ca="1">IFERROR(__xludf.DUMMYFUNCTION("""COMPUTED_VALUE"""),7674008)</f>
        <v>7674008</v>
      </c>
    </row>
    <row r="811" spans="1:6" x14ac:dyDescent="0.2">
      <c r="A811" s="2">
        <f ca="1">IFERROR(__xludf.DUMMYFUNCTION("""COMPUTED_VALUE"""),43452.6666666666)</f>
        <v>43452.666666666599</v>
      </c>
      <c r="B811" s="1">
        <f ca="1">IFERROR(__xludf.DUMMYFUNCTION("""COMPUTED_VALUE"""),23.37)</f>
        <v>23.37</v>
      </c>
      <c r="C811" s="1">
        <f ca="1">IFERROR(__xludf.DUMMYFUNCTION("""COMPUTED_VALUE"""),23.44)</f>
        <v>23.44</v>
      </c>
      <c r="D811" s="1">
        <f ca="1">IFERROR(__xludf.DUMMYFUNCTION("""COMPUTED_VALUE"""),22.25)</f>
        <v>22.25</v>
      </c>
      <c r="E811" s="1">
        <f ca="1">IFERROR(__xludf.DUMMYFUNCTION("""COMPUTED_VALUE"""),22.47)</f>
        <v>22.47</v>
      </c>
      <c r="F811" s="1">
        <f ca="1">IFERROR(__xludf.DUMMYFUNCTION("""COMPUTED_VALUE"""),7099999)</f>
        <v>7099999</v>
      </c>
    </row>
    <row r="812" spans="1:6" x14ac:dyDescent="0.2">
      <c r="A812" s="2">
        <f ca="1">IFERROR(__xludf.DUMMYFUNCTION("""COMPUTED_VALUE"""),43453.6666666666)</f>
        <v>43453.666666666599</v>
      </c>
      <c r="B812" s="1">
        <f ca="1">IFERROR(__xludf.DUMMYFUNCTION("""COMPUTED_VALUE"""),22.51)</f>
        <v>22.51</v>
      </c>
      <c r="C812" s="1">
        <f ca="1">IFERROR(__xludf.DUMMYFUNCTION("""COMPUTED_VALUE"""),23.13)</f>
        <v>23.13</v>
      </c>
      <c r="D812" s="1">
        <f ca="1">IFERROR(__xludf.DUMMYFUNCTION("""COMPUTED_VALUE"""),21.98)</f>
        <v>21.98</v>
      </c>
      <c r="E812" s="1">
        <f ca="1">IFERROR(__xludf.DUMMYFUNCTION("""COMPUTED_VALUE"""),22.2)</f>
        <v>22.2</v>
      </c>
      <c r="F812" s="1">
        <f ca="1">IFERROR(__xludf.DUMMYFUNCTION("""COMPUTED_VALUE"""),8274181)</f>
        <v>8274181</v>
      </c>
    </row>
    <row r="813" spans="1:6" x14ac:dyDescent="0.2">
      <c r="A813" s="2">
        <f ca="1">IFERROR(__xludf.DUMMYFUNCTION("""COMPUTED_VALUE"""),43454.6666666666)</f>
        <v>43454.666666666599</v>
      </c>
      <c r="B813" s="1">
        <f ca="1">IFERROR(__xludf.DUMMYFUNCTION("""COMPUTED_VALUE"""),21.8)</f>
        <v>21.8</v>
      </c>
      <c r="C813" s="1">
        <f ca="1">IFERROR(__xludf.DUMMYFUNCTION("""COMPUTED_VALUE"""),22.02)</f>
        <v>22.02</v>
      </c>
      <c r="D813" s="1">
        <f ca="1">IFERROR(__xludf.DUMMYFUNCTION("""COMPUTED_VALUE"""),20.79)</f>
        <v>20.79</v>
      </c>
      <c r="E813" s="1">
        <f ca="1">IFERROR(__xludf.DUMMYFUNCTION("""COMPUTED_VALUE"""),21.03)</f>
        <v>21.03</v>
      </c>
      <c r="F813" s="1">
        <f ca="1">IFERROR(__xludf.DUMMYFUNCTION("""COMPUTED_VALUE"""),9071858)</f>
        <v>9071858</v>
      </c>
    </row>
    <row r="814" spans="1:6" x14ac:dyDescent="0.2">
      <c r="A814" s="2">
        <f ca="1">IFERROR(__xludf.DUMMYFUNCTION("""COMPUTED_VALUE"""),43455.6666666666)</f>
        <v>43455.666666666599</v>
      </c>
      <c r="B814" s="1">
        <f ca="1">IFERROR(__xludf.DUMMYFUNCTION("""COMPUTED_VALUE"""),21.16)</f>
        <v>21.16</v>
      </c>
      <c r="C814" s="1">
        <f ca="1">IFERROR(__xludf.DUMMYFUNCTION("""COMPUTED_VALUE"""),21.56)</f>
        <v>21.56</v>
      </c>
      <c r="D814" s="1">
        <f ca="1">IFERROR(__xludf.DUMMYFUNCTION("""COMPUTED_VALUE"""),20.83)</f>
        <v>20.83</v>
      </c>
      <c r="E814" s="1">
        <f ca="1">IFERROR(__xludf.DUMMYFUNCTION("""COMPUTED_VALUE"""),21.32)</f>
        <v>21.32</v>
      </c>
      <c r="F814" s="1">
        <f ca="1">IFERROR(__xludf.DUMMYFUNCTION("""COMPUTED_VALUE"""),8016801)</f>
        <v>8016801</v>
      </c>
    </row>
    <row r="815" spans="1:6" x14ac:dyDescent="0.2">
      <c r="A815" s="2">
        <f ca="1">IFERROR(__xludf.DUMMYFUNCTION("""COMPUTED_VALUE"""),43458.5416666666)</f>
        <v>43458.541666666599</v>
      </c>
      <c r="B815" s="1">
        <f ca="1">IFERROR(__xludf.DUMMYFUNCTION("""COMPUTED_VALUE"""),20.9)</f>
        <v>20.9</v>
      </c>
      <c r="C815" s="1">
        <f ca="1">IFERROR(__xludf.DUMMYFUNCTION("""COMPUTED_VALUE"""),20.97)</f>
        <v>20.97</v>
      </c>
      <c r="D815" s="1">
        <f ca="1">IFERROR(__xludf.DUMMYFUNCTION("""COMPUTED_VALUE"""),19.68)</f>
        <v>19.68</v>
      </c>
      <c r="E815" s="1">
        <f ca="1">IFERROR(__xludf.DUMMYFUNCTION("""COMPUTED_VALUE"""),19.69)</f>
        <v>19.690000000000001</v>
      </c>
      <c r="F815" s="1">
        <f ca="1">IFERROR(__xludf.DUMMYFUNCTION("""COMPUTED_VALUE"""),5559913)</f>
        <v>5559913</v>
      </c>
    </row>
    <row r="816" spans="1:6" x14ac:dyDescent="0.2">
      <c r="A816" s="2">
        <f ca="1">IFERROR(__xludf.DUMMYFUNCTION("""COMPUTED_VALUE"""),43460.6666666666)</f>
        <v>43460.666666666599</v>
      </c>
      <c r="B816" s="1">
        <f ca="1">IFERROR(__xludf.DUMMYFUNCTION("""COMPUTED_VALUE"""),20)</f>
        <v>20</v>
      </c>
      <c r="C816" s="1">
        <f ca="1">IFERROR(__xludf.DUMMYFUNCTION("""COMPUTED_VALUE"""),21.8)</f>
        <v>21.8</v>
      </c>
      <c r="D816" s="1">
        <f ca="1">IFERROR(__xludf.DUMMYFUNCTION("""COMPUTED_VALUE"""),19.61)</f>
        <v>19.61</v>
      </c>
      <c r="E816" s="1">
        <f ca="1">IFERROR(__xludf.DUMMYFUNCTION("""COMPUTED_VALUE"""),21.74)</f>
        <v>21.74</v>
      </c>
      <c r="F816" s="1">
        <f ca="1">IFERROR(__xludf.DUMMYFUNCTION("""COMPUTED_VALUE"""),8163138)</f>
        <v>8163138</v>
      </c>
    </row>
    <row r="817" spans="1:6" x14ac:dyDescent="0.2">
      <c r="A817" s="2">
        <f ca="1">IFERROR(__xludf.DUMMYFUNCTION("""COMPUTED_VALUE"""),43461.6666666666)</f>
        <v>43461.666666666599</v>
      </c>
      <c r="B817" s="1">
        <f ca="1">IFERROR(__xludf.DUMMYFUNCTION("""COMPUTED_VALUE"""),21.32)</f>
        <v>21.32</v>
      </c>
      <c r="C817" s="1">
        <f ca="1">IFERROR(__xludf.DUMMYFUNCTION("""COMPUTED_VALUE"""),21.48)</f>
        <v>21.48</v>
      </c>
      <c r="D817" s="1">
        <f ca="1">IFERROR(__xludf.DUMMYFUNCTION("""COMPUTED_VALUE"""),20.1)</f>
        <v>20.100000000000001</v>
      </c>
      <c r="E817" s="1">
        <f ca="1">IFERROR(__xludf.DUMMYFUNCTION("""COMPUTED_VALUE"""),21.08)</f>
        <v>21.08</v>
      </c>
      <c r="F817" s="1">
        <f ca="1">IFERROR(__xludf.DUMMYFUNCTION("""COMPUTED_VALUE"""),8575133)</f>
        <v>8575133</v>
      </c>
    </row>
    <row r="818" spans="1:6" x14ac:dyDescent="0.2">
      <c r="A818" s="2">
        <f ca="1">IFERROR(__xludf.DUMMYFUNCTION("""COMPUTED_VALUE"""),43462.6666666666)</f>
        <v>43462.666666666599</v>
      </c>
      <c r="B818" s="1">
        <f ca="1">IFERROR(__xludf.DUMMYFUNCTION("""COMPUTED_VALUE"""),21.54)</f>
        <v>21.54</v>
      </c>
      <c r="C818" s="1">
        <f ca="1">IFERROR(__xludf.DUMMYFUNCTION("""COMPUTED_VALUE"""),22.42)</f>
        <v>22.42</v>
      </c>
      <c r="D818" s="1">
        <f ca="1">IFERROR(__xludf.DUMMYFUNCTION("""COMPUTED_VALUE"""),21.23)</f>
        <v>21.23</v>
      </c>
      <c r="E818" s="1">
        <f ca="1">IFERROR(__xludf.DUMMYFUNCTION("""COMPUTED_VALUE"""),22.26)</f>
        <v>22.26</v>
      </c>
      <c r="F818" s="1">
        <f ca="1">IFERROR(__xludf.DUMMYFUNCTION("""COMPUTED_VALUE"""),9938992)</f>
        <v>9938992</v>
      </c>
    </row>
    <row r="819" spans="1:6" x14ac:dyDescent="0.2">
      <c r="A819" s="2">
        <f ca="1">IFERROR(__xludf.DUMMYFUNCTION("""COMPUTED_VALUE"""),43465.6666666666)</f>
        <v>43465.666666666599</v>
      </c>
      <c r="B819" s="1">
        <f ca="1">IFERROR(__xludf.DUMMYFUNCTION("""COMPUTED_VALUE"""),22.52)</f>
        <v>22.52</v>
      </c>
      <c r="C819" s="1">
        <f ca="1">IFERROR(__xludf.DUMMYFUNCTION("""COMPUTED_VALUE"""),22.61)</f>
        <v>22.61</v>
      </c>
      <c r="D819" s="1">
        <f ca="1">IFERROR(__xludf.DUMMYFUNCTION("""COMPUTED_VALUE"""),21.68)</f>
        <v>21.68</v>
      </c>
      <c r="E819" s="1">
        <f ca="1">IFERROR(__xludf.DUMMYFUNCTION("""COMPUTED_VALUE"""),22.19)</f>
        <v>22.19</v>
      </c>
      <c r="F819" s="1">
        <f ca="1">IFERROR(__xludf.DUMMYFUNCTION("""COMPUTED_VALUE"""),6302338)</f>
        <v>6302338</v>
      </c>
    </row>
    <row r="820" spans="1:6" x14ac:dyDescent="0.2">
      <c r="A820" s="2">
        <f ca="1">IFERROR(__xludf.DUMMYFUNCTION("""COMPUTED_VALUE"""),43467.6666666666)</f>
        <v>43467.666666666599</v>
      </c>
      <c r="B820" s="1">
        <f ca="1">IFERROR(__xludf.DUMMYFUNCTION("""COMPUTED_VALUE"""),20.41)</f>
        <v>20.41</v>
      </c>
      <c r="C820" s="1">
        <f ca="1">IFERROR(__xludf.DUMMYFUNCTION("""COMPUTED_VALUE"""),21.01)</f>
        <v>21.01</v>
      </c>
      <c r="D820" s="1">
        <f ca="1">IFERROR(__xludf.DUMMYFUNCTION("""COMPUTED_VALUE"""),19.92)</f>
        <v>19.920000000000002</v>
      </c>
      <c r="E820" s="1">
        <f ca="1">IFERROR(__xludf.DUMMYFUNCTION("""COMPUTED_VALUE"""),20.67)</f>
        <v>20.67</v>
      </c>
      <c r="F820" s="1">
        <f ca="1">IFERROR(__xludf.DUMMYFUNCTION("""COMPUTED_VALUE"""),11658648)</f>
        <v>11658648</v>
      </c>
    </row>
    <row r="821" spans="1:6" x14ac:dyDescent="0.2">
      <c r="A821" s="2">
        <f ca="1">IFERROR(__xludf.DUMMYFUNCTION("""COMPUTED_VALUE"""),43468.6666666666)</f>
        <v>43468.666666666599</v>
      </c>
      <c r="B821" s="1">
        <f ca="1">IFERROR(__xludf.DUMMYFUNCTION("""COMPUTED_VALUE"""),20.47)</f>
        <v>20.47</v>
      </c>
      <c r="C821" s="1">
        <f ca="1">IFERROR(__xludf.DUMMYFUNCTION("""COMPUTED_VALUE"""),20.63)</f>
        <v>20.63</v>
      </c>
      <c r="D821" s="1">
        <f ca="1">IFERROR(__xludf.DUMMYFUNCTION("""COMPUTED_VALUE"""),19.83)</f>
        <v>19.829999999999998</v>
      </c>
      <c r="E821" s="1">
        <f ca="1">IFERROR(__xludf.DUMMYFUNCTION("""COMPUTED_VALUE"""),20.02)</f>
        <v>20.02</v>
      </c>
      <c r="F821" s="1">
        <f ca="1">IFERROR(__xludf.DUMMYFUNCTION("""COMPUTED_VALUE"""),6965184)</f>
        <v>6965184</v>
      </c>
    </row>
    <row r="822" spans="1:6" x14ac:dyDescent="0.2">
      <c r="A822" s="2">
        <f ca="1">IFERROR(__xludf.DUMMYFUNCTION("""COMPUTED_VALUE"""),43469.6666666666)</f>
        <v>43469.666666666599</v>
      </c>
      <c r="B822" s="1">
        <f ca="1">IFERROR(__xludf.DUMMYFUNCTION("""COMPUTED_VALUE"""),20.4)</f>
        <v>20.399999999999999</v>
      </c>
      <c r="C822" s="1">
        <f ca="1">IFERROR(__xludf.DUMMYFUNCTION("""COMPUTED_VALUE"""),21.2)</f>
        <v>21.2</v>
      </c>
      <c r="D822" s="1">
        <f ca="1">IFERROR(__xludf.DUMMYFUNCTION("""COMPUTED_VALUE"""),20.18)</f>
        <v>20.18</v>
      </c>
      <c r="E822" s="1">
        <f ca="1">IFERROR(__xludf.DUMMYFUNCTION("""COMPUTED_VALUE"""),21.18)</f>
        <v>21.18</v>
      </c>
      <c r="F822" s="1">
        <f ca="1">IFERROR(__xludf.DUMMYFUNCTION("""COMPUTED_VALUE"""),7394116)</f>
        <v>7394116</v>
      </c>
    </row>
    <row r="823" spans="1:6" x14ac:dyDescent="0.2">
      <c r="A823" s="2">
        <f ca="1">IFERROR(__xludf.DUMMYFUNCTION("""COMPUTED_VALUE"""),43472.6666666666)</f>
        <v>43472.666666666599</v>
      </c>
      <c r="B823" s="1">
        <f ca="1">IFERROR(__xludf.DUMMYFUNCTION("""COMPUTED_VALUE"""),21.45)</f>
        <v>21.45</v>
      </c>
      <c r="C823" s="1">
        <f ca="1">IFERROR(__xludf.DUMMYFUNCTION("""COMPUTED_VALUE"""),22.45)</f>
        <v>22.45</v>
      </c>
      <c r="D823" s="1">
        <f ca="1">IFERROR(__xludf.DUMMYFUNCTION("""COMPUTED_VALUE"""),21.18)</f>
        <v>21.18</v>
      </c>
      <c r="E823" s="1">
        <f ca="1">IFERROR(__xludf.DUMMYFUNCTION("""COMPUTED_VALUE"""),22.33)</f>
        <v>22.33</v>
      </c>
      <c r="F823" s="1">
        <f ca="1">IFERROR(__xludf.DUMMYFUNCTION("""COMPUTED_VALUE"""),7551225)</f>
        <v>7551225</v>
      </c>
    </row>
    <row r="824" spans="1:6" x14ac:dyDescent="0.2">
      <c r="A824" s="2">
        <f ca="1">IFERROR(__xludf.DUMMYFUNCTION("""COMPUTED_VALUE"""),43473.6666666666)</f>
        <v>43473.666666666599</v>
      </c>
      <c r="B824" s="1">
        <f ca="1">IFERROR(__xludf.DUMMYFUNCTION("""COMPUTED_VALUE"""),22.8)</f>
        <v>22.8</v>
      </c>
      <c r="C824" s="1">
        <f ca="1">IFERROR(__xludf.DUMMYFUNCTION("""COMPUTED_VALUE"""),22.93)</f>
        <v>22.93</v>
      </c>
      <c r="D824" s="1">
        <f ca="1">IFERROR(__xludf.DUMMYFUNCTION("""COMPUTED_VALUE"""),21.8)</f>
        <v>21.8</v>
      </c>
      <c r="E824" s="1">
        <f ca="1">IFERROR(__xludf.DUMMYFUNCTION("""COMPUTED_VALUE"""),22.36)</f>
        <v>22.36</v>
      </c>
      <c r="F824" s="1">
        <f ca="1">IFERROR(__xludf.DUMMYFUNCTION("""COMPUTED_VALUE"""),7008516)</f>
        <v>7008516</v>
      </c>
    </row>
    <row r="825" spans="1:6" x14ac:dyDescent="0.2">
      <c r="A825" s="2">
        <f ca="1">IFERROR(__xludf.DUMMYFUNCTION("""COMPUTED_VALUE"""),43474.6666666666)</f>
        <v>43474.666666666599</v>
      </c>
      <c r="B825" s="1">
        <f ca="1">IFERROR(__xludf.DUMMYFUNCTION("""COMPUTED_VALUE"""),22.37)</f>
        <v>22.37</v>
      </c>
      <c r="C825" s="1">
        <f ca="1">IFERROR(__xludf.DUMMYFUNCTION("""COMPUTED_VALUE"""),22.9)</f>
        <v>22.9</v>
      </c>
      <c r="D825" s="1">
        <f ca="1">IFERROR(__xludf.DUMMYFUNCTION("""COMPUTED_VALUE"""),22.1)</f>
        <v>22.1</v>
      </c>
      <c r="E825" s="1">
        <f ca="1">IFERROR(__xludf.DUMMYFUNCTION("""COMPUTED_VALUE"""),22.57)</f>
        <v>22.57</v>
      </c>
      <c r="F825" s="1">
        <f ca="1">IFERROR(__xludf.DUMMYFUNCTION("""COMPUTED_VALUE"""),5432945)</f>
        <v>5432945</v>
      </c>
    </row>
    <row r="826" spans="1:6" x14ac:dyDescent="0.2">
      <c r="A826" s="2">
        <f ca="1">IFERROR(__xludf.DUMMYFUNCTION("""COMPUTED_VALUE"""),43475.6666666666)</f>
        <v>43475.666666666599</v>
      </c>
      <c r="B826" s="1">
        <f ca="1">IFERROR(__xludf.DUMMYFUNCTION("""COMPUTED_VALUE"""),22.29)</f>
        <v>22.29</v>
      </c>
      <c r="C826" s="1">
        <f ca="1">IFERROR(__xludf.DUMMYFUNCTION("""COMPUTED_VALUE"""),23.03)</f>
        <v>23.03</v>
      </c>
      <c r="D826" s="1">
        <f ca="1">IFERROR(__xludf.DUMMYFUNCTION("""COMPUTED_VALUE"""),22.12)</f>
        <v>22.12</v>
      </c>
      <c r="E826" s="1">
        <f ca="1">IFERROR(__xludf.DUMMYFUNCTION("""COMPUTED_VALUE"""),23)</f>
        <v>23</v>
      </c>
      <c r="F826" s="1">
        <f ca="1">IFERROR(__xludf.DUMMYFUNCTION("""COMPUTED_VALUE"""),6056354)</f>
        <v>6056354</v>
      </c>
    </row>
    <row r="827" spans="1:6" x14ac:dyDescent="0.2">
      <c r="A827" s="2">
        <f ca="1">IFERROR(__xludf.DUMMYFUNCTION("""COMPUTED_VALUE"""),43476.6666666666)</f>
        <v>43476.666666666599</v>
      </c>
      <c r="B827" s="1">
        <f ca="1">IFERROR(__xludf.DUMMYFUNCTION("""COMPUTED_VALUE"""),22.81)</f>
        <v>22.81</v>
      </c>
      <c r="C827" s="1">
        <f ca="1">IFERROR(__xludf.DUMMYFUNCTION("""COMPUTED_VALUE"""),23.23)</f>
        <v>23.23</v>
      </c>
      <c r="D827" s="1">
        <f ca="1">IFERROR(__xludf.DUMMYFUNCTION("""COMPUTED_VALUE"""),22.58)</f>
        <v>22.58</v>
      </c>
      <c r="E827" s="1">
        <f ca="1">IFERROR(__xludf.DUMMYFUNCTION("""COMPUTED_VALUE"""),23.15)</f>
        <v>23.15</v>
      </c>
      <c r="F827" s="1">
        <f ca="1">IFERROR(__xludf.DUMMYFUNCTION("""COMPUTED_VALUE"""),5039052)</f>
        <v>5039052</v>
      </c>
    </row>
    <row r="828" spans="1:6" x14ac:dyDescent="0.2">
      <c r="A828" s="2">
        <f ca="1">IFERROR(__xludf.DUMMYFUNCTION("""COMPUTED_VALUE"""),43479.6666666666)</f>
        <v>43479.666666666599</v>
      </c>
      <c r="B828" s="1">
        <f ca="1">IFERROR(__xludf.DUMMYFUNCTION("""COMPUTED_VALUE"""),22.83)</f>
        <v>22.83</v>
      </c>
      <c r="C828" s="1">
        <f ca="1">IFERROR(__xludf.DUMMYFUNCTION("""COMPUTED_VALUE"""),22.83)</f>
        <v>22.83</v>
      </c>
      <c r="D828" s="1">
        <f ca="1">IFERROR(__xludf.DUMMYFUNCTION("""COMPUTED_VALUE"""),22.27)</f>
        <v>22.27</v>
      </c>
      <c r="E828" s="1">
        <f ca="1">IFERROR(__xludf.DUMMYFUNCTION("""COMPUTED_VALUE"""),22.29)</f>
        <v>22.29</v>
      </c>
      <c r="F828" s="1">
        <f ca="1">IFERROR(__xludf.DUMMYFUNCTION("""COMPUTED_VALUE"""),5247284)</f>
        <v>5247284</v>
      </c>
    </row>
    <row r="829" spans="1:6" x14ac:dyDescent="0.2">
      <c r="A829" s="2">
        <f ca="1">IFERROR(__xludf.DUMMYFUNCTION("""COMPUTED_VALUE"""),43480.6666666666)</f>
        <v>43480.666666666599</v>
      </c>
      <c r="B829" s="1">
        <f ca="1">IFERROR(__xludf.DUMMYFUNCTION("""COMPUTED_VALUE"""),22.33)</f>
        <v>22.33</v>
      </c>
      <c r="C829" s="1">
        <f ca="1">IFERROR(__xludf.DUMMYFUNCTION("""COMPUTED_VALUE"""),23.25)</f>
        <v>23.25</v>
      </c>
      <c r="D829" s="1">
        <f ca="1">IFERROR(__xludf.DUMMYFUNCTION("""COMPUTED_VALUE"""),22.3)</f>
        <v>22.3</v>
      </c>
      <c r="E829" s="1">
        <f ca="1">IFERROR(__xludf.DUMMYFUNCTION("""COMPUTED_VALUE"""),22.96)</f>
        <v>22.96</v>
      </c>
      <c r="F829" s="1">
        <f ca="1">IFERROR(__xludf.DUMMYFUNCTION("""COMPUTED_VALUE"""),6056590)</f>
        <v>6056590</v>
      </c>
    </row>
    <row r="830" spans="1:6" x14ac:dyDescent="0.2">
      <c r="A830" s="2">
        <f ca="1">IFERROR(__xludf.DUMMYFUNCTION("""COMPUTED_VALUE"""),43481.6666666666)</f>
        <v>43481.666666666599</v>
      </c>
      <c r="B830" s="1">
        <f ca="1">IFERROR(__xludf.DUMMYFUNCTION("""COMPUTED_VALUE"""),22.99)</f>
        <v>22.99</v>
      </c>
      <c r="C830" s="1">
        <f ca="1">IFERROR(__xludf.DUMMYFUNCTION("""COMPUTED_VALUE"""),23.47)</f>
        <v>23.47</v>
      </c>
      <c r="D830" s="1">
        <f ca="1">IFERROR(__xludf.DUMMYFUNCTION("""COMPUTED_VALUE"""),22.9)</f>
        <v>22.9</v>
      </c>
      <c r="E830" s="1">
        <f ca="1">IFERROR(__xludf.DUMMYFUNCTION("""COMPUTED_VALUE"""),23.07)</f>
        <v>23.07</v>
      </c>
      <c r="F830" s="1">
        <f ca="1">IFERROR(__xludf.DUMMYFUNCTION("""COMPUTED_VALUE"""),4691739)</f>
        <v>4691739</v>
      </c>
    </row>
    <row r="831" spans="1:6" x14ac:dyDescent="0.2">
      <c r="A831" s="2">
        <f ca="1">IFERROR(__xludf.DUMMYFUNCTION("""COMPUTED_VALUE"""),43482.6666666666)</f>
        <v>43482.666666666599</v>
      </c>
      <c r="B831" s="1">
        <f ca="1">IFERROR(__xludf.DUMMYFUNCTION("""COMPUTED_VALUE"""),23.08)</f>
        <v>23.08</v>
      </c>
      <c r="C831" s="1">
        <f ca="1">IFERROR(__xludf.DUMMYFUNCTION("""COMPUTED_VALUE"""),23.43)</f>
        <v>23.43</v>
      </c>
      <c r="D831" s="1">
        <f ca="1">IFERROR(__xludf.DUMMYFUNCTION("""COMPUTED_VALUE"""),22.94)</f>
        <v>22.94</v>
      </c>
      <c r="E831" s="1">
        <f ca="1">IFERROR(__xludf.DUMMYFUNCTION("""COMPUTED_VALUE"""),23.15)</f>
        <v>23.15</v>
      </c>
      <c r="F831" s="1">
        <f ca="1">IFERROR(__xludf.DUMMYFUNCTION("""COMPUTED_VALUE"""),3676733)</f>
        <v>3676733</v>
      </c>
    </row>
    <row r="832" spans="1:6" x14ac:dyDescent="0.2">
      <c r="A832" s="2">
        <f ca="1">IFERROR(__xludf.DUMMYFUNCTION("""COMPUTED_VALUE"""),43483.6666666666)</f>
        <v>43483.666666666599</v>
      </c>
      <c r="B832" s="1">
        <f ca="1">IFERROR(__xludf.DUMMYFUNCTION("""COMPUTED_VALUE"""),21.53)</f>
        <v>21.53</v>
      </c>
      <c r="C832" s="1">
        <f ca="1">IFERROR(__xludf.DUMMYFUNCTION("""COMPUTED_VALUE"""),21.81)</f>
        <v>21.81</v>
      </c>
      <c r="D832" s="1">
        <f ca="1">IFERROR(__xludf.DUMMYFUNCTION("""COMPUTED_VALUE"""),19.98)</f>
        <v>19.98</v>
      </c>
      <c r="E832" s="1">
        <f ca="1">IFERROR(__xludf.DUMMYFUNCTION("""COMPUTED_VALUE"""),20.15)</f>
        <v>20.149999999999999</v>
      </c>
      <c r="F832" s="1">
        <f ca="1">IFERROR(__xludf.DUMMYFUNCTION("""COMPUTED_VALUE"""),24150763)</f>
        <v>24150763</v>
      </c>
    </row>
    <row r="833" spans="1:6" x14ac:dyDescent="0.2">
      <c r="A833" s="2">
        <f ca="1">IFERROR(__xludf.DUMMYFUNCTION("""COMPUTED_VALUE"""),43487.6666666666)</f>
        <v>43487.666666666599</v>
      </c>
      <c r="B833" s="1">
        <f ca="1">IFERROR(__xludf.DUMMYFUNCTION("""COMPUTED_VALUE"""),20.32)</f>
        <v>20.32</v>
      </c>
      <c r="C833" s="1">
        <f ca="1">IFERROR(__xludf.DUMMYFUNCTION("""COMPUTED_VALUE"""),20.53)</f>
        <v>20.53</v>
      </c>
      <c r="D833" s="1">
        <f ca="1">IFERROR(__xludf.DUMMYFUNCTION("""COMPUTED_VALUE"""),19.7)</f>
        <v>19.7</v>
      </c>
      <c r="E833" s="1">
        <f ca="1">IFERROR(__xludf.DUMMYFUNCTION("""COMPUTED_VALUE"""),19.93)</f>
        <v>19.93</v>
      </c>
      <c r="F833" s="1">
        <f ca="1">IFERROR(__xludf.DUMMYFUNCTION("""COMPUTED_VALUE"""),12066741)</f>
        <v>12066741</v>
      </c>
    </row>
    <row r="834" spans="1:6" x14ac:dyDescent="0.2">
      <c r="A834" s="2">
        <f ca="1">IFERROR(__xludf.DUMMYFUNCTION("""COMPUTED_VALUE"""),43488.6666666666)</f>
        <v>43488.666666666599</v>
      </c>
      <c r="B834" s="1">
        <f ca="1">IFERROR(__xludf.DUMMYFUNCTION("""COMPUTED_VALUE"""),19.5)</f>
        <v>19.5</v>
      </c>
      <c r="C834" s="1">
        <f ca="1">IFERROR(__xludf.DUMMYFUNCTION("""COMPUTED_VALUE"""),19.63)</f>
        <v>19.63</v>
      </c>
      <c r="D834" s="1">
        <f ca="1">IFERROR(__xludf.DUMMYFUNCTION("""COMPUTED_VALUE"""),18.78)</f>
        <v>18.78</v>
      </c>
      <c r="E834" s="1">
        <f ca="1">IFERROR(__xludf.DUMMYFUNCTION("""COMPUTED_VALUE"""),19.17)</f>
        <v>19.170000000000002</v>
      </c>
      <c r="F834" s="1">
        <f ca="1">IFERROR(__xludf.DUMMYFUNCTION("""COMPUTED_VALUE"""),12529993)</f>
        <v>12529993</v>
      </c>
    </row>
    <row r="835" spans="1:6" x14ac:dyDescent="0.2">
      <c r="A835" s="2">
        <f ca="1">IFERROR(__xludf.DUMMYFUNCTION("""COMPUTED_VALUE"""),43489.6666666666)</f>
        <v>43489.666666666599</v>
      </c>
      <c r="B835" s="1">
        <f ca="1">IFERROR(__xludf.DUMMYFUNCTION("""COMPUTED_VALUE"""),18.87)</f>
        <v>18.87</v>
      </c>
      <c r="C835" s="1">
        <f ca="1">IFERROR(__xludf.DUMMYFUNCTION("""COMPUTED_VALUE"""),19.58)</f>
        <v>19.579999999999998</v>
      </c>
      <c r="D835" s="1">
        <f ca="1">IFERROR(__xludf.DUMMYFUNCTION("""COMPUTED_VALUE"""),18.62)</f>
        <v>18.62</v>
      </c>
      <c r="E835" s="1">
        <f ca="1">IFERROR(__xludf.DUMMYFUNCTION("""COMPUTED_VALUE"""),19.43)</f>
        <v>19.43</v>
      </c>
      <c r="F835" s="1">
        <f ca="1">IFERROR(__xludf.DUMMYFUNCTION("""COMPUTED_VALUE"""),8012155)</f>
        <v>8012155</v>
      </c>
    </row>
    <row r="836" spans="1:6" x14ac:dyDescent="0.2">
      <c r="A836" s="2">
        <f ca="1">IFERROR(__xludf.DUMMYFUNCTION("""COMPUTED_VALUE"""),43490.6666666666)</f>
        <v>43490.666666666599</v>
      </c>
      <c r="B836" s="1">
        <f ca="1">IFERROR(__xludf.DUMMYFUNCTION("""COMPUTED_VALUE"""),19.63)</f>
        <v>19.63</v>
      </c>
      <c r="C836" s="1">
        <f ca="1">IFERROR(__xludf.DUMMYFUNCTION("""COMPUTED_VALUE"""),19.9)</f>
        <v>19.899999999999999</v>
      </c>
      <c r="D836" s="1">
        <f ca="1">IFERROR(__xludf.DUMMYFUNCTION("""COMPUTED_VALUE"""),19.3)</f>
        <v>19.3</v>
      </c>
      <c r="E836" s="1">
        <f ca="1">IFERROR(__xludf.DUMMYFUNCTION("""COMPUTED_VALUE"""),19.8)</f>
        <v>19.8</v>
      </c>
      <c r="F836" s="1">
        <f ca="1">IFERROR(__xludf.DUMMYFUNCTION("""COMPUTED_VALUE"""),7258078)</f>
        <v>7258078</v>
      </c>
    </row>
    <row r="837" spans="1:6" x14ac:dyDescent="0.2">
      <c r="A837" s="2">
        <f ca="1">IFERROR(__xludf.DUMMYFUNCTION("""COMPUTED_VALUE"""),43493.6666666666)</f>
        <v>43493.666666666599</v>
      </c>
      <c r="B837" s="1">
        <f ca="1">IFERROR(__xludf.DUMMYFUNCTION("""COMPUTED_VALUE"""),19.53)</f>
        <v>19.53</v>
      </c>
      <c r="C837" s="1">
        <f ca="1">IFERROR(__xludf.DUMMYFUNCTION("""COMPUTED_VALUE"""),19.83)</f>
        <v>19.829999999999998</v>
      </c>
      <c r="D837" s="1">
        <f ca="1">IFERROR(__xludf.DUMMYFUNCTION("""COMPUTED_VALUE"""),19.18)</f>
        <v>19.18</v>
      </c>
      <c r="E837" s="1">
        <f ca="1">IFERROR(__xludf.DUMMYFUNCTION("""COMPUTED_VALUE"""),19.76)</f>
        <v>19.760000000000002</v>
      </c>
      <c r="F837" s="1">
        <f ca="1">IFERROR(__xludf.DUMMYFUNCTION("""COMPUTED_VALUE"""),6423279)</f>
        <v>6423279</v>
      </c>
    </row>
    <row r="838" spans="1:6" x14ac:dyDescent="0.2">
      <c r="A838" s="2">
        <f ca="1">IFERROR(__xludf.DUMMYFUNCTION("""COMPUTED_VALUE"""),43494.6666666666)</f>
        <v>43494.666666666599</v>
      </c>
      <c r="B838" s="1">
        <f ca="1">IFERROR(__xludf.DUMMYFUNCTION("""COMPUTED_VALUE"""),19.68)</f>
        <v>19.68</v>
      </c>
      <c r="C838" s="1">
        <f ca="1">IFERROR(__xludf.DUMMYFUNCTION("""COMPUTED_VALUE"""),19.9)</f>
        <v>19.899999999999999</v>
      </c>
      <c r="D838" s="1">
        <f ca="1">IFERROR(__xludf.DUMMYFUNCTION("""COMPUTED_VALUE"""),19.45)</f>
        <v>19.45</v>
      </c>
      <c r="E838" s="1">
        <f ca="1">IFERROR(__xludf.DUMMYFUNCTION("""COMPUTED_VALUE"""),19.83)</f>
        <v>19.829999999999998</v>
      </c>
      <c r="F838" s="1">
        <f ca="1">IFERROR(__xludf.DUMMYFUNCTION("""COMPUTED_VALUE"""),4621692)</f>
        <v>4621692</v>
      </c>
    </row>
    <row r="839" spans="1:6" x14ac:dyDescent="0.2">
      <c r="A839" s="2">
        <f ca="1">IFERROR(__xludf.DUMMYFUNCTION("""COMPUTED_VALUE"""),43495.6666666666)</f>
        <v>43495.666666666599</v>
      </c>
      <c r="B839" s="1">
        <f ca="1">IFERROR(__xludf.DUMMYFUNCTION("""COMPUTED_VALUE"""),20.03)</f>
        <v>20.03</v>
      </c>
      <c r="C839" s="1">
        <f ca="1">IFERROR(__xludf.DUMMYFUNCTION("""COMPUTED_VALUE"""),20.6)</f>
        <v>20.6</v>
      </c>
      <c r="D839" s="1">
        <f ca="1">IFERROR(__xludf.DUMMYFUNCTION("""COMPUTED_VALUE"""),19.9)</f>
        <v>19.899999999999999</v>
      </c>
      <c r="E839" s="1">
        <f ca="1">IFERROR(__xludf.DUMMYFUNCTION("""COMPUTED_VALUE"""),20.58)</f>
        <v>20.58</v>
      </c>
      <c r="F839" s="1">
        <f ca="1">IFERROR(__xludf.DUMMYFUNCTION("""COMPUTED_VALUE"""),11250318)</f>
        <v>11250318</v>
      </c>
    </row>
    <row r="840" spans="1:6" x14ac:dyDescent="0.2">
      <c r="A840" s="2">
        <f ca="1">IFERROR(__xludf.DUMMYFUNCTION("""COMPUTED_VALUE"""),43496.6666666666)</f>
        <v>43496.666666666599</v>
      </c>
      <c r="B840" s="1">
        <f ca="1">IFERROR(__xludf.DUMMYFUNCTION("""COMPUTED_VALUE"""),20.07)</f>
        <v>20.07</v>
      </c>
      <c r="C840" s="1">
        <f ca="1">IFERROR(__xludf.DUMMYFUNCTION("""COMPUTED_VALUE"""),20.77)</f>
        <v>20.77</v>
      </c>
      <c r="D840" s="1">
        <f ca="1">IFERROR(__xludf.DUMMYFUNCTION("""COMPUTED_VALUE"""),19.6)</f>
        <v>19.600000000000001</v>
      </c>
      <c r="E840" s="1">
        <f ca="1">IFERROR(__xludf.DUMMYFUNCTION("""COMPUTED_VALUE"""),20.47)</f>
        <v>20.47</v>
      </c>
      <c r="F840" s="1">
        <f ca="1">IFERROR(__xludf.DUMMYFUNCTION("""COMPUTED_VALUE"""),12569245)</f>
        <v>12569245</v>
      </c>
    </row>
    <row r="841" spans="1:6" x14ac:dyDescent="0.2">
      <c r="A841" s="2">
        <f ca="1">IFERROR(__xludf.DUMMYFUNCTION("""COMPUTED_VALUE"""),43497.6666666666)</f>
        <v>43497.666666666599</v>
      </c>
      <c r="B841" s="1">
        <f ca="1">IFERROR(__xludf.DUMMYFUNCTION("""COMPUTED_VALUE"""),20.36)</f>
        <v>20.36</v>
      </c>
      <c r="C841" s="1">
        <f ca="1">IFERROR(__xludf.DUMMYFUNCTION("""COMPUTED_VALUE"""),21.07)</f>
        <v>21.07</v>
      </c>
      <c r="D841" s="1">
        <f ca="1">IFERROR(__xludf.DUMMYFUNCTION("""COMPUTED_VALUE"""),20.23)</f>
        <v>20.23</v>
      </c>
      <c r="E841" s="1">
        <f ca="1">IFERROR(__xludf.DUMMYFUNCTION("""COMPUTED_VALUE"""),20.81)</f>
        <v>20.81</v>
      </c>
      <c r="F841" s="1">
        <f ca="1">IFERROR(__xludf.DUMMYFUNCTION("""COMPUTED_VALUE"""),7283441)</f>
        <v>7283441</v>
      </c>
    </row>
    <row r="842" spans="1:6" x14ac:dyDescent="0.2">
      <c r="A842" s="2">
        <f ca="1">IFERROR(__xludf.DUMMYFUNCTION("""COMPUTED_VALUE"""),43500.6666666666)</f>
        <v>43500.666666666599</v>
      </c>
      <c r="B842" s="1">
        <f ca="1">IFERROR(__xludf.DUMMYFUNCTION("""COMPUTED_VALUE"""),20.87)</f>
        <v>20.87</v>
      </c>
      <c r="C842" s="1">
        <f ca="1">IFERROR(__xludf.DUMMYFUNCTION("""COMPUTED_VALUE"""),21.02)</f>
        <v>21.02</v>
      </c>
      <c r="D842" s="1">
        <f ca="1">IFERROR(__xludf.DUMMYFUNCTION("""COMPUTED_VALUE"""),20.13)</f>
        <v>20.13</v>
      </c>
      <c r="E842" s="1">
        <f ca="1">IFERROR(__xludf.DUMMYFUNCTION("""COMPUTED_VALUE"""),20.86)</f>
        <v>20.86</v>
      </c>
      <c r="F842" s="1">
        <f ca="1">IFERROR(__xludf.DUMMYFUNCTION("""COMPUTED_VALUE"""),7352082)</f>
        <v>7352082</v>
      </c>
    </row>
    <row r="843" spans="1:6" x14ac:dyDescent="0.2">
      <c r="A843" s="2">
        <f ca="1">IFERROR(__xludf.DUMMYFUNCTION("""COMPUTED_VALUE"""),43501.6666666666)</f>
        <v>43501.666666666599</v>
      </c>
      <c r="B843" s="1">
        <f ca="1">IFERROR(__xludf.DUMMYFUNCTION("""COMPUTED_VALUE"""),20.83)</f>
        <v>20.83</v>
      </c>
      <c r="C843" s="1">
        <f ca="1">IFERROR(__xludf.DUMMYFUNCTION("""COMPUTED_VALUE"""),21.5)</f>
        <v>21.5</v>
      </c>
      <c r="D843" s="1">
        <f ca="1">IFERROR(__xludf.DUMMYFUNCTION("""COMPUTED_VALUE"""),20.82)</f>
        <v>20.82</v>
      </c>
      <c r="E843" s="1">
        <f ca="1">IFERROR(__xludf.DUMMYFUNCTION("""COMPUTED_VALUE"""),21.42)</f>
        <v>21.42</v>
      </c>
      <c r="F843" s="1">
        <f ca="1">IFERROR(__xludf.DUMMYFUNCTION("""COMPUTED_VALUE"""),6742765)</f>
        <v>6742765</v>
      </c>
    </row>
    <row r="844" spans="1:6" x14ac:dyDescent="0.2">
      <c r="A844" s="2">
        <f ca="1">IFERROR(__xludf.DUMMYFUNCTION("""COMPUTED_VALUE"""),43502.6666666666)</f>
        <v>43502.666666666599</v>
      </c>
      <c r="B844" s="1">
        <f ca="1">IFERROR(__xludf.DUMMYFUNCTION("""COMPUTED_VALUE"""),21.31)</f>
        <v>21.31</v>
      </c>
      <c r="C844" s="1">
        <f ca="1">IFERROR(__xludf.DUMMYFUNCTION("""COMPUTED_VALUE"""),21.62)</f>
        <v>21.62</v>
      </c>
      <c r="D844" s="1">
        <f ca="1">IFERROR(__xludf.DUMMYFUNCTION("""COMPUTED_VALUE"""),21.04)</f>
        <v>21.04</v>
      </c>
      <c r="E844" s="1">
        <f ca="1">IFERROR(__xludf.DUMMYFUNCTION("""COMPUTED_VALUE"""),21.15)</f>
        <v>21.15</v>
      </c>
      <c r="F844" s="1">
        <f ca="1">IFERROR(__xludf.DUMMYFUNCTION("""COMPUTED_VALUE"""),5038546)</f>
        <v>5038546</v>
      </c>
    </row>
    <row r="845" spans="1:6" x14ac:dyDescent="0.2">
      <c r="A845" s="2">
        <f ca="1">IFERROR(__xludf.DUMMYFUNCTION("""COMPUTED_VALUE"""),43503.6666666666)</f>
        <v>43503.666666666599</v>
      </c>
      <c r="B845" s="1">
        <f ca="1">IFERROR(__xludf.DUMMYFUNCTION("""COMPUTED_VALUE"""),20.89)</f>
        <v>20.89</v>
      </c>
      <c r="C845" s="1">
        <f ca="1">IFERROR(__xludf.DUMMYFUNCTION("""COMPUTED_VALUE"""),20.98)</f>
        <v>20.98</v>
      </c>
      <c r="D845" s="1">
        <f ca="1">IFERROR(__xludf.DUMMYFUNCTION("""COMPUTED_VALUE"""),20.2)</f>
        <v>20.2</v>
      </c>
      <c r="E845" s="1">
        <f ca="1">IFERROR(__xludf.DUMMYFUNCTION("""COMPUTED_VALUE"""),20.5)</f>
        <v>20.5</v>
      </c>
      <c r="F845" s="1">
        <f ca="1">IFERROR(__xludf.DUMMYFUNCTION("""COMPUTED_VALUE"""),6520611)</f>
        <v>6520611</v>
      </c>
    </row>
    <row r="846" spans="1:6" x14ac:dyDescent="0.2">
      <c r="A846" s="2">
        <f ca="1">IFERROR(__xludf.DUMMYFUNCTION("""COMPUTED_VALUE"""),43504.6666666666)</f>
        <v>43504.666666666599</v>
      </c>
      <c r="B846" s="1">
        <f ca="1">IFERROR(__xludf.DUMMYFUNCTION("""COMPUTED_VALUE"""),20.46)</f>
        <v>20.46</v>
      </c>
      <c r="C846" s="1">
        <f ca="1">IFERROR(__xludf.DUMMYFUNCTION("""COMPUTED_VALUE"""),20.5)</f>
        <v>20.5</v>
      </c>
      <c r="D846" s="1">
        <f ca="1">IFERROR(__xludf.DUMMYFUNCTION("""COMPUTED_VALUE"""),19.9)</f>
        <v>19.899999999999999</v>
      </c>
      <c r="E846" s="1">
        <f ca="1">IFERROR(__xludf.DUMMYFUNCTION("""COMPUTED_VALUE"""),20.39)</f>
        <v>20.39</v>
      </c>
      <c r="F846" s="1">
        <f ca="1">IFERROR(__xludf.DUMMYFUNCTION("""COMPUTED_VALUE"""),5844212)</f>
        <v>5844212</v>
      </c>
    </row>
    <row r="847" spans="1:6" x14ac:dyDescent="0.2">
      <c r="A847" s="2">
        <f ca="1">IFERROR(__xludf.DUMMYFUNCTION("""COMPUTED_VALUE"""),43507.6666666666)</f>
        <v>43507.666666666599</v>
      </c>
      <c r="B847" s="1">
        <f ca="1">IFERROR(__xludf.DUMMYFUNCTION("""COMPUTED_VALUE"""),20.77)</f>
        <v>20.77</v>
      </c>
      <c r="C847" s="1">
        <f ca="1">IFERROR(__xludf.DUMMYFUNCTION("""COMPUTED_VALUE"""),21.24)</f>
        <v>21.24</v>
      </c>
      <c r="D847" s="1">
        <f ca="1">IFERROR(__xludf.DUMMYFUNCTION("""COMPUTED_VALUE"""),20.7)</f>
        <v>20.7</v>
      </c>
      <c r="E847" s="1">
        <f ca="1">IFERROR(__xludf.DUMMYFUNCTION("""COMPUTED_VALUE"""),20.86)</f>
        <v>20.86</v>
      </c>
      <c r="F847" s="1">
        <f ca="1">IFERROR(__xludf.DUMMYFUNCTION("""COMPUTED_VALUE"""),7129713)</f>
        <v>7129713</v>
      </c>
    </row>
    <row r="848" spans="1:6" x14ac:dyDescent="0.2">
      <c r="A848" s="2">
        <f ca="1">IFERROR(__xludf.DUMMYFUNCTION("""COMPUTED_VALUE"""),43508.6666666666)</f>
        <v>43508.666666666599</v>
      </c>
      <c r="B848" s="1">
        <f ca="1">IFERROR(__xludf.DUMMYFUNCTION("""COMPUTED_VALUE"""),21.08)</f>
        <v>21.08</v>
      </c>
      <c r="C848" s="1">
        <f ca="1">IFERROR(__xludf.DUMMYFUNCTION("""COMPUTED_VALUE"""),21.21)</f>
        <v>21.21</v>
      </c>
      <c r="D848" s="1">
        <f ca="1">IFERROR(__xludf.DUMMYFUNCTION("""COMPUTED_VALUE"""),20.64)</f>
        <v>20.64</v>
      </c>
      <c r="E848" s="1">
        <f ca="1">IFERROR(__xludf.DUMMYFUNCTION("""COMPUTED_VALUE"""),20.79)</f>
        <v>20.79</v>
      </c>
      <c r="F848" s="1">
        <f ca="1">IFERROR(__xludf.DUMMYFUNCTION("""COMPUTED_VALUE"""),5517570)</f>
        <v>5517570</v>
      </c>
    </row>
    <row r="849" spans="1:6" x14ac:dyDescent="0.2">
      <c r="A849" s="2">
        <f ca="1">IFERROR(__xludf.DUMMYFUNCTION("""COMPUTED_VALUE"""),43509.6666666666)</f>
        <v>43509.666666666599</v>
      </c>
      <c r="B849" s="1">
        <f ca="1">IFERROR(__xludf.DUMMYFUNCTION("""COMPUTED_VALUE"""),20.82)</f>
        <v>20.82</v>
      </c>
      <c r="C849" s="1">
        <f ca="1">IFERROR(__xludf.DUMMYFUNCTION("""COMPUTED_VALUE"""),20.85)</f>
        <v>20.85</v>
      </c>
      <c r="D849" s="1">
        <f ca="1">IFERROR(__xludf.DUMMYFUNCTION("""COMPUTED_VALUE"""),20.37)</f>
        <v>20.37</v>
      </c>
      <c r="E849" s="1">
        <f ca="1">IFERROR(__xludf.DUMMYFUNCTION("""COMPUTED_VALUE"""),20.54)</f>
        <v>20.54</v>
      </c>
      <c r="F849" s="1">
        <f ca="1">IFERROR(__xludf.DUMMYFUNCTION("""COMPUTED_VALUE"""),5141617)</f>
        <v>5141617</v>
      </c>
    </row>
    <row r="850" spans="1:6" x14ac:dyDescent="0.2">
      <c r="A850" s="2">
        <f ca="1">IFERROR(__xludf.DUMMYFUNCTION("""COMPUTED_VALUE"""),43510.6666666666)</f>
        <v>43510.666666666599</v>
      </c>
      <c r="B850" s="1">
        <f ca="1">IFERROR(__xludf.DUMMYFUNCTION("""COMPUTED_VALUE"""),20.23)</f>
        <v>20.23</v>
      </c>
      <c r="C850" s="1">
        <f ca="1">IFERROR(__xludf.DUMMYFUNCTION("""COMPUTED_VALUE"""),20.45)</f>
        <v>20.45</v>
      </c>
      <c r="D850" s="1">
        <f ca="1">IFERROR(__xludf.DUMMYFUNCTION("""COMPUTED_VALUE"""),20.07)</f>
        <v>20.07</v>
      </c>
      <c r="E850" s="1">
        <f ca="1">IFERROR(__xludf.DUMMYFUNCTION("""COMPUTED_VALUE"""),20.25)</f>
        <v>20.25</v>
      </c>
      <c r="F850" s="1">
        <f ca="1">IFERROR(__xludf.DUMMYFUNCTION("""COMPUTED_VALUE"""),5200832)</f>
        <v>5200832</v>
      </c>
    </row>
    <row r="851" spans="1:6" x14ac:dyDescent="0.2">
      <c r="A851" s="2">
        <f ca="1">IFERROR(__xludf.DUMMYFUNCTION("""COMPUTED_VALUE"""),43511.6666666666)</f>
        <v>43511.666666666599</v>
      </c>
      <c r="B851" s="1">
        <f ca="1">IFERROR(__xludf.DUMMYFUNCTION("""COMPUTED_VALUE"""),20.3)</f>
        <v>20.3</v>
      </c>
      <c r="C851" s="1">
        <f ca="1">IFERROR(__xludf.DUMMYFUNCTION("""COMPUTED_VALUE"""),20.53)</f>
        <v>20.53</v>
      </c>
      <c r="D851" s="1">
        <f ca="1">IFERROR(__xludf.DUMMYFUNCTION("""COMPUTED_VALUE"""),20.26)</f>
        <v>20.260000000000002</v>
      </c>
      <c r="E851" s="1">
        <f ca="1">IFERROR(__xludf.DUMMYFUNCTION("""COMPUTED_VALUE"""),20.53)</f>
        <v>20.53</v>
      </c>
      <c r="F851" s="1">
        <f ca="1">IFERROR(__xludf.DUMMYFUNCTION("""COMPUTED_VALUE"""),3904947)</f>
        <v>3904947</v>
      </c>
    </row>
    <row r="852" spans="1:6" x14ac:dyDescent="0.2">
      <c r="A852" s="2">
        <f ca="1">IFERROR(__xludf.DUMMYFUNCTION("""COMPUTED_VALUE"""),43515.6666666666)</f>
        <v>43515.666666666599</v>
      </c>
      <c r="B852" s="1">
        <f ca="1">IFERROR(__xludf.DUMMYFUNCTION("""COMPUTED_VALUE"""),20.44)</f>
        <v>20.440000000000001</v>
      </c>
      <c r="C852" s="1">
        <f ca="1">IFERROR(__xludf.DUMMYFUNCTION("""COMPUTED_VALUE"""),20.77)</f>
        <v>20.77</v>
      </c>
      <c r="D852" s="1">
        <f ca="1">IFERROR(__xludf.DUMMYFUNCTION("""COMPUTED_VALUE"""),20.36)</f>
        <v>20.36</v>
      </c>
      <c r="E852" s="1">
        <f ca="1">IFERROR(__xludf.DUMMYFUNCTION("""COMPUTED_VALUE"""),20.38)</f>
        <v>20.38</v>
      </c>
      <c r="F852" s="1">
        <f ca="1">IFERROR(__xludf.DUMMYFUNCTION("""COMPUTED_VALUE"""),4168443)</f>
        <v>4168443</v>
      </c>
    </row>
    <row r="853" spans="1:6" x14ac:dyDescent="0.2">
      <c r="A853" s="2">
        <f ca="1">IFERROR(__xludf.DUMMYFUNCTION("""COMPUTED_VALUE"""),43516.6666666666)</f>
        <v>43516.666666666599</v>
      </c>
      <c r="B853" s="1">
        <f ca="1">IFERROR(__xludf.DUMMYFUNCTION("""COMPUTED_VALUE"""),20.29)</f>
        <v>20.29</v>
      </c>
      <c r="C853" s="1">
        <f ca="1">IFERROR(__xludf.DUMMYFUNCTION("""COMPUTED_VALUE"""),20.42)</f>
        <v>20.420000000000002</v>
      </c>
      <c r="D853" s="1">
        <f ca="1">IFERROR(__xludf.DUMMYFUNCTION("""COMPUTED_VALUE"""),19.93)</f>
        <v>19.93</v>
      </c>
      <c r="E853" s="1">
        <f ca="1">IFERROR(__xludf.DUMMYFUNCTION("""COMPUTED_VALUE"""),20.17)</f>
        <v>20.170000000000002</v>
      </c>
      <c r="F853" s="1">
        <f ca="1">IFERROR(__xludf.DUMMYFUNCTION("""COMPUTED_VALUE"""),7142117)</f>
        <v>7142117</v>
      </c>
    </row>
    <row r="854" spans="1:6" x14ac:dyDescent="0.2">
      <c r="A854" s="2">
        <f ca="1">IFERROR(__xludf.DUMMYFUNCTION("""COMPUTED_VALUE"""),43517.6666666666)</f>
        <v>43517.666666666599</v>
      </c>
      <c r="B854" s="1">
        <f ca="1">IFERROR(__xludf.DUMMYFUNCTION("""COMPUTED_VALUE"""),20.12)</f>
        <v>20.12</v>
      </c>
      <c r="C854" s="1">
        <f ca="1">IFERROR(__xludf.DUMMYFUNCTION("""COMPUTED_VALUE"""),20.22)</f>
        <v>20.22</v>
      </c>
      <c r="D854" s="1">
        <f ca="1">IFERROR(__xludf.DUMMYFUNCTION("""COMPUTED_VALUE"""),19.37)</f>
        <v>19.37</v>
      </c>
      <c r="E854" s="1">
        <f ca="1">IFERROR(__xludf.DUMMYFUNCTION("""COMPUTED_VALUE"""),19.42)</f>
        <v>19.420000000000002</v>
      </c>
      <c r="F854" s="1">
        <f ca="1">IFERROR(__xludf.DUMMYFUNCTION("""COMPUTED_VALUE"""),8909182)</f>
        <v>8909182</v>
      </c>
    </row>
    <row r="855" spans="1:6" x14ac:dyDescent="0.2">
      <c r="A855" s="2">
        <f ca="1">IFERROR(__xludf.DUMMYFUNCTION("""COMPUTED_VALUE"""),43518.6666666666)</f>
        <v>43518.666666666599</v>
      </c>
      <c r="B855" s="1">
        <f ca="1">IFERROR(__xludf.DUMMYFUNCTION("""COMPUTED_VALUE"""),19.63)</f>
        <v>19.63</v>
      </c>
      <c r="C855" s="1">
        <f ca="1">IFERROR(__xludf.DUMMYFUNCTION("""COMPUTED_VALUE"""),19.77)</f>
        <v>19.77</v>
      </c>
      <c r="D855" s="1">
        <f ca="1">IFERROR(__xludf.DUMMYFUNCTION("""COMPUTED_VALUE"""),19.47)</f>
        <v>19.47</v>
      </c>
      <c r="E855" s="1">
        <f ca="1">IFERROR(__xludf.DUMMYFUNCTION("""COMPUTED_VALUE"""),19.65)</f>
        <v>19.649999999999999</v>
      </c>
      <c r="F855" s="1">
        <f ca="1">IFERROR(__xludf.DUMMYFUNCTION("""COMPUTED_VALUE"""),5740558)</f>
        <v>5740558</v>
      </c>
    </row>
    <row r="856" spans="1:6" x14ac:dyDescent="0.2">
      <c r="A856" s="2">
        <f ca="1">IFERROR(__xludf.DUMMYFUNCTION("""COMPUTED_VALUE"""),43521.6666666666)</f>
        <v>43521.666666666599</v>
      </c>
      <c r="B856" s="1">
        <f ca="1">IFERROR(__xludf.DUMMYFUNCTION("""COMPUTED_VALUE"""),19.86)</f>
        <v>19.86</v>
      </c>
      <c r="C856" s="1">
        <f ca="1">IFERROR(__xludf.DUMMYFUNCTION("""COMPUTED_VALUE"""),20.19)</f>
        <v>20.190000000000001</v>
      </c>
      <c r="D856" s="1">
        <f ca="1">IFERROR(__xludf.DUMMYFUNCTION("""COMPUTED_VALUE"""),19.8)</f>
        <v>19.8</v>
      </c>
      <c r="E856" s="1">
        <f ca="1">IFERROR(__xludf.DUMMYFUNCTION("""COMPUTED_VALUE"""),19.92)</f>
        <v>19.920000000000002</v>
      </c>
      <c r="F856" s="1">
        <f ca="1">IFERROR(__xludf.DUMMYFUNCTION("""COMPUTED_VALUE"""),6626522)</f>
        <v>6626522</v>
      </c>
    </row>
    <row r="857" spans="1:6" x14ac:dyDescent="0.2">
      <c r="A857" s="2">
        <f ca="1">IFERROR(__xludf.DUMMYFUNCTION("""COMPUTED_VALUE"""),43522.6666666666)</f>
        <v>43522.666666666599</v>
      </c>
      <c r="B857" s="1">
        <f ca="1">IFERROR(__xludf.DUMMYFUNCTION("""COMPUTED_VALUE"""),19.48)</f>
        <v>19.48</v>
      </c>
      <c r="C857" s="1">
        <f ca="1">IFERROR(__xludf.DUMMYFUNCTION("""COMPUTED_VALUE"""),20.13)</f>
        <v>20.13</v>
      </c>
      <c r="D857" s="1">
        <f ca="1">IFERROR(__xludf.DUMMYFUNCTION("""COMPUTED_VALUE"""),19.25)</f>
        <v>19.25</v>
      </c>
      <c r="E857" s="1">
        <f ca="1">IFERROR(__xludf.DUMMYFUNCTION("""COMPUTED_VALUE"""),19.86)</f>
        <v>19.86</v>
      </c>
      <c r="F857" s="1">
        <f ca="1">IFERROR(__xludf.DUMMYFUNCTION("""COMPUTED_VALUE"""),8582535)</f>
        <v>8582535</v>
      </c>
    </row>
    <row r="858" spans="1:6" x14ac:dyDescent="0.2">
      <c r="A858" s="2">
        <f ca="1">IFERROR(__xludf.DUMMYFUNCTION("""COMPUTED_VALUE"""),43523.6666666666)</f>
        <v>43523.666666666599</v>
      </c>
      <c r="B858" s="1">
        <f ca="1">IFERROR(__xludf.DUMMYFUNCTION("""COMPUTED_VALUE"""),20.12)</f>
        <v>20.12</v>
      </c>
      <c r="C858" s="1">
        <f ca="1">IFERROR(__xludf.DUMMYFUNCTION("""COMPUTED_VALUE"""),21.09)</f>
        <v>21.09</v>
      </c>
      <c r="D858" s="1">
        <f ca="1">IFERROR(__xludf.DUMMYFUNCTION("""COMPUTED_VALUE"""),20.04)</f>
        <v>20.04</v>
      </c>
      <c r="E858" s="1">
        <f ca="1">IFERROR(__xludf.DUMMYFUNCTION("""COMPUTED_VALUE"""),20.98)</f>
        <v>20.98</v>
      </c>
      <c r="F858" s="1">
        <f ca="1">IFERROR(__xludf.DUMMYFUNCTION("""COMPUTED_VALUE"""),11183908)</f>
        <v>11183908</v>
      </c>
    </row>
    <row r="859" spans="1:6" x14ac:dyDescent="0.2">
      <c r="A859" s="2">
        <f ca="1">IFERROR(__xludf.DUMMYFUNCTION("""COMPUTED_VALUE"""),43524.6666666666)</f>
        <v>43524.666666666599</v>
      </c>
      <c r="B859" s="1">
        <f ca="1">IFERROR(__xludf.DUMMYFUNCTION("""COMPUTED_VALUE"""),21.26)</f>
        <v>21.26</v>
      </c>
      <c r="C859" s="1">
        <f ca="1">IFERROR(__xludf.DUMMYFUNCTION("""COMPUTED_VALUE"""),21.33)</f>
        <v>21.33</v>
      </c>
      <c r="D859" s="1">
        <f ca="1">IFERROR(__xludf.DUMMYFUNCTION("""COMPUTED_VALUE"""),20.72)</f>
        <v>20.72</v>
      </c>
      <c r="E859" s="1">
        <f ca="1">IFERROR(__xludf.DUMMYFUNCTION("""COMPUTED_VALUE"""),21.33)</f>
        <v>21.33</v>
      </c>
      <c r="F859" s="1">
        <f ca="1">IFERROR(__xludf.DUMMYFUNCTION("""COMPUTED_VALUE"""),10520653)</f>
        <v>10520653</v>
      </c>
    </row>
    <row r="860" spans="1:6" x14ac:dyDescent="0.2">
      <c r="A860" s="2">
        <f ca="1">IFERROR(__xludf.DUMMYFUNCTION("""COMPUTED_VALUE"""),43525.6666666666)</f>
        <v>43525.666666666599</v>
      </c>
      <c r="B860" s="1">
        <f ca="1">IFERROR(__xludf.DUMMYFUNCTION("""COMPUTED_VALUE"""),20.46)</f>
        <v>20.46</v>
      </c>
      <c r="C860" s="1">
        <f ca="1">IFERROR(__xludf.DUMMYFUNCTION("""COMPUTED_VALUE"""),20.48)</f>
        <v>20.48</v>
      </c>
      <c r="D860" s="1">
        <f ca="1">IFERROR(__xludf.DUMMYFUNCTION("""COMPUTED_VALUE"""),19.46)</f>
        <v>19.46</v>
      </c>
      <c r="E860" s="1">
        <f ca="1">IFERROR(__xludf.DUMMYFUNCTION("""COMPUTED_VALUE"""),19.65)</f>
        <v>19.649999999999999</v>
      </c>
      <c r="F860" s="1">
        <f ca="1">IFERROR(__xludf.DUMMYFUNCTION("""COMPUTED_VALUE"""),22911375)</f>
        <v>22911375</v>
      </c>
    </row>
    <row r="861" spans="1:6" x14ac:dyDescent="0.2">
      <c r="A861" s="2">
        <f ca="1">IFERROR(__xludf.DUMMYFUNCTION("""COMPUTED_VALUE"""),43528.6666666666)</f>
        <v>43528.666666666599</v>
      </c>
      <c r="B861" s="1">
        <f ca="1">IFERROR(__xludf.DUMMYFUNCTION("""COMPUTED_VALUE"""),19.87)</f>
        <v>19.87</v>
      </c>
      <c r="C861" s="1">
        <f ca="1">IFERROR(__xludf.DUMMYFUNCTION("""COMPUTED_VALUE"""),19.93)</f>
        <v>19.93</v>
      </c>
      <c r="D861" s="1">
        <f ca="1">IFERROR(__xludf.DUMMYFUNCTION("""COMPUTED_VALUE"""),18.85)</f>
        <v>18.850000000000001</v>
      </c>
      <c r="E861" s="1">
        <f ca="1">IFERROR(__xludf.DUMMYFUNCTION("""COMPUTED_VALUE"""),19.02)</f>
        <v>19.02</v>
      </c>
      <c r="F861" s="1">
        <f ca="1">IFERROR(__xludf.DUMMYFUNCTION("""COMPUTED_VALUE"""),17096818)</f>
        <v>17096818</v>
      </c>
    </row>
    <row r="862" spans="1:6" x14ac:dyDescent="0.2">
      <c r="A862" s="2">
        <f ca="1">IFERROR(__xludf.DUMMYFUNCTION("""COMPUTED_VALUE"""),43529.6666666666)</f>
        <v>43529.666666666599</v>
      </c>
      <c r="B862" s="1">
        <f ca="1">IFERROR(__xludf.DUMMYFUNCTION("""COMPUTED_VALUE"""),18.8)</f>
        <v>18.8</v>
      </c>
      <c r="C862" s="1">
        <f ca="1">IFERROR(__xludf.DUMMYFUNCTION("""COMPUTED_VALUE"""),18.93)</f>
        <v>18.93</v>
      </c>
      <c r="D862" s="1">
        <f ca="1">IFERROR(__xludf.DUMMYFUNCTION("""COMPUTED_VALUE"""),18.01)</f>
        <v>18.010000000000002</v>
      </c>
      <c r="E862" s="1">
        <f ca="1">IFERROR(__xludf.DUMMYFUNCTION("""COMPUTED_VALUE"""),18.44)</f>
        <v>18.440000000000001</v>
      </c>
      <c r="F862" s="1">
        <f ca="1">IFERROR(__xludf.DUMMYFUNCTION("""COMPUTED_VALUE"""),18764740)</f>
        <v>18764740</v>
      </c>
    </row>
    <row r="863" spans="1:6" x14ac:dyDescent="0.2">
      <c r="A863" s="2">
        <f ca="1">IFERROR(__xludf.DUMMYFUNCTION("""COMPUTED_VALUE"""),43530.6666666666)</f>
        <v>43530.666666666599</v>
      </c>
      <c r="B863" s="1">
        <f ca="1">IFERROR(__xludf.DUMMYFUNCTION("""COMPUTED_VALUE"""),18.43)</f>
        <v>18.43</v>
      </c>
      <c r="C863" s="1">
        <f ca="1">IFERROR(__xludf.DUMMYFUNCTION("""COMPUTED_VALUE"""),18.77)</f>
        <v>18.77</v>
      </c>
      <c r="D863" s="1">
        <f ca="1">IFERROR(__xludf.DUMMYFUNCTION("""COMPUTED_VALUE"""),18.29)</f>
        <v>18.29</v>
      </c>
      <c r="E863" s="1">
        <f ca="1">IFERROR(__xludf.DUMMYFUNCTION("""COMPUTED_VALUE"""),18.42)</f>
        <v>18.420000000000002</v>
      </c>
      <c r="F863" s="1">
        <f ca="1">IFERROR(__xludf.DUMMYFUNCTION("""COMPUTED_VALUE"""),10335485)</f>
        <v>10335485</v>
      </c>
    </row>
    <row r="864" spans="1:6" x14ac:dyDescent="0.2">
      <c r="A864" s="2">
        <f ca="1">IFERROR(__xludf.DUMMYFUNCTION("""COMPUTED_VALUE"""),43531.6666666666)</f>
        <v>43531.666666666599</v>
      </c>
      <c r="B864" s="1">
        <f ca="1">IFERROR(__xludf.DUMMYFUNCTION("""COMPUTED_VALUE"""),18.59)</f>
        <v>18.59</v>
      </c>
      <c r="C864" s="1">
        <f ca="1">IFERROR(__xludf.DUMMYFUNCTION("""COMPUTED_VALUE"""),18.98)</f>
        <v>18.98</v>
      </c>
      <c r="D864" s="1">
        <f ca="1">IFERROR(__xludf.DUMMYFUNCTION("""COMPUTED_VALUE"""),18.28)</f>
        <v>18.28</v>
      </c>
      <c r="E864" s="1">
        <f ca="1">IFERROR(__xludf.DUMMYFUNCTION("""COMPUTED_VALUE"""),18.44)</f>
        <v>18.440000000000001</v>
      </c>
      <c r="F864" s="1">
        <f ca="1">IFERROR(__xludf.DUMMYFUNCTION("""COMPUTED_VALUE"""),9442483)</f>
        <v>9442483</v>
      </c>
    </row>
    <row r="865" spans="1:6" x14ac:dyDescent="0.2">
      <c r="A865" s="2">
        <f ca="1">IFERROR(__xludf.DUMMYFUNCTION("""COMPUTED_VALUE"""),43532.6666666666)</f>
        <v>43532.666666666599</v>
      </c>
      <c r="B865" s="1">
        <f ca="1">IFERROR(__xludf.DUMMYFUNCTION("""COMPUTED_VALUE"""),18.46)</f>
        <v>18.46</v>
      </c>
      <c r="C865" s="1">
        <f ca="1">IFERROR(__xludf.DUMMYFUNCTION("""COMPUTED_VALUE"""),19.04)</f>
        <v>19.04</v>
      </c>
      <c r="D865" s="1">
        <f ca="1">IFERROR(__xludf.DUMMYFUNCTION("""COMPUTED_VALUE"""),18.39)</f>
        <v>18.39</v>
      </c>
      <c r="E865" s="1">
        <f ca="1">IFERROR(__xludf.DUMMYFUNCTION("""COMPUTED_VALUE"""),18.94)</f>
        <v>18.940000000000001</v>
      </c>
      <c r="F865" s="1">
        <f ca="1">IFERROR(__xludf.DUMMYFUNCTION("""COMPUTED_VALUE"""),8819625)</f>
        <v>8819625</v>
      </c>
    </row>
    <row r="866" spans="1:6" x14ac:dyDescent="0.2">
      <c r="A866" s="2">
        <f ca="1">IFERROR(__xludf.DUMMYFUNCTION("""COMPUTED_VALUE"""),43535.6666666666)</f>
        <v>43535.666666666599</v>
      </c>
      <c r="B866" s="1">
        <f ca="1">IFERROR(__xludf.DUMMYFUNCTION("""COMPUTED_VALUE"""),18.9)</f>
        <v>18.899999999999999</v>
      </c>
      <c r="C866" s="1">
        <f ca="1">IFERROR(__xludf.DUMMYFUNCTION("""COMPUTED_VALUE"""),19.42)</f>
        <v>19.420000000000002</v>
      </c>
      <c r="D866" s="1">
        <f ca="1">IFERROR(__xludf.DUMMYFUNCTION("""COMPUTED_VALUE"""),18.7)</f>
        <v>18.7</v>
      </c>
      <c r="E866" s="1">
        <f ca="1">IFERROR(__xludf.DUMMYFUNCTION("""COMPUTED_VALUE"""),19.39)</f>
        <v>19.39</v>
      </c>
      <c r="F866" s="1">
        <f ca="1">IFERROR(__xludf.DUMMYFUNCTION("""COMPUTED_VALUE"""),7392278)</f>
        <v>7392278</v>
      </c>
    </row>
    <row r="867" spans="1:6" x14ac:dyDescent="0.2">
      <c r="A867" s="2">
        <f ca="1">IFERROR(__xludf.DUMMYFUNCTION("""COMPUTED_VALUE"""),43536.6666666666)</f>
        <v>43536.666666666599</v>
      </c>
      <c r="B867" s="1">
        <f ca="1">IFERROR(__xludf.DUMMYFUNCTION("""COMPUTED_VALUE"""),19.1)</f>
        <v>19.100000000000001</v>
      </c>
      <c r="C867" s="1">
        <f ca="1">IFERROR(__xludf.DUMMYFUNCTION("""COMPUTED_VALUE"""),19.2)</f>
        <v>19.2</v>
      </c>
      <c r="D867" s="1">
        <f ca="1">IFERROR(__xludf.DUMMYFUNCTION("""COMPUTED_VALUE"""),18.74)</f>
        <v>18.739999999999998</v>
      </c>
      <c r="E867" s="1">
        <f ca="1">IFERROR(__xludf.DUMMYFUNCTION("""COMPUTED_VALUE"""),18.89)</f>
        <v>18.89</v>
      </c>
      <c r="F867" s="1">
        <f ca="1">IFERROR(__xludf.DUMMYFUNCTION("""COMPUTED_VALUE"""),7504137)</f>
        <v>7504137</v>
      </c>
    </row>
    <row r="868" spans="1:6" x14ac:dyDescent="0.2">
      <c r="A868" s="2">
        <f ca="1">IFERROR(__xludf.DUMMYFUNCTION("""COMPUTED_VALUE"""),43537.6666666666)</f>
        <v>43537.666666666599</v>
      </c>
      <c r="B868" s="1">
        <f ca="1">IFERROR(__xludf.DUMMYFUNCTION("""COMPUTED_VALUE"""),18.93)</f>
        <v>18.93</v>
      </c>
      <c r="C868" s="1">
        <f ca="1">IFERROR(__xludf.DUMMYFUNCTION("""COMPUTED_VALUE"""),19.47)</f>
        <v>19.47</v>
      </c>
      <c r="D868" s="1">
        <f ca="1">IFERROR(__xludf.DUMMYFUNCTION("""COMPUTED_VALUE"""),18.85)</f>
        <v>18.850000000000001</v>
      </c>
      <c r="E868" s="1">
        <f ca="1">IFERROR(__xludf.DUMMYFUNCTION("""COMPUTED_VALUE"""),19.26)</f>
        <v>19.260000000000002</v>
      </c>
      <c r="F868" s="1">
        <f ca="1">IFERROR(__xludf.DUMMYFUNCTION("""COMPUTED_VALUE"""),6844719)</f>
        <v>6844719</v>
      </c>
    </row>
    <row r="869" spans="1:6" x14ac:dyDescent="0.2">
      <c r="A869" s="2">
        <f ca="1">IFERROR(__xludf.DUMMYFUNCTION("""COMPUTED_VALUE"""),43538.6666666666)</f>
        <v>43538.666666666599</v>
      </c>
      <c r="B869" s="1">
        <f ca="1">IFERROR(__xludf.DUMMYFUNCTION("""COMPUTED_VALUE"""),19.5)</f>
        <v>19.5</v>
      </c>
      <c r="C869" s="1">
        <f ca="1">IFERROR(__xludf.DUMMYFUNCTION("""COMPUTED_VALUE"""),19.69)</f>
        <v>19.690000000000001</v>
      </c>
      <c r="D869" s="1">
        <f ca="1">IFERROR(__xludf.DUMMYFUNCTION("""COMPUTED_VALUE"""),19.22)</f>
        <v>19.22</v>
      </c>
      <c r="E869" s="1">
        <f ca="1">IFERROR(__xludf.DUMMYFUNCTION("""COMPUTED_VALUE"""),19.33)</f>
        <v>19.329999999999998</v>
      </c>
      <c r="F869" s="1">
        <f ca="1">IFERROR(__xludf.DUMMYFUNCTION("""COMPUTED_VALUE"""),7103447)</f>
        <v>7103447</v>
      </c>
    </row>
    <row r="870" spans="1:6" x14ac:dyDescent="0.2">
      <c r="A870" s="2">
        <f ca="1">IFERROR(__xludf.DUMMYFUNCTION("""COMPUTED_VALUE"""),43539.6666666666)</f>
        <v>43539.666666666599</v>
      </c>
      <c r="B870" s="1">
        <f ca="1">IFERROR(__xludf.DUMMYFUNCTION("""COMPUTED_VALUE"""),18.9)</f>
        <v>18.899999999999999</v>
      </c>
      <c r="C870" s="1">
        <f ca="1">IFERROR(__xludf.DUMMYFUNCTION("""COMPUTED_VALUE"""),18.91)</f>
        <v>18.91</v>
      </c>
      <c r="D870" s="1">
        <f ca="1">IFERROR(__xludf.DUMMYFUNCTION("""COMPUTED_VALUE"""),18.29)</f>
        <v>18.29</v>
      </c>
      <c r="E870" s="1">
        <f ca="1">IFERROR(__xludf.DUMMYFUNCTION("""COMPUTED_VALUE"""),18.36)</f>
        <v>18.36</v>
      </c>
      <c r="F870" s="1">
        <f ca="1">IFERROR(__xludf.DUMMYFUNCTION("""COMPUTED_VALUE"""),14785531)</f>
        <v>14785531</v>
      </c>
    </row>
    <row r="871" spans="1:6" x14ac:dyDescent="0.2">
      <c r="A871" s="2">
        <f ca="1">IFERROR(__xludf.DUMMYFUNCTION("""COMPUTED_VALUE"""),43542.6666666666)</f>
        <v>43542.666666666599</v>
      </c>
      <c r="B871" s="1">
        <f ca="1">IFERROR(__xludf.DUMMYFUNCTION("""COMPUTED_VALUE"""),18.4)</f>
        <v>18.399999999999999</v>
      </c>
      <c r="C871" s="1">
        <f ca="1">IFERROR(__xludf.DUMMYFUNCTION("""COMPUTED_VALUE"""),18.54)</f>
        <v>18.54</v>
      </c>
      <c r="D871" s="1">
        <f ca="1">IFERROR(__xludf.DUMMYFUNCTION("""COMPUTED_VALUE"""),17.82)</f>
        <v>17.82</v>
      </c>
      <c r="E871" s="1">
        <f ca="1">IFERROR(__xludf.DUMMYFUNCTION("""COMPUTED_VALUE"""),17.97)</f>
        <v>17.97</v>
      </c>
      <c r="F871" s="1">
        <f ca="1">IFERROR(__xludf.DUMMYFUNCTION("""COMPUTED_VALUE"""),10280980)</f>
        <v>10280980</v>
      </c>
    </row>
    <row r="872" spans="1:6" x14ac:dyDescent="0.2">
      <c r="A872" s="2">
        <f ca="1">IFERROR(__xludf.DUMMYFUNCTION("""COMPUTED_VALUE"""),43543.6666666666)</f>
        <v>43543.666666666599</v>
      </c>
      <c r="B872" s="1">
        <f ca="1">IFERROR(__xludf.DUMMYFUNCTION("""COMPUTED_VALUE"""),17.83)</f>
        <v>17.829999999999998</v>
      </c>
      <c r="C872" s="1">
        <f ca="1">IFERROR(__xludf.DUMMYFUNCTION("""COMPUTED_VALUE"""),18.22)</f>
        <v>18.22</v>
      </c>
      <c r="D872" s="1">
        <f ca="1">IFERROR(__xludf.DUMMYFUNCTION("""COMPUTED_VALUE"""),17.56)</f>
        <v>17.559999999999999</v>
      </c>
      <c r="E872" s="1">
        <f ca="1">IFERROR(__xludf.DUMMYFUNCTION("""COMPUTED_VALUE"""),17.83)</f>
        <v>17.829999999999998</v>
      </c>
      <c r="F872" s="1">
        <f ca="1">IFERROR(__xludf.DUMMYFUNCTION("""COMPUTED_VALUE"""),11800630)</f>
        <v>11800630</v>
      </c>
    </row>
    <row r="873" spans="1:6" x14ac:dyDescent="0.2">
      <c r="A873" s="2">
        <f ca="1">IFERROR(__xludf.DUMMYFUNCTION("""COMPUTED_VALUE"""),43544.6666666666)</f>
        <v>43544.666666666599</v>
      </c>
      <c r="B873" s="1">
        <f ca="1">IFERROR(__xludf.DUMMYFUNCTION("""COMPUTED_VALUE"""),17.98)</f>
        <v>17.98</v>
      </c>
      <c r="C873" s="1">
        <f ca="1">IFERROR(__xludf.DUMMYFUNCTION("""COMPUTED_VALUE"""),18.33)</f>
        <v>18.329999999999998</v>
      </c>
      <c r="D873" s="1">
        <f ca="1">IFERROR(__xludf.DUMMYFUNCTION("""COMPUTED_VALUE"""),17.75)</f>
        <v>17.75</v>
      </c>
      <c r="E873" s="1">
        <f ca="1">IFERROR(__xludf.DUMMYFUNCTION("""COMPUTED_VALUE"""),18.24)</f>
        <v>18.239999999999998</v>
      </c>
      <c r="F873" s="1">
        <f ca="1">IFERROR(__xludf.DUMMYFUNCTION("""COMPUTED_VALUE"""),6908224)</f>
        <v>6908224</v>
      </c>
    </row>
    <row r="874" spans="1:6" x14ac:dyDescent="0.2">
      <c r="A874" s="2">
        <f ca="1">IFERROR(__xludf.DUMMYFUNCTION("""COMPUTED_VALUE"""),43545.6666666666)</f>
        <v>43545.666666666599</v>
      </c>
      <c r="B874" s="1">
        <f ca="1">IFERROR(__xludf.DUMMYFUNCTION("""COMPUTED_VALUE"""),18.17)</f>
        <v>18.170000000000002</v>
      </c>
      <c r="C874" s="1">
        <f ca="1">IFERROR(__xludf.DUMMYFUNCTION("""COMPUTED_VALUE"""),18.43)</f>
        <v>18.43</v>
      </c>
      <c r="D874" s="1">
        <f ca="1">IFERROR(__xludf.DUMMYFUNCTION("""COMPUTED_VALUE"""),17.9)</f>
        <v>17.899999999999999</v>
      </c>
      <c r="E874" s="1">
        <f ca="1">IFERROR(__xludf.DUMMYFUNCTION("""COMPUTED_VALUE"""),18.27)</f>
        <v>18.27</v>
      </c>
      <c r="F874" s="1">
        <f ca="1">IFERROR(__xludf.DUMMYFUNCTION("""COMPUTED_VALUE"""),5947098)</f>
        <v>5947098</v>
      </c>
    </row>
    <row r="875" spans="1:6" x14ac:dyDescent="0.2">
      <c r="A875" s="2">
        <f ca="1">IFERROR(__xludf.DUMMYFUNCTION("""COMPUTED_VALUE"""),43546.6666666666)</f>
        <v>43546.666666666599</v>
      </c>
      <c r="B875" s="1">
        <f ca="1">IFERROR(__xludf.DUMMYFUNCTION("""COMPUTED_VALUE"""),18.17)</f>
        <v>18.170000000000002</v>
      </c>
      <c r="C875" s="1">
        <f ca="1">IFERROR(__xludf.DUMMYFUNCTION("""COMPUTED_VALUE"""),18.19)</f>
        <v>18.190000000000001</v>
      </c>
      <c r="D875" s="1">
        <f ca="1">IFERROR(__xludf.DUMMYFUNCTION("""COMPUTED_VALUE"""),17.6)</f>
        <v>17.600000000000001</v>
      </c>
      <c r="E875" s="1">
        <f ca="1">IFERROR(__xludf.DUMMYFUNCTION("""COMPUTED_VALUE"""),17.64)</f>
        <v>17.64</v>
      </c>
      <c r="F875" s="1">
        <f ca="1">IFERROR(__xludf.DUMMYFUNCTION("""COMPUTED_VALUE"""),8745609)</f>
        <v>8745609</v>
      </c>
    </row>
    <row r="876" spans="1:6" x14ac:dyDescent="0.2">
      <c r="A876" s="2">
        <f ca="1">IFERROR(__xludf.DUMMYFUNCTION("""COMPUTED_VALUE"""),43549.6666666666)</f>
        <v>43549.666666666599</v>
      </c>
      <c r="B876" s="1">
        <f ca="1">IFERROR(__xludf.DUMMYFUNCTION("""COMPUTED_VALUE"""),17.31)</f>
        <v>17.309999999999999</v>
      </c>
      <c r="C876" s="1">
        <f ca="1">IFERROR(__xludf.DUMMYFUNCTION("""COMPUTED_VALUE"""),17.55)</f>
        <v>17.55</v>
      </c>
      <c r="D876" s="1">
        <f ca="1">IFERROR(__xludf.DUMMYFUNCTION("""COMPUTED_VALUE"""),16.96)</f>
        <v>16.96</v>
      </c>
      <c r="E876" s="1">
        <f ca="1">IFERROR(__xludf.DUMMYFUNCTION("""COMPUTED_VALUE"""),17.36)</f>
        <v>17.36</v>
      </c>
      <c r="F876" s="1">
        <f ca="1">IFERROR(__xludf.DUMMYFUNCTION("""COMPUTED_VALUE"""),10215029)</f>
        <v>10215029</v>
      </c>
    </row>
    <row r="877" spans="1:6" x14ac:dyDescent="0.2">
      <c r="A877" s="2">
        <f ca="1">IFERROR(__xludf.DUMMYFUNCTION("""COMPUTED_VALUE"""),43550.6666666666)</f>
        <v>43550.666666666599</v>
      </c>
      <c r="B877" s="1">
        <f ca="1">IFERROR(__xludf.DUMMYFUNCTION("""COMPUTED_VALUE"""),17.63)</f>
        <v>17.63</v>
      </c>
      <c r="C877" s="1">
        <f ca="1">IFERROR(__xludf.DUMMYFUNCTION("""COMPUTED_VALUE"""),18.02)</f>
        <v>18.02</v>
      </c>
      <c r="D877" s="1">
        <f ca="1">IFERROR(__xludf.DUMMYFUNCTION("""COMPUTED_VALUE"""),17.63)</f>
        <v>17.63</v>
      </c>
      <c r="E877" s="1">
        <f ca="1">IFERROR(__xludf.DUMMYFUNCTION("""COMPUTED_VALUE"""),17.85)</f>
        <v>17.850000000000001</v>
      </c>
      <c r="F877" s="1">
        <f ca="1">IFERROR(__xludf.DUMMYFUNCTION("""COMPUTED_VALUE"""),7350948)</f>
        <v>7350948</v>
      </c>
    </row>
    <row r="878" spans="1:6" x14ac:dyDescent="0.2">
      <c r="A878" s="2">
        <f ca="1">IFERROR(__xludf.DUMMYFUNCTION("""COMPUTED_VALUE"""),43551.6666666666)</f>
        <v>43551.666666666599</v>
      </c>
      <c r="B878" s="1">
        <f ca="1">IFERROR(__xludf.DUMMYFUNCTION("""COMPUTED_VALUE"""),17.92)</f>
        <v>17.920000000000002</v>
      </c>
      <c r="C878" s="1">
        <f ca="1">IFERROR(__xludf.DUMMYFUNCTION("""COMPUTED_VALUE"""),18.36)</f>
        <v>18.36</v>
      </c>
      <c r="D878" s="1">
        <f ca="1">IFERROR(__xludf.DUMMYFUNCTION("""COMPUTED_VALUE"""),17.88)</f>
        <v>17.88</v>
      </c>
      <c r="E878" s="1">
        <f ca="1">IFERROR(__xludf.DUMMYFUNCTION("""COMPUTED_VALUE"""),18.32)</f>
        <v>18.32</v>
      </c>
      <c r="F878" s="1">
        <f ca="1">IFERROR(__xludf.DUMMYFUNCTION("""COMPUTED_VALUE"""),8779166)</f>
        <v>8779166</v>
      </c>
    </row>
    <row r="879" spans="1:6" x14ac:dyDescent="0.2">
      <c r="A879" s="2">
        <f ca="1">IFERROR(__xludf.DUMMYFUNCTION("""COMPUTED_VALUE"""),43552.6666666666)</f>
        <v>43552.666666666599</v>
      </c>
      <c r="B879" s="1">
        <f ca="1">IFERROR(__xludf.DUMMYFUNCTION("""COMPUTED_VALUE"""),18.48)</f>
        <v>18.48</v>
      </c>
      <c r="C879" s="1">
        <f ca="1">IFERROR(__xludf.DUMMYFUNCTION("""COMPUTED_VALUE"""),18.69)</f>
        <v>18.690000000000001</v>
      </c>
      <c r="D879" s="1">
        <f ca="1">IFERROR(__xludf.DUMMYFUNCTION("""COMPUTED_VALUE"""),18.34)</f>
        <v>18.34</v>
      </c>
      <c r="E879" s="1">
        <f ca="1">IFERROR(__xludf.DUMMYFUNCTION("""COMPUTED_VALUE"""),18.57)</f>
        <v>18.57</v>
      </c>
      <c r="F879" s="1">
        <f ca="1">IFERROR(__xludf.DUMMYFUNCTION("""COMPUTED_VALUE"""),6774093)</f>
        <v>6774093</v>
      </c>
    </row>
    <row r="880" spans="1:6" x14ac:dyDescent="0.2">
      <c r="A880" s="2">
        <f ca="1">IFERROR(__xludf.DUMMYFUNCTION("""COMPUTED_VALUE"""),43553.6666666666)</f>
        <v>43553.666666666599</v>
      </c>
      <c r="B880" s="1">
        <f ca="1">IFERROR(__xludf.DUMMYFUNCTION("""COMPUTED_VALUE"""),18.58)</f>
        <v>18.579999999999998</v>
      </c>
      <c r="C880" s="1">
        <f ca="1">IFERROR(__xludf.DUMMYFUNCTION("""COMPUTED_VALUE"""),18.68)</f>
        <v>18.68</v>
      </c>
      <c r="D880" s="1">
        <f ca="1">IFERROR(__xludf.DUMMYFUNCTION("""COMPUTED_VALUE"""),18.3)</f>
        <v>18.3</v>
      </c>
      <c r="E880" s="1">
        <f ca="1">IFERROR(__xludf.DUMMYFUNCTION("""COMPUTED_VALUE"""),18.66)</f>
        <v>18.66</v>
      </c>
      <c r="F880" s="1">
        <f ca="1">IFERROR(__xludf.DUMMYFUNCTION("""COMPUTED_VALUE"""),5991338)</f>
        <v>5991338</v>
      </c>
    </row>
    <row r="881" spans="1:6" x14ac:dyDescent="0.2">
      <c r="A881" s="2">
        <f ca="1">IFERROR(__xludf.DUMMYFUNCTION("""COMPUTED_VALUE"""),43556.6666666666)</f>
        <v>43556.666666666599</v>
      </c>
      <c r="B881" s="1">
        <f ca="1">IFERROR(__xludf.DUMMYFUNCTION("""COMPUTED_VALUE"""),18.84)</f>
        <v>18.84</v>
      </c>
      <c r="C881" s="1">
        <f ca="1">IFERROR(__xludf.DUMMYFUNCTION("""COMPUTED_VALUE"""),19.28)</f>
        <v>19.28</v>
      </c>
      <c r="D881" s="1">
        <f ca="1">IFERROR(__xludf.DUMMYFUNCTION("""COMPUTED_VALUE"""),18.75)</f>
        <v>18.75</v>
      </c>
      <c r="E881" s="1">
        <f ca="1">IFERROR(__xludf.DUMMYFUNCTION("""COMPUTED_VALUE"""),19.28)</f>
        <v>19.28</v>
      </c>
      <c r="F881" s="1">
        <f ca="1">IFERROR(__xludf.DUMMYFUNCTION("""COMPUTED_VALUE"""),8110439)</f>
        <v>8110439</v>
      </c>
    </row>
    <row r="882" spans="1:6" x14ac:dyDescent="0.2">
      <c r="A882" s="2">
        <f ca="1">IFERROR(__xludf.DUMMYFUNCTION("""COMPUTED_VALUE"""),43557.6666666666)</f>
        <v>43557.666666666599</v>
      </c>
      <c r="B882" s="1">
        <f ca="1">IFERROR(__xludf.DUMMYFUNCTION("""COMPUTED_VALUE"""),19.22)</f>
        <v>19.22</v>
      </c>
      <c r="C882" s="1">
        <f ca="1">IFERROR(__xludf.DUMMYFUNCTION("""COMPUTED_VALUE"""),19.3)</f>
        <v>19.3</v>
      </c>
      <c r="D882" s="1">
        <f ca="1">IFERROR(__xludf.DUMMYFUNCTION("""COMPUTED_VALUE"""),18.93)</f>
        <v>18.93</v>
      </c>
      <c r="E882" s="1">
        <f ca="1">IFERROR(__xludf.DUMMYFUNCTION("""COMPUTED_VALUE"""),19.06)</f>
        <v>19.059999999999999</v>
      </c>
      <c r="F882" s="1">
        <f ca="1">IFERROR(__xludf.DUMMYFUNCTION("""COMPUTED_VALUE"""),5478940)</f>
        <v>5478940</v>
      </c>
    </row>
    <row r="883" spans="1:6" x14ac:dyDescent="0.2">
      <c r="A883" s="2">
        <f ca="1">IFERROR(__xludf.DUMMYFUNCTION("""COMPUTED_VALUE"""),43558.6666666666)</f>
        <v>43558.666666666599</v>
      </c>
      <c r="B883" s="1">
        <f ca="1">IFERROR(__xludf.DUMMYFUNCTION("""COMPUTED_VALUE"""),19.15)</f>
        <v>19.149999999999999</v>
      </c>
      <c r="C883" s="1">
        <f ca="1">IFERROR(__xludf.DUMMYFUNCTION("""COMPUTED_VALUE"""),19.74)</f>
        <v>19.739999999999998</v>
      </c>
      <c r="D883" s="1">
        <f ca="1">IFERROR(__xludf.DUMMYFUNCTION("""COMPUTED_VALUE"""),19.14)</f>
        <v>19.14</v>
      </c>
      <c r="E883" s="1">
        <f ca="1">IFERROR(__xludf.DUMMYFUNCTION("""COMPUTED_VALUE"""),19.45)</f>
        <v>19.45</v>
      </c>
      <c r="F883" s="1">
        <f ca="1">IFERROR(__xludf.DUMMYFUNCTION("""COMPUTED_VALUE"""),7929864)</f>
        <v>7929864</v>
      </c>
    </row>
    <row r="884" spans="1:6" x14ac:dyDescent="0.2">
      <c r="A884" s="2">
        <f ca="1">IFERROR(__xludf.DUMMYFUNCTION("""COMPUTED_VALUE"""),43559.6666666666)</f>
        <v>43559.666666666599</v>
      </c>
      <c r="B884" s="1">
        <f ca="1">IFERROR(__xludf.DUMMYFUNCTION("""COMPUTED_VALUE"""),17.46)</f>
        <v>17.46</v>
      </c>
      <c r="C884" s="1">
        <f ca="1">IFERROR(__xludf.DUMMYFUNCTION("""COMPUTED_VALUE"""),18.08)</f>
        <v>18.079999999999998</v>
      </c>
      <c r="D884" s="1">
        <f ca="1">IFERROR(__xludf.DUMMYFUNCTION("""COMPUTED_VALUE"""),17.37)</f>
        <v>17.37</v>
      </c>
      <c r="E884" s="1">
        <f ca="1">IFERROR(__xludf.DUMMYFUNCTION("""COMPUTED_VALUE"""),17.85)</f>
        <v>17.850000000000001</v>
      </c>
      <c r="F884" s="1">
        <f ca="1">IFERROR(__xludf.DUMMYFUNCTION("""COMPUTED_VALUE"""),23720729)</f>
        <v>23720729</v>
      </c>
    </row>
    <row r="885" spans="1:6" x14ac:dyDescent="0.2">
      <c r="A885" s="2">
        <f ca="1">IFERROR(__xludf.DUMMYFUNCTION("""COMPUTED_VALUE"""),43560.6666666666)</f>
        <v>43560.666666666599</v>
      </c>
      <c r="B885" s="1">
        <f ca="1">IFERROR(__xludf.DUMMYFUNCTION("""COMPUTED_VALUE"""),17.99)</f>
        <v>17.989999999999998</v>
      </c>
      <c r="C885" s="1">
        <f ca="1">IFERROR(__xludf.DUMMYFUNCTION("""COMPUTED_VALUE"""),18.41)</f>
        <v>18.41</v>
      </c>
      <c r="D885" s="1">
        <f ca="1">IFERROR(__xludf.DUMMYFUNCTION("""COMPUTED_VALUE"""),17.74)</f>
        <v>17.739999999999998</v>
      </c>
      <c r="E885" s="1">
        <f ca="1">IFERROR(__xludf.DUMMYFUNCTION("""COMPUTED_VALUE"""),18.33)</f>
        <v>18.329999999999998</v>
      </c>
      <c r="F885" s="1">
        <f ca="1">IFERROR(__xludf.DUMMYFUNCTION("""COMPUTED_VALUE"""),13038257)</f>
        <v>13038257</v>
      </c>
    </row>
    <row r="886" spans="1:6" x14ac:dyDescent="0.2">
      <c r="A886" s="2">
        <f ca="1">IFERROR(__xludf.DUMMYFUNCTION("""COMPUTED_VALUE"""),43563.6666666666)</f>
        <v>43563.666666666599</v>
      </c>
      <c r="B886" s="1">
        <f ca="1">IFERROR(__xludf.DUMMYFUNCTION("""COMPUTED_VALUE"""),18.51)</f>
        <v>18.510000000000002</v>
      </c>
      <c r="C886" s="1">
        <f ca="1">IFERROR(__xludf.DUMMYFUNCTION("""COMPUTED_VALUE"""),18.74)</f>
        <v>18.739999999999998</v>
      </c>
      <c r="D886" s="1">
        <f ca="1">IFERROR(__xludf.DUMMYFUNCTION("""COMPUTED_VALUE"""),18.03)</f>
        <v>18.03</v>
      </c>
      <c r="E886" s="1">
        <f ca="1">IFERROR(__xludf.DUMMYFUNCTION("""COMPUTED_VALUE"""),18.21)</f>
        <v>18.21</v>
      </c>
      <c r="F886" s="1">
        <f ca="1">IFERROR(__xludf.DUMMYFUNCTION("""COMPUTED_VALUE"""),10410436)</f>
        <v>10410436</v>
      </c>
    </row>
    <row r="887" spans="1:6" x14ac:dyDescent="0.2">
      <c r="A887" s="2">
        <f ca="1">IFERROR(__xludf.DUMMYFUNCTION("""COMPUTED_VALUE"""),43564.6666666666)</f>
        <v>43564.666666666599</v>
      </c>
      <c r="B887" s="1">
        <f ca="1">IFERROR(__xludf.DUMMYFUNCTION("""COMPUTED_VALUE"""),18.11)</f>
        <v>18.11</v>
      </c>
      <c r="C887" s="1">
        <f ca="1">IFERROR(__xludf.DUMMYFUNCTION("""COMPUTED_VALUE"""),18.33)</f>
        <v>18.329999999999998</v>
      </c>
      <c r="D887" s="1">
        <f ca="1">IFERROR(__xludf.DUMMYFUNCTION("""COMPUTED_VALUE"""),17.97)</f>
        <v>17.97</v>
      </c>
      <c r="E887" s="1">
        <f ca="1">IFERROR(__xludf.DUMMYFUNCTION("""COMPUTED_VALUE"""),18.15)</f>
        <v>18.149999999999999</v>
      </c>
      <c r="F887" s="1">
        <f ca="1">IFERROR(__xludf.DUMMYFUNCTION("""COMPUTED_VALUE"""),5904031)</f>
        <v>5904031</v>
      </c>
    </row>
    <row r="888" spans="1:6" x14ac:dyDescent="0.2">
      <c r="A888" s="2">
        <f ca="1">IFERROR(__xludf.DUMMYFUNCTION("""COMPUTED_VALUE"""),43565.6666666666)</f>
        <v>43565.666666666599</v>
      </c>
      <c r="B888" s="1">
        <f ca="1">IFERROR(__xludf.DUMMYFUNCTION("""COMPUTED_VALUE"""),18.45)</f>
        <v>18.45</v>
      </c>
      <c r="C888" s="1">
        <f ca="1">IFERROR(__xludf.DUMMYFUNCTION("""COMPUTED_VALUE"""),18.56)</f>
        <v>18.559999999999999</v>
      </c>
      <c r="D888" s="1">
        <f ca="1">IFERROR(__xludf.DUMMYFUNCTION("""COMPUTED_VALUE"""),18.19)</f>
        <v>18.190000000000001</v>
      </c>
      <c r="E888" s="1">
        <f ca="1">IFERROR(__xludf.DUMMYFUNCTION("""COMPUTED_VALUE"""),18.4)</f>
        <v>18.399999999999999</v>
      </c>
      <c r="F888" s="1">
        <f ca="1">IFERROR(__xludf.DUMMYFUNCTION("""COMPUTED_VALUE"""),7061314)</f>
        <v>7061314</v>
      </c>
    </row>
    <row r="889" spans="1:6" x14ac:dyDescent="0.2">
      <c r="A889" s="2">
        <f ca="1">IFERROR(__xludf.DUMMYFUNCTION("""COMPUTED_VALUE"""),43566.6666666666)</f>
        <v>43566.666666666599</v>
      </c>
      <c r="B889" s="1">
        <f ca="1">IFERROR(__xludf.DUMMYFUNCTION("""COMPUTED_VALUE"""),17.89)</f>
        <v>17.89</v>
      </c>
      <c r="C889" s="1">
        <f ca="1">IFERROR(__xludf.DUMMYFUNCTION("""COMPUTED_VALUE"""),18.03)</f>
        <v>18.03</v>
      </c>
      <c r="D889" s="1">
        <f ca="1">IFERROR(__xludf.DUMMYFUNCTION("""COMPUTED_VALUE"""),17.71)</f>
        <v>17.71</v>
      </c>
      <c r="E889" s="1">
        <f ca="1">IFERROR(__xludf.DUMMYFUNCTION("""COMPUTED_VALUE"""),17.89)</f>
        <v>17.89</v>
      </c>
      <c r="F889" s="1">
        <f ca="1">IFERROR(__xludf.DUMMYFUNCTION("""COMPUTED_VALUE"""),9835927)</f>
        <v>9835927</v>
      </c>
    </row>
    <row r="890" spans="1:6" x14ac:dyDescent="0.2">
      <c r="A890" s="2">
        <f ca="1">IFERROR(__xludf.DUMMYFUNCTION("""COMPUTED_VALUE"""),43567.6666666666)</f>
        <v>43567.666666666599</v>
      </c>
      <c r="B890" s="1">
        <f ca="1">IFERROR(__xludf.DUMMYFUNCTION("""COMPUTED_VALUE"""),18.01)</f>
        <v>18.010000000000002</v>
      </c>
      <c r="C890" s="1">
        <f ca="1">IFERROR(__xludf.DUMMYFUNCTION("""COMPUTED_VALUE"""),18.13)</f>
        <v>18.13</v>
      </c>
      <c r="D890" s="1">
        <f ca="1">IFERROR(__xludf.DUMMYFUNCTION("""COMPUTED_VALUE"""),17.79)</f>
        <v>17.79</v>
      </c>
      <c r="E890" s="1">
        <f ca="1">IFERROR(__xludf.DUMMYFUNCTION("""COMPUTED_VALUE"""),17.85)</f>
        <v>17.850000000000001</v>
      </c>
      <c r="F890" s="1">
        <f ca="1">IFERROR(__xludf.DUMMYFUNCTION("""COMPUTED_VALUE"""),6745974)</f>
        <v>6745974</v>
      </c>
    </row>
    <row r="891" spans="1:6" x14ac:dyDescent="0.2">
      <c r="A891" s="2">
        <f ca="1">IFERROR(__xludf.DUMMYFUNCTION("""COMPUTED_VALUE"""),43570.6666666666)</f>
        <v>43570.666666666599</v>
      </c>
      <c r="B891" s="1">
        <f ca="1">IFERROR(__xludf.DUMMYFUNCTION("""COMPUTED_VALUE"""),17.91)</f>
        <v>17.91</v>
      </c>
      <c r="C891" s="1">
        <f ca="1">IFERROR(__xludf.DUMMYFUNCTION("""COMPUTED_VALUE"""),17.93)</f>
        <v>17.93</v>
      </c>
      <c r="D891" s="1">
        <f ca="1">IFERROR(__xludf.DUMMYFUNCTION("""COMPUTED_VALUE"""),17.24)</f>
        <v>17.239999999999998</v>
      </c>
      <c r="E891" s="1">
        <f ca="1">IFERROR(__xludf.DUMMYFUNCTION("""COMPUTED_VALUE"""),17.76)</f>
        <v>17.760000000000002</v>
      </c>
      <c r="F891" s="1">
        <f ca="1">IFERROR(__xludf.DUMMYFUNCTION("""COMPUTED_VALUE"""),10038579)</f>
        <v>10038579</v>
      </c>
    </row>
    <row r="892" spans="1:6" x14ac:dyDescent="0.2">
      <c r="A892" s="2">
        <f ca="1">IFERROR(__xludf.DUMMYFUNCTION("""COMPUTED_VALUE"""),43571.6666666666)</f>
        <v>43571.666666666599</v>
      </c>
      <c r="B892" s="1">
        <f ca="1">IFERROR(__xludf.DUMMYFUNCTION("""COMPUTED_VALUE"""),17.72)</f>
        <v>17.72</v>
      </c>
      <c r="C892" s="1">
        <f ca="1">IFERROR(__xludf.DUMMYFUNCTION("""COMPUTED_VALUE"""),18.33)</f>
        <v>18.329999999999998</v>
      </c>
      <c r="D892" s="1">
        <f ca="1">IFERROR(__xludf.DUMMYFUNCTION("""COMPUTED_VALUE"""),17.65)</f>
        <v>17.649999999999999</v>
      </c>
      <c r="E892" s="1">
        <f ca="1">IFERROR(__xludf.DUMMYFUNCTION("""COMPUTED_VALUE"""),18.22)</f>
        <v>18.22</v>
      </c>
      <c r="F892" s="1">
        <f ca="1">IFERROR(__xludf.DUMMYFUNCTION("""COMPUTED_VALUE"""),7272930)</f>
        <v>7272930</v>
      </c>
    </row>
    <row r="893" spans="1:6" x14ac:dyDescent="0.2">
      <c r="A893" s="2">
        <f ca="1">IFERROR(__xludf.DUMMYFUNCTION("""COMPUTED_VALUE"""),43572.6666666666)</f>
        <v>43572.666666666599</v>
      </c>
      <c r="B893" s="1">
        <f ca="1">IFERROR(__xludf.DUMMYFUNCTION("""COMPUTED_VALUE"""),18.32)</f>
        <v>18.32</v>
      </c>
      <c r="C893" s="1">
        <f ca="1">IFERROR(__xludf.DUMMYFUNCTION("""COMPUTED_VALUE"""),18.32)</f>
        <v>18.32</v>
      </c>
      <c r="D893" s="1">
        <f ca="1">IFERROR(__xludf.DUMMYFUNCTION("""COMPUTED_VALUE"""),17.9)</f>
        <v>17.899999999999999</v>
      </c>
      <c r="E893" s="1">
        <f ca="1">IFERROR(__xludf.DUMMYFUNCTION("""COMPUTED_VALUE"""),18.08)</f>
        <v>18.079999999999998</v>
      </c>
      <c r="F893" s="1">
        <f ca="1">IFERROR(__xludf.DUMMYFUNCTION("""COMPUTED_VALUE"""),5126468)</f>
        <v>5126468</v>
      </c>
    </row>
    <row r="894" spans="1:6" x14ac:dyDescent="0.2">
      <c r="A894" s="2">
        <f ca="1">IFERROR(__xludf.DUMMYFUNCTION("""COMPUTED_VALUE"""),43573.6666666666)</f>
        <v>43573.666666666599</v>
      </c>
      <c r="B894" s="1">
        <f ca="1">IFERROR(__xludf.DUMMYFUNCTION("""COMPUTED_VALUE"""),18.08)</f>
        <v>18.079999999999998</v>
      </c>
      <c r="C894" s="1">
        <f ca="1">IFERROR(__xludf.DUMMYFUNCTION("""COMPUTED_VALUE"""),18.32)</f>
        <v>18.32</v>
      </c>
      <c r="D894" s="1">
        <f ca="1">IFERROR(__xludf.DUMMYFUNCTION("""COMPUTED_VALUE"""),17.98)</f>
        <v>17.98</v>
      </c>
      <c r="E894" s="1">
        <f ca="1">IFERROR(__xludf.DUMMYFUNCTION("""COMPUTED_VALUE"""),18.22)</f>
        <v>18.22</v>
      </c>
      <c r="F894" s="1">
        <f ca="1">IFERROR(__xludf.DUMMYFUNCTION("""COMPUTED_VALUE"""),5876325)</f>
        <v>5876325</v>
      </c>
    </row>
    <row r="895" spans="1:6" x14ac:dyDescent="0.2">
      <c r="A895" s="2">
        <f ca="1">IFERROR(__xludf.DUMMYFUNCTION("""COMPUTED_VALUE"""),43577.6666666666)</f>
        <v>43577.666666666599</v>
      </c>
      <c r="B895" s="1">
        <f ca="1">IFERROR(__xludf.DUMMYFUNCTION("""COMPUTED_VALUE"""),17.93)</f>
        <v>17.93</v>
      </c>
      <c r="C895" s="1">
        <f ca="1">IFERROR(__xludf.DUMMYFUNCTION("""COMPUTED_VALUE"""),17.98)</f>
        <v>17.98</v>
      </c>
      <c r="D895" s="1">
        <f ca="1">IFERROR(__xludf.DUMMYFUNCTION("""COMPUTED_VALUE"""),17.5)</f>
        <v>17.5</v>
      </c>
      <c r="E895" s="1">
        <f ca="1">IFERROR(__xludf.DUMMYFUNCTION("""COMPUTED_VALUE"""),17.52)</f>
        <v>17.52</v>
      </c>
      <c r="F895" s="1">
        <f ca="1">IFERROR(__xludf.DUMMYFUNCTION("""COMPUTED_VALUE"""),12147141)</f>
        <v>12147141</v>
      </c>
    </row>
    <row r="896" spans="1:6" x14ac:dyDescent="0.2">
      <c r="A896" s="2">
        <f ca="1">IFERROR(__xludf.DUMMYFUNCTION("""COMPUTED_VALUE"""),43578.6666666666)</f>
        <v>43578.666666666599</v>
      </c>
      <c r="B896" s="1">
        <f ca="1">IFERROR(__xludf.DUMMYFUNCTION("""COMPUTED_VALUE"""),17.34)</f>
        <v>17.34</v>
      </c>
      <c r="C896" s="1">
        <f ca="1">IFERROR(__xludf.DUMMYFUNCTION("""COMPUTED_VALUE"""),17.71)</f>
        <v>17.71</v>
      </c>
      <c r="D896" s="1">
        <f ca="1">IFERROR(__xludf.DUMMYFUNCTION("""COMPUTED_VALUE"""),17.05)</f>
        <v>17.05</v>
      </c>
      <c r="E896" s="1">
        <f ca="1">IFERROR(__xludf.DUMMYFUNCTION("""COMPUTED_VALUE"""),17.59)</f>
        <v>17.59</v>
      </c>
      <c r="F896" s="1">
        <f ca="1">IFERROR(__xludf.DUMMYFUNCTION("""COMPUTED_VALUE"""),10943859)</f>
        <v>10943859</v>
      </c>
    </row>
    <row r="897" spans="1:6" x14ac:dyDescent="0.2">
      <c r="A897" s="2">
        <f ca="1">IFERROR(__xludf.DUMMYFUNCTION("""COMPUTED_VALUE"""),43579.6666666666)</f>
        <v>43579.666666666599</v>
      </c>
      <c r="B897" s="1">
        <f ca="1">IFERROR(__xludf.DUMMYFUNCTION("""COMPUTED_VALUE"""),17.59)</f>
        <v>17.59</v>
      </c>
      <c r="C897" s="1">
        <f ca="1">IFERROR(__xludf.DUMMYFUNCTION("""COMPUTED_VALUE"""),17.69)</f>
        <v>17.690000000000001</v>
      </c>
      <c r="D897" s="1">
        <f ca="1">IFERROR(__xludf.DUMMYFUNCTION("""COMPUTED_VALUE"""),17.2)</f>
        <v>17.2</v>
      </c>
      <c r="E897" s="1">
        <f ca="1">IFERROR(__xludf.DUMMYFUNCTION("""COMPUTED_VALUE"""),17.24)</f>
        <v>17.239999999999998</v>
      </c>
      <c r="F897" s="1">
        <f ca="1">IFERROR(__xludf.DUMMYFUNCTION("""COMPUTED_VALUE"""),10727454)</f>
        <v>10727454</v>
      </c>
    </row>
    <row r="898" spans="1:6" x14ac:dyDescent="0.2">
      <c r="A898" s="2">
        <f ca="1">IFERROR(__xludf.DUMMYFUNCTION("""COMPUTED_VALUE"""),43580.6666666666)</f>
        <v>43580.666666666599</v>
      </c>
      <c r="B898" s="1">
        <f ca="1">IFERROR(__xludf.DUMMYFUNCTION("""COMPUTED_VALUE"""),17)</f>
        <v>17</v>
      </c>
      <c r="C898" s="1">
        <f ca="1">IFERROR(__xludf.DUMMYFUNCTION("""COMPUTED_VALUE"""),17.27)</f>
        <v>17.27</v>
      </c>
      <c r="D898" s="1">
        <f ca="1">IFERROR(__xludf.DUMMYFUNCTION("""COMPUTED_VALUE"""),16.4)</f>
        <v>16.399999999999999</v>
      </c>
      <c r="E898" s="1">
        <f ca="1">IFERROR(__xludf.DUMMYFUNCTION("""COMPUTED_VALUE"""),16.51)</f>
        <v>16.510000000000002</v>
      </c>
      <c r="F898" s="1">
        <f ca="1">IFERROR(__xludf.DUMMYFUNCTION("""COMPUTED_VALUE"""),21849393)</f>
        <v>21849393</v>
      </c>
    </row>
    <row r="899" spans="1:6" x14ac:dyDescent="0.2">
      <c r="A899" s="2">
        <f ca="1">IFERROR(__xludf.DUMMYFUNCTION("""COMPUTED_VALUE"""),43581.6666666666)</f>
        <v>43581.666666666599</v>
      </c>
      <c r="B899" s="1">
        <f ca="1">IFERROR(__xludf.DUMMYFUNCTION("""COMPUTED_VALUE"""),16.43)</f>
        <v>16.43</v>
      </c>
      <c r="C899" s="1">
        <f ca="1">IFERROR(__xludf.DUMMYFUNCTION("""COMPUTED_VALUE"""),16.45)</f>
        <v>16.45</v>
      </c>
      <c r="D899" s="1">
        <f ca="1">IFERROR(__xludf.DUMMYFUNCTION("""COMPUTED_VALUE"""),15.41)</f>
        <v>15.41</v>
      </c>
      <c r="E899" s="1">
        <f ca="1">IFERROR(__xludf.DUMMYFUNCTION("""COMPUTED_VALUE"""),15.68)</f>
        <v>15.68</v>
      </c>
      <c r="F899" s="1">
        <f ca="1">IFERROR(__xludf.DUMMYFUNCTION("""COMPUTED_VALUE"""),22360709)</f>
        <v>22360709</v>
      </c>
    </row>
    <row r="900" spans="1:6" x14ac:dyDescent="0.2">
      <c r="A900" s="2">
        <f ca="1">IFERROR(__xludf.DUMMYFUNCTION("""COMPUTED_VALUE"""),43584.6666666666)</f>
        <v>43584.666666666599</v>
      </c>
      <c r="B900" s="1">
        <f ca="1">IFERROR(__xludf.DUMMYFUNCTION("""COMPUTED_VALUE"""),15.72)</f>
        <v>15.72</v>
      </c>
      <c r="C900" s="1">
        <f ca="1">IFERROR(__xludf.DUMMYFUNCTION("""COMPUTED_VALUE"""),16.27)</f>
        <v>16.27</v>
      </c>
      <c r="D900" s="1">
        <f ca="1">IFERROR(__xludf.DUMMYFUNCTION("""COMPUTED_VALUE"""),15.48)</f>
        <v>15.48</v>
      </c>
      <c r="E900" s="1">
        <f ca="1">IFERROR(__xludf.DUMMYFUNCTION("""COMPUTED_VALUE"""),16.1)</f>
        <v>16.100000000000001</v>
      </c>
      <c r="F900" s="1">
        <f ca="1">IFERROR(__xludf.DUMMYFUNCTION("""COMPUTED_VALUE"""),16714476)</f>
        <v>16714476</v>
      </c>
    </row>
    <row r="901" spans="1:6" x14ac:dyDescent="0.2">
      <c r="A901" s="2">
        <f ca="1">IFERROR(__xludf.DUMMYFUNCTION("""COMPUTED_VALUE"""),43585.6666666666)</f>
        <v>43585.666666666599</v>
      </c>
      <c r="B901" s="1">
        <f ca="1">IFERROR(__xludf.DUMMYFUNCTION("""COMPUTED_VALUE"""),16.14)</f>
        <v>16.14</v>
      </c>
      <c r="C901" s="1">
        <f ca="1">IFERROR(__xludf.DUMMYFUNCTION("""COMPUTED_VALUE"""),16.28)</f>
        <v>16.28</v>
      </c>
      <c r="D901" s="1">
        <f ca="1">IFERROR(__xludf.DUMMYFUNCTION("""COMPUTED_VALUE"""),15.8)</f>
        <v>15.8</v>
      </c>
      <c r="E901" s="1">
        <f ca="1">IFERROR(__xludf.DUMMYFUNCTION("""COMPUTED_VALUE"""),15.91)</f>
        <v>15.91</v>
      </c>
      <c r="F901" s="1">
        <f ca="1">IFERROR(__xludf.DUMMYFUNCTION("""COMPUTED_VALUE"""),9464628)</f>
        <v>9464628</v>
      </c>
    </row>
    <row r="902" spans="1:6" x14ac:dyDescent="0.2">
      <c r="A902" s="2">
        <f ca="1">IFERROR(__xludf.DUMMYFUNCTION("""COMPUTED_VALUE"""),43586.6666666666)</f>
        <v>43586.666666666599</v>
      </c>
      <c r="B902" s="1">
        <f ca="1">IFERROR(__xludf.DUMMYFUNCTION("""COMPUTED_VALUE"""),15.92)</f>
        <v>15.92</v>
      </c>
      <c r="C902" s="1">
        <f ca="1">IFERROR(__xludf.DUMMYFUNCTION("""COMPUTED_VALUE"""),16)</f>
        <v>16</v>
      </c>
      <c r="D902" s="1">
        <f ca="1">IFERROR(__xludf.DUMMYFUNCTION("""COMPUTED_VALUE"""),15.43)</f>
        <v>15.43</v>
      </c>
      <c r="E902" s="1">
        <f ca="1">IFERROR(__xludf.DUMMYFUNCTION("""COMPUTED_VALUE"""),15.6)</f>
        <v>15.6</v>
      </c>
      <c r="F902" s="1">
        <f ca="1">IFERROR(__xludf.DUMMYFUNCTION("""COMPUTED_VALUE"""),10704354)</f>
        <v>10704354</v>
      </c>
    </row>
    <row r="903" spans="1:6" x14ac:dyDescent="0.2">
      <c r="A903" s="2">
        <f ca="1">IFERROR(__xludf.DUMMYFUNCTION("""COMPUTED_VALUE"""),43587.6666666666)</f>
        <v>43587.666666666599</v>
      </c>
      <c r="B903" s="1">
        <f ca="1">IFERROR(__xludf.DUMMYFUNCTION("""COMPUTED_VALUE"""),16.37)</f>
        <v>16.37</v>
      </c>
      <c r="C903" s="1">
        <f ca="1">IFERROR(__xludf.DUMMYFUNCTION("""COMPUTED_VALUE"""),16.48)</f>
        <v>16.48</v>
      </c>
      <c r="D903" s="1">
        <f ca="1">IFERROR(__xludf.DUMMYFUNCTION("""COMPUTED_VALUE"""),15.85)</f>
        <v>15.85</v>
      </c>
      <c r="E903" s="1">
        <f ca="1">IFERROR(__xludf.DUMMYFUNCTION("""COMPUTED_VALUE"""),16.27)</f>
        <v>16.27</v>
      </c>
      <c r="F903" s="1">
        <f ca="1">IFERROR(__xludf.DUMMYFUNCTION("""COMPUTED_VALUE"""),18159339)</f>
        <v>18159339</v>
      </c>
    </row>
    <row r="904" spans="1:6" x14ac:dyDescent="0.2">
      <c r="A904" s="2">
        <f ca="1">IFERROR(__xludf.DUMMYFUNCTION("""COMPUTED_VALUE"""),43588.6666666666)</f>
        <v>43588.666666666599</v>
      </c>
      <c r="B904" s="1">
        <f ca="1">IFERROR(__xludf.DUMMYFUNCTION("""COMPUTED_VALUE"""),16.26)</f>
        <v>16.260000000000002</v>
      </c>
      <c r="C904" s="1">
        <f ca="1">IFERROR(__xludf.DUMMYFUNCTION("""COMPUTED_VALUE"""),17.11)</f>
        <v>17.11</v>
      </c>
      <c r="D904" s="1">
        <f ca="1">IFERROR(__xludf.DUMMYFUNCTION("""COMPUTED_VALUE"""),16.23)</f>
        <v>16.23</v>
      </c>
      <c r="E904" s="1">
        <f ca="1">IFERROR(__xludf.DUMMYFUNCTION("""COMPUTED_VALUE"""),17)</f>
        <v>17</v>
      </c>
      <c r="F904" s="1">
        <f ca="1">IFERROR(__xludf.DUMMYFUNCTION("""COMPUTED_VALUE"""),23706771)</f>
        <v>23706771</v>
      </c>
    </row>
    <row r="905" spans="1:6" x14ac:dyDescent="0.2">
      <c r="A905" s="2">
        <f ca="1">IFERROR(__xludf.DUMMYFUNCTION("""COMPUTED_VALUE"""),43591.6666666666)</f>
        <v>43591.666666666599</v>
      </c>
      <c r="B905" s="1">
        <f ca="1">IFERROR(__xludf.DUMMYFUNCTION("""COMPUTED_VALUE"""),16.67)</f>
        <v>16.670000000000002</v>
      </c>
      <c r="C905" s="1">
        <f ca="1">IFERROR(__xludf.DUMMYFUNCTION("""COMPUTED_VALUE"""),17.22)</f>
        <v>17.22</v>
      </c>
      <c r="D905" s="1">
        <f ca="1">IFERROR(__xludf.DUMMYFUNCTION("""COMPUTED_VALUE"""),16.57)</f>
        <v>16.57</v>
      </c>
      <c r="E905" s="1">
        <f ca="1">IFERROR(__xludf.DUMMYFUNCTION("""COMPUTED_VALUE"""),17.02)</f>
        <v>17.02</v>
      </c>
      <c r="F905" s="1">
        <f ca="1">IFERROR(__xludf.DUMMYFUNCTION("""COMPUTED_VALUE"""),10833943)</f>
        <v>10833943</v>
      </c>
    </row>
    <row r="906" spans="1:6" x14ac:dyDescent="0.2">
      <c r="A906" s="2">
        <f ca="1">IFERROR(__xludf.DUMMYFUNCTION("""COMPUTED_VALUE"""),43592.6666666666)</f>
        <v>43592.666666666599</v>
      </c>
      <c r="B906" s="1">
        <f ca="1">IFERROR(__xludf.DUMMYFUNCTION("""COMPUTED_VALUE"""),17.12)</f>
        <v>17.12</v>
      </c>
      <c r="C906" s="1">
        <f ca="1">IFERROR(__xludf.DUMMYFUNCTION("""COMPUTED_VALUE"""),17.15)</f>
        <v>17.149999999999999</v>
      </c>
      <c r="D906" s="1">
        <f ca="1">IFERROR(__xludf.DUMMYFUNCTION("""COMPUTED_VALUE"""),16.34)</f>
        <v>16.34</v>
      </c>
      <c r="E906" s="1">
        <f ca="1">IFERROR(__xludf.DUMMYFUNCTION("""COMPUTED_VALUE"""),16.47)</f>
        <v>16.47</v>
      </c>
      <c r="F906" s="1">
        <f ca="1">IFERROR(__xludf.DUMMYFUNCTION("""COMPUTED_VALUE"""),10131408)</f>
        <v>10131408</v>
      </c>
    </row>
    <row r="907" spans="1:6" x14ac:dyDescent="0.2">
      <c r="A907" s="2">
        <f ca="1">IFERROR(__xludf.DUMMYFUNCTION("""COMPUTED_VALUE"""),43593.6666666666)</f>
        <v>43593.666666666599</v>
      </c>
      <c r="B907" s="1">
        <f ca="1">IFERROR(__xludf.DUMMYFUNCTION("""COMPUTED_VALUE"""),16.46)</f>
        <v>16.46</v>
      </c>
      <c r="C907" s="1">
        <f ca="1">IFERROR(__xludf.DUMMYFUNCTION("""COMPUTED_VALUE"""),16.71)</f>
        <v>16.71</v>
      </c>
      <c r="D907" s="1">
        <f ca="1">IFERROR(__xludf.DUMMYFUNCTION("""COMPUTED_VALUE"""),16.28)</f>
        <v>16.28</v>
      </c>
      <c r="E907" s="1">
        <f ca="1">IFERROR(__xludf.DUMMYFUNCTION("""COMPUTED_VALUE"""),16.32)</f>
        <v>16.32</v>
      </c>
      <c r="F907" s="1">
        <f ca="1">IFERROR(__xludf.DUMMYFUNCTION("""COMPUTED_VALUE"""),6176440)</f>
        <v>6176440</v>
      </c>
    </row>
    <row r="908" spans="1:6" x14ac:dyDescent="0.2">
      <c r="A908" s="2">
        <f ca="1">IFERROR(__xludf.DUMMYFUNCTION("""COMPUTED_VALUE"""),43594.6666666666)</f>
        <v>43594.666666666599</v>
      </c>
      <c r="B908" s="1">
        <f ca="1">IFERROR(__xludf.DUMMYFUNCTION("""COMPUTED_VALUE"""),16.13)</f>
        <v>16.13</v>
      </c>
      <c r="C908" s="1">
        <f ca="1">IFERROR(__xludf.DUMMYFUNCTION("""COMPUTED_VALUE"""),16.25)</f>
        <v>16.25</v>
      </c>
      <c r="D908" s="1">
        <f ca="1">IFERROR(__xludf.DUMMYFUNCTION("""COMPUTED_VALUE"""),15.8)</f>
        <v>15.8</v>
      </c>
      <c r="E908" s="1">
        <f ca="1">IFERROR(__xludf.DUMMYFUNCTION("""COMPUTED_VALUE"""),16.13)</f>
        <v>16.13</v>
      </c>
      <c r="F908" s="1">
        <f ca="1">IFERROR(__xludf.DUMMYFUNCTION("""COMPUTED_VALUE"""),6711382)</f>
        <v>6711382</v>
      </c>
    </row>
    <row r="909" spans="1:6" x14ac:dyDescent="0.2">
      <c r="A909" s="2">
        <f ca="1">IFERROR(__xludf.DUMMYFUNCTION("""COMPUTED_VALUE"""),43595.6666666666)</f>
        <v>43595.666666666599</v>
      </c>
      <c r="B909" s="1">
        <f ca="1">IFERROR(__xludf.DUMMYFUNCTION("""COMPUTED_VALUE"""),15.98)</f>
        <v>15.98</v>
      </c>
      <c r="C909" s="1">
        <f ca="1">IFERROR(__xludf.DUMMYFUNCTION("""COMPUTED_VALUE"""),16.13)</f>
        <v>16.13</v>
      </c>
      <c r="D909" s="1">
        <f ca="1">IFERROR(__xludf.DUMMYFUNCTION("""COMPUTED_VALUE"""),15.73)</f>
        <v>15.73</v>
      </c>
      <c r="E909" s="1">
        <f ca="1">IFERROR(__xludf.DUMMYFUNCTION("""COMPUTED_VALUE"""),15.97)</f>
        <v>15.97</v>
      </c>
      <c r="F909" s="1">
        <f ca="1">IFERROR(__xludf.DUMMYFUNCTION("""COMPUTED_VALUE"""),7008336)</f>
        <v>7008336</v>
      </c>
    </row>
    <row r="910" spans="1:6" x14ac:dyDescent="0.2">
      <c r="A910" s="2">
        <f ca="1">IFERROR(__xludf.DUMMYFUNCTION("""COMPUTED_VALUE"""),43598.6666666666)</f>
        <v>43598.666666666599</v>
      </c>
      <c r="B910" s="1">
        <f ca="1">IFERROR(__xludf.DUMMYFUNCTION("""COMPUTED_VALUE"""),15.47)</f>
        <v>15.47</v>
      </c>
      <c r="C910" s="1">
        <f ca="1">IFERROR(__xludf.DUMMYFUNCTION("""COMPUTED_VALUE"""),15.5)</f>
        <v>15.5</v>
      </c>
      <c r="D910" s="1">
        <f ca="1">IFERROR(__xludf.DUMMYFUNCTION("""COMPUTED_VALUE"""),14.97)</f>
        <v>14.97</v>
      </c>
      <c r="E910" s="1">
        <f ca="1">IFERROR(__xludf.DUMMYFUNCTION("""COMPUTED_VALUE"""),15.13)</f>
        <v>15.13</v>
      </c>
      <c r="F910" s="1">
        <f ca="1">IFERROR(__xludf.DUMMYFUNCTION("""COMPUTED_VALUE"""),10834796)</f>
        <v>10834796</v>
      </c>
    </row>
    <row r="911" spans="1:6" x14ac:dyDescent="0.2">
      <c r="A911" s="2">
        <f ca="1">IFERROR(__xludf.DUMMYFUNCTION("""COMPUTED_VALUE"""),43599.6666666666)</f>
        <v>43599.666666666599</v>
      </c>
      <c r="B911" s="1">
        <f ca="1">IFERROR(__xludf.DUMMYFUNCTION("""COMPUTED_VALUE"""),15.29)</f>
        <v>15.29</v>
      </c>
      <c r="C911" s="1">
        <f ca="1">IFERROR(__xludf.DUMMYFUNCTION("""COMPUTED_VALUE"""),15.63)</f>
        <v>15.63</v>
      </c>
      <c r="D911" s="1">
        <f ca="1">IFERROR(__xludf.DUMMYFUNCTION("""COMPUTED_VALUE"""),15.2)</f>
        <v>15.2</v>
      </c>
      <c r="E911" s="1">
        <f ca="1">IFERROR(__xludf.DUMMYFUNCTION("""COMPUTED_VALUE"""),15.49)</f>
        <v>15.49</v>
      </c>
      <c r="F911" s="1">
        <f ca="1">IFERROR(__xludf.DUMMYFUNCTION("""COMPUTED_VALUE"""),7252412)</f>
        <v>7252412</v>
      </c>
    </row>
    <row r="912" spans="1:6" x14ac:dyDescent="0.2">
      <c r="A912" s="2">
        <f ca="1">IFERROR(__xludf.DUMMYFUNCTION("""COMPUTED_VALUE"""),43600.6666666666)</f>
        <v>43600.666666666599</v>
      </c>
      <c r="B912" s="1">
        <f ca="1">IFERROR(__xludf.DUMMYFUNCTION("""COMPUTED_VALUE"""),15.29)</f>
        <v>15.29</v>
      </c>
      <c r="C912" s="1">
        <f ca="1">IFERROR(__xludf.DUMMYFUNCTION("""COMPUTED_VALUE"""),15.5)</f>
        <v>15.5</v>
      </c>
      <c r="D912" s="1">
        <f ca="1">IFERROR(__xludf.DUMMYFUNCTION("""COMPUTED_VALUE"""),15.02)</f>
        <v>15.02</v>
      </c>
      <c r="E912" s="1">
        <f ca="1">IFERROR(__xludf.DUMMYFUNCTION("""COMPUTED_VALUE"""),15.46)</f>
        <v>15.46</v>
      </c>
      <c r="F912" s="1">
        <f ca="1">IFERROR(__xludf.DUMMYFUNCTION("""COMPUTED_VALUE"""),7295976)</f>
        <v>7295976</v>
      </c>
    </row>
    <row r="913" spans="1:6" x14ac:dyDescent="0.2">
      <c r="A913" s="2">
        <f ca="1">IFERROR(__xludf.DUMMYFUNCTION("""COMPUTED_VALUE"""),43601.6666666666)</f>
        <v>43601.666666666599</v>
      </c>
      <c r="B913" s="1">
        <f ca="1">IFERROR(__xludf.DUMMYFUNCTION("""COMPUTED_VALUE"""),15.3)</f>
        <v>15.3</v>
      </c>
      <c r="C913" s="1">
        <f ca="1">IFERROR(__xludf.DUMMYFUNCTION("""COMPUTED_VALUE"""),15.4)</f>
        <v>15.4</v>
      </c>
      <c r="D913" s="1">
        <f ca="1">IFERROR(__xludf.DUMMYFUNCTION("""COMPUTED_VALUE"""),15.1)</f>
        <v>15.1</v>
      </c>
      <c r="E913" s="1">
        <f ca="1">IFERROR(__xludf.DUMMYFUNCTION("""COMPUTED_VALUE"""),15.22)</f>
        <v>15.22</v>
      </c>
      <c r="F913" s="1">
        <f ca="1">IFERROR(__xludf.DUMMYFUNCTION("""COMPUTED_VALUE"""),7483273)</f>
        <v>7483273</v>
      </c>
    </row>
    <row r="914" spans="1:6" x14ac:dyDescent="0.2">
      <c r="A914" s="2">
        <f ca="1">IFERROR(__xludf.DUMMYFUNCTION("""COMPUTED_VALUE"""),43602.6666666666)</f>
        <v>43602.666666666599</v>
      </c>
      <c r="B914" s="1">
        <f ca="1">IFERROR(__xludf.DUMMYFUNCTION("""COMPUTED_VALUE"""),14.8)</f>
        <v>14.8</v>
      </c>
      <c r="C914" s="1">
        <f ca="1">IFERROR(__xludf.DUMMYFUNCTION("""COMPUTED_VALUE"""),14.82)</f>
        <v>14.82</v>
      </c>
      <c r="D914" s="1">
        <f ca="1">IFERROR(__xludf.DUMMYFUNCTION("""COMPUTED_VALUE"""),13.93)</f>
        <v>13.93</v>
      </c>
      <c r="E914" s="1">
        <f ca="1">IFERROR(__xludf.DUMMYFUNCTION("""COMPUTED_VALUE"""),14.07)</f>
        <v>14.07</v>
      </c>
      <c r="F914" s="1">
        <f ca="1">IFERROR(__xludf.DUMMYFUNCTION("""COMPUTED_VALUE"""),17786666)</f>
        <v>17786666</v>
      </c>
    </row>
    <row r="915" spans="1:6" x14ac:dyDescent="0.2">
      <c r="A915" s="2">
        <f ca="1">IFERROR(__xludf.DUMMYFUNCTION("""COMPUTED_VALUE"""),43605.6666666666)</f>
        <v>43605.666666666599</v>
      </c>
      <c r="B915" s="1">
        <f ca="1">IFERROR(__xludf.DUMMYFUNCTION("""COMPUTED_VALUE"""),13.52)</f>
        <v>13.52</v>
      </c>
      <c r="C915" s="1">
        <f ca="1">IFERROR(__xludf.DUMMYFUNCTION("""COMPUTED_VALUE"""),13.73)</f>
        <v>13.73</v>
      </c>
      <c r="D915" s="1">
        <f ca="1">IFERROR(__xludf.DUMMYFUNCTION("""COMPUTED_VALUE"""),13.02)</f>
        <v>13.02</v>
      </c>
      <c r="E915" s="1">
        <f ca="1">IFERROR(__xludf.DUMMYFUNCTION("""COMPUTED_VALUE"""),13.69)</f>
        <v>13.69</v>
      </c>
      <c r="F915" s="1">
        <f ca="1">IFERROR(__xludf.DUMMYFUNCTION("""COMPUTED_VALUE"""),20526195)</f>
        <v>20526195</v>
      </c>
    </row>
    <row r="916" spans="1:6" x14ac:dyDescent="0.2">
      <c r="A916" s="2">
        <f ca="1">IFERROR(__xludf.DUMMYFUNCTION("""COMPUTED_VALUE"""),43606.6666666666)</f>
        <v>43606.666666666599</v>
      </c>
      <c r="B916" s="1">
        <f ca="1">IFERROR(__xludf.DUMMYFUNCTION("""COMPUTED_VALUE"""),13.18)</f>
        <v>13.18</v>
      </c>
      <c r="C916" s="1">
        <f ca="1">IFERROR(__xludf.DUMMYFUNCTION("""COMPUTED_VALUE"""),13.83)</f>
        <v>13.83</v>
      </c>
      <c r="D916" s="1">
        <f ca="1">IFERROR(__xludf.DUMMYFUNCTION("""COMPUTED_VALUE"""),13.07)</f>
        <v>13.07</v>
      </c>
      <c r="E916" s="1">
        <f ca="1">IFERROR(__xludf.DUMMYFUNCTION("""COMPUTED_VALUE"""),13.67)</f>
        <v>13.67</v>
      </c>
      <c r="F916" s="1">
        <f ca="1">IFERROR(__xludf.DUMMYFUNCTION("""COMPUTED_VALUE"""),18003899)</f>
        <v>18003899</v>
      </c>
    </row>
    <row r="917" spans="1:6" x14ac:dyDescent="0.2">
      <c r="A917" s="2">
        <f ca="1">IFERROR(__xludf.DUMMYFUNCTION("""COMPUTED_VALUE"""),43607.6666666666)</f>
        <v>43607.666666666599</v>
      </c>
      <c r="B917" s="1">
        <f ca="1">IFERROR(__xludf.DUMMYFUNCTION("""COMPUTED_VALUE"""),13.27)</f>
        <v>13.27</v>
      </c>
      <c r="C917" s="1">
        <f ca="1">IFERROR(__xludf.DUMMYFUNCTION("""COMPUTED_VALUE"""),13.6)</f>
        <v>13.6</v>
      </c>
      <c r="D917" s="1">
        <f ca="1">IFERROR(__xludf.DUMMYFUNCTION("""COMPUTED_VALUE"""),12.79)</f>
        <v>12.79</v>
      </c>
      <c r="E917" s="1">
        <f ca="1">IFERROR(__xludf.DUMMYFUNCTION("""COMPUTED_VALUE"""),12.85)</f>
        <v>12.85</v>
      </c>
      <c r="F917" s="1">
        <f ca="1">IFERROR(__xludf.DUMMYFUNCTION("""COMPUTED_VALUE"""),18685187)</f>
        <v>18685187</v>
      </c>
    </row>
    <row r="918" spans="1:6" x14ac:dyDescent="0.2">
      <c r="A918" s="2">
        <f ca="1">IFERROR(__xludf.DUMMYFUNCTION("""COMPUTED_VALUE"""),43608.6666666666)</f>
        <v>43608.666666666599</v>
      </c>
      <c r="B918" s="1">
        <f ca="1">IFERROR(__xludf.DUMMYFUNCTION("""COMPUTED_VALUE"""),12.96)</f>
        <v>12.96</v>
      </c>
      <c r="C918" s="1">
        <f ca="1">IFERROR(__xludf.DUMMYFUNCTION("""COMPUTED_VALUE"""),13.3)</f>
        <v>13.3</v>
      </c>
      <c r="D918" s="1">
        <f ca="1">IFERROR(__xludf.DUMMYFUNCTION("""COMPUTED_VALUE"""),12.41)</f>
        <v>12.41</v>
      </c>
      <c r="E918" s="1">
        <f ca="1">IFERROR(__xludf.DUMMYFUNCTION("""COMPUTED_VALUE"""),13.03)</f>
        <v>13.03</v>
      </c>
      <c r="F918" s="1">
        <f ca="1">IFERROR(__xludf.DUMMYFUNCTION("""COMPUTED_VALUE"""),26547142)</f>
        <v>26547142</v>
      </c>
    </row>
    <row r="919" spans="1:6" x14ac:dyDescent="0.2">
      <c r="A919" s="2">
        <f ca="1">IFERROR(__xludf.DUMMYFUNCTION("""COMPUTED_VALUE"""),43609.6666666666)</f>
        <v>43609.666666666599</v>
      </c>
      <c r="B919" s="1">
        <f ca="1">IFERROR(__xludf.DUMMYFUNCTION("""COMPUTED_VALUE"""),13.32)</f>
        <v>13.32</v>
      </c>
      <c r="C919" s="1">
        <f ca="1">IFERROR(__xludf.DUMMYFUNCTION("""COMPUTED_VALUE"""),13.33)</f>
        <v>13.33</v>
      </c>
      <c r="D919" s="1">
        <f ca="1">IFERROR(__xludf.DUMMYFUNCTION("""COMPUTED_VALUE"""),12.58)</f>
        <v>12.58</v>
      </c>
      <c r="E919" s="1">
        <f ca="1">IFERROR(__xludf.DUMMYFUNCTION("""COMPUTED_VALUE"""),12.71)</f>
        <v>12.71</v>
      </c>
      <c r="F919" s="1">
        <f ca="1">IFERROR(__xludf.DUMMYFUNCTION("""COMPUTED_VALUE"""),14136572)</f>
        <v>14136572</v>
      </c>
    </row>
    <row r="920" spans="1:6" x14ac:dyDescent="0.2">
      <c r="A920" s="2">
        <f ca="1">IFERROR(__xludf.DUMMYFUNCTION("""COMPUTED_VALUE"""),43613.6666666666)</f>
        <v>43613.666666666599</v>
      </c>
      <c r="B920" s="1">
        <f ca="1">IFERROR(__xludf.DUMMYFUNCTION("""COMPUTED_VALUE"""),12.75)</f>
        <v>12.75</v>
      </c>
      <c r="C920" s="1">
        <f ca="1">IFERROR(__xludf.DUMMYFUNCTION("""COMPUTED_VALUE"""),13)</f>
        <v>13</v>
      </c>
      <c r="D920" s="1">
        <f ca="1">IFERROR(__xludf.DUMMYFUNCTION("""COMPUTED_VALUE"""),12.52)</f>
        <v>12.52</v>
      </c>
      <c r="E920" s="1">
        <f ca="1">IFERROR(__xludf.DUMMYFUNCTION("""COMPUTED_VALUE"""),12.58)</f>
        <v>12.58</v>
      </c>
      <c r="F920" s="1">
        <f ca="1">IFERROR(__xludf.DUMMYFUNCTION("""COMPUTED_VALUE"""),10312901)</f>
        <v>10312901</v>
      </c>
    </row>
    <row r="921" spans="1:6" x14ac:dyDescent="0.2">
      <c r="A921" s="2">
        <f ca="1">IFERROR(__xludf.DUMMYFUNCTION("""COMPUTED_VALUE"""),43614.6666666666)</f>
        <v>43614.666666666599</v>
      </c>
      <c r="B921" s="1">
        <f ca="1">IFERROR(__xludf.DUMMYFUNCTION("""COMPUTED_VALUE"""),12.47)</f>
        <v>12.47</v>
      </c>
      <c r="C921" s="1">
        <f ca="1">IFERROR(__xludf.DUMMYFUNCTION("""COMPUTED_VALUE"""),12.83)</f>
        <v>12.83</v>
      </c>
      <c r="D921" s="1">
        <f ca="1">IFERROR(__xludf.DUMMYFUNCTION("""COMPUTED_VALUE"""),12.34)</f>
        <v>12.34</v>
      </c>
      <c r="E921" s="1">
        <f ca="1">IFERROR(__xludf.DUMMYFUNCTION("""COMPUTED_VALUE"""),12.66)</f>
        <v>12.66</v>
      </c>
      <c r="F921" s="1">
        <f ca="1">IFERROR(__xludf.DUMMYFUNCTION("""COMPUTED_VALUE"""),11968638)</f>
        <v>11968638</v>
      </c>
    </row>
    <row r="922" spans="1:6" x14ac:dyDescent="0.2">
      <c r="A922" s="2">
        <f ca="1">IFERROR(__xludf.DUMMYFUNCTION("""COMPUTED_VALUE"""),43615.6666666666)</f>
        <v>43615.666666666599</v>
      </c>
      <c r="B922" s="1">
        <f ca="1">IFERROR(__xludf.DUMMYFUNCTION("""COMPUTED_VALUE"""),12.58)</f>
        <v>12.58</v>
      </c>
      <c r="C922" s="1">
        <f ca="1">IFERROR(__xludf.DUMMYFUNCTION("""COMPUTED_VALUE"""),12.82)</f>
        <v>12.82</v>
      </c>
      <c r="D922" s="1">
        <f ca="1">IFERROR(__xludf.DUMMYFUNCTION("""COMPUTED_VALUE"""),12.47)</f>
        <v>12.47</v>
      </c>
      <c r="E922" s="1">
        <f ca="1">IFERROR(__xludf.DUMMYFUNCTION("""COMPUTED_VALUE"""),12.55)</f>
        <v>12.55</v>
      </c>
      <c r="F922" s="1">
        <f ca="1">IFERROR(__xludf.DUMMYFUNCTION("""COMPUTED_VALUE"""),7926475)</f>
        <v>7926475</v>
      </c>
    </row>
    <row r="923" spans="1:6" x14ac:dyDescent="0.2">
      <c r="A923" s="2">
        <f ca="1">IFERROR(__xludf.DUMMYFUNCTION("""COMPUTED_VALUE"""),43616.6666666666)</f>
        <v>43616.666666666599</v>
      </c>
      <c r="B923" s="1">
        <f ca="1">IFERROR(__xludf.DUMMYFUNCTION("""COMPUTED_VALUE"""),12.34)</f>
        <v>12.34</v>
      </c>
      <c r="C923" s="1">
        <f ca="1">IFERROR(__xludf.DUMMYFUNCTION("""COMPUTED_VALUE"""),12.66)</f>
        <v>12.66</v>
      </c>
      <c r="D923" s="1">
        <f ca="1">IFERROR(__xludf.DUMMYFUNCTION("""COMPUTED_VALUE"""),12.27)</f>
        <v>12.27</v>
      </c>
      <c r="E923" s="1">
        <f ca="1">IFERROR(__xludf.DUMMYFUNCTION("""COMPUTED_VALUE"""),12.34)</f>
        <v>12.34</v>
      </c>
      <c r="F923" s="1">
        <f ca="1">IFERROR(__xludf.DUMMYFUNCTION("""COMPUTED_VALUE"""),10406732)</f>
        <v>10406732</v>
      </c>
    </row>
    <row r="924" spans="1:6" x14ac:dyDescent="0.2">
      <c r="A924" s="2">
        <f ca="1">IFERROR(__xludf.DUMMYFUNCTION("""COMPUTED_VALUE"""),43619.6666666666)</f>
        <v>43619.666666666599</v>
      </c>
      <c r="B924" s="1">
        <f ca="1">IFERROR(__xludf.DUMMYFUNCTION("""COMPUTED_VALUE"""),12.37)</f>
        <v>12.37</v>
      </c>
      <c r="C924" s="1">
        <f ca="1">IFERROR(__xludf.DUMMYFUNCTION("""COMPUTED_VALUE"""),12.45)</f>
        <v>12.45</v>
      </c>
      <c r="D924" s="1">
        <f ca="1">IFERROR(__xludf.DUMMYFUNCTION("""COMPUTED_VALUE"""),11.8)</f>
        <v>11.8</v>
      </c>
      <c r="E924" s="1">
        <f ca="1">IFERROR(__xludf.DUMMYFUNCTION("""COMPUTED_VALUE"""),11.93)</f>
        <v>11.93</v>
      </c>
      <c r="F924" s="1">
        <f ca="1">IFERROR(__xludf.DUMMYFUNCTION("""COMPUTED_VALUE"""),13064410)</f>
        <v>13064410</v>
      </c>
    </row>
    <row r="925" spans="1:6" x14ac:dyDescent="0.2">
      <c r="A925" s="2">
        <f ca="1">IFERROR(__xludf.DUMMYFUNCTION("""COMPUTED_VALUE"""),43620.6666666666)</f>
        <v>43620.666666666599</v>
      </c>
      <c r="B925" s="1">
        <f ca="1">IFERROR(__xludf.DUMMYFUNCTION("""COMPUTED_VALUE"""),12.07)</f>
        <v>12.07</v>
      </c>
      <c r="C925" s="1">
        <f ca="1">IFERROR(__xludf.DUMMYFUNCTION("""COMPUTED_VALUE"""),12.93)</f>
        <v>12.93</v>
      </c>
      <c r="D925" s="1">
        <f ca="1">IFERROR(__xludf.DUMMYFUNCTION("""COMPUTED_VALUE"""),11.97)</f>
        <v>11.97</v>
      </c>
      <c r="E925" s="1">
        <f ca="1">IFERROR(__xludf.DUMMYFUNCTION("""COMPUTED_VALUE"""),12.91)</f>
        <v>12.91</v>
      </c>
      <c r="F925" s="1">
        <f ca="1">IFERROR(__xludf.DUMMYFUNCTION("""COMPUTED_VALUE"""),13807522)</f>
        <v>13807522</v>
      </c>
    </row>
    <row r="926" spans="1:6" x14ac:dyDescent="0.2">
      <c r="A926" s="2">
        <f ca="1">IFERROR(__xludf.DUMMYFUNCTION("""COMPUTED_VALUE"""),43621.6666666666)</f>
        <v>43621.666666666599</v>
      </c>
      <c r="B926" s="1">
        <f ca="1">IFERROR(__xludf.DUMMYFUNCTION("""COMPUTED_VALUE"""),13.25)</f>
        <v>13.25</v>
      </c>
      <c r="C926" s="1">
        <f ca="1">IFERROR(__xludf.DUMMYFUNCTION("""COMPUTED_VALUE"""),13.42)</f>
        <v>13.42</v>
      </c>
      <c r="D926" s="1">
        <f ca="1">IFERROR(__xludf.DUMMYFUNCTION("""COMPUTED_VALUE"""),12.79)</f>
        <v>12.79</v>
      </c>
      <c r="E926" s="1">
        <f ca="1">IFERROR(__xludf.DUMMYFUNCTION("""COMPUTED_VALUE"""),13.11)</f>
        <v>13.11</v>
      </c>
      <c r="F926" s="1">
        <f ca="1">IFERROR(__xludf.DUMMYFUNCTION("""COMPUTED_VALUE"""),13510756)</f>
        <v>13510756</v>
      </c>
    </row>
    <row r="927" spans="1:6" x14ac:dyDescent="0.2">
      <c r="A927" s="2">
        <f ca="1">IFERROR(__xludf.DUMMYFUNCTION("""COMPUTED_VALUE"""),43622.6666666666)</f>
        <v>43622.666666666599</v>
      </c>
      <c r="B927" s="1">
        <f ca="1">IFERROR(__xludf.DUMMYFUNCTION("""COMPUTED_VALUE"""),13.63)</f>
        <v>13.63</v>
      </c>
      <c r="C927" s="1">
        <f ca="1">IFERROR(__xludf.DUMMYFUNCTION("""COMPUTED_VALUE"""),14.07)</f>
        <v>14.07</v>
      </c>
      <c r="D927" s="1">
        <f ca="1">IFERROR(__xludf.DUMMYFUNCTION("""COMPUTED_VALUE"""),13.45)</f>
        <v>13.45</v>
      </c>
      <c r="E927" s="1">
        <f ca="1">IFERROR(__xludf.DUMMYFUNCTION("""COMPUTED_VALUE"""),13.73)</f>
        <v>13.73</v>
      </c>
      <c r="F927" s="1">
        <f ca="1">IFERROR(__xludf.DUMMYFUNCTION("""COMPUTED_VALUE"""),20242151)</f>
        <v>20242151</v>
      </c>
    </row>
    <row r="928" spans="1:6" x14ac:dyDescent="0.2">
      <c r="A928" s="2">
        <f ca="1">IFERROR(__xludf.DUMMYFUNCTION("""COMPUTED_VALUE"""),43623.6666666666)</f>
        <v>43623.666666666599</v>
      </c>
      <c r="B928" s="1">
        <f ca="1">IFERROR(__xludf.DUMMYFUNCTION("""COMPUTED_VALUE"""),13.67)</f>
        <v>13.67</v>
      </c>
      <c r="C928" s="1">
        <f ca="1">IFERROR(__xludf.DUMMYFUNCTION("""COMPUTED_VALUE"""),14.06)</f>
        <v>14.06</v>
      </c>
      <c r="D928" s="1">
        <f ca="1">IFERROR(__xludf.DUMMYFUNCTION("""COMPUTED_VALUE"""),13.57)</f>
        <v>13.57</v>
      </c>
      <c r="E928" s="1">
        <f ca="1">IFERROR(__xludf.DUMMYFUNCTION("""COMPUTED_VALUE"""),13.63)</f>
        <v>13.63</v>
      </c>
      <c r="F928" s="1">
        <f ca="1">IFERROR(__xludf.DUMMYFUNCTION("""COMPUTED_VALUE"""),16003527)</f>
        <v>16003527</v>
      </c>
    </row>
    <row r="929" spans="1:6" x14ac:dyDescent="0.2">
      <c r="A929" s="2">
        <f ca="1">IFERROR(__xludf.DUMMYFUNCTION("""COMPUTED_VALUE"""),43626.6666666666)</f>
        <v>43626.666666666599</v>
      </c>
      <c r="B929" s="1">
        <f ca="1">IFERROR(__xludf.DUMMYFUNCTION("""COMPUTED_VALUE"""),14.02)</f>
        <v>14.02</v>
      </c>
      <c r="C929" s="1">
        <f ca="1">IFERROR(__xludf.DUMMYFUNCTION("""COMPUTED_VALUE"""),14.46)</f>
        <v>14.46</v>
      </c>
      <c r="D929" s="1">
        <f ca="1">IFERROR(__xludf.DUMMYFUNCTION("""COMPUTED_VALUE"""),13.93)</f>
        <v>13.93</v>
      </c>
      <c r="E929" s="1">
        <f ca="1">IFERROR(__xludf.DUMMYFUNCTION("""COMPUTED_VALUE"""),14.19)</f>
        <v>14.19</v>
      </c>
      <c r="F929" s="1">
        <f ca="1">IFERROR(__xludf.DUMMYFUNCTION("""COMPUTED_VALUE"""),10585039)</f>
        <v>10585039</v>
      </c>
    </row>
    <row r="930" spans="1:6" x14ac:dyDescent="0.2">
      <c r="A930" s="2">
        <f ca="1">IFERROR(__xludf.DUMMYFUNCTION("""COMPUTED_VALUE"""),43627.6666666666)</f>
        <v>43627.666666666599</v>
      </c>
      <c r="B930" s="1">
        <f ca="1">IFERROR(__xludf.DUMMYFUNCTION("""COMPUTED_VALUE"""),14.61)</f>
        <v>14.61</v>
      </c>
      <c r="C930" s="1">
        <f ca="1">IFERROR(__xludf.DUMMYFUNCTION("""COMPUTED_VALUE"""),14.73)</f>
        <v>14.73</v>
      </c>
      <c r="D930" s="1">
        <f ca="1">IFERROR(__xludf.DUMMYFUNCTION("""COMPUTED_VALUE"""),14.23)</f>
        <v>14.23</v>
      </c>
      <c r="E930" s="1">
        <f ca="1">IFERROR(__xludf.DUMMYFUNCTION("""COMPUTED_VALUE"""),14.47)</f>
        <v>14.47</v>
      </c>
      <c r="F930" s="1">
        <f ca="1">IFERROR(__xludf.DUMMYFUNCTION("""COMPUTED_VALUE"""),11653537)</f>
        <v>11653537</v>
      </c>
    </row>
    <row r="931" spans="1:6" x14ac:dyDescent="0.2">
      <c r="A931" s="2">
        <f ca="1">IFERROR(__xludf.DUMMYFUNCTION("""COMPUTED_VALUE"""),43628.6666666666)</f>
        <v>43628.666666666599</v>
      </c>
      <c r="B931" s="1">
        <f ca="1">IFERROR(__xludf.DUMMYFUNCTION("""COMPUTED_VALUE"""),14.86)</f>
        <v>14.86</v>
      </c>
      <c r="C931" s="1">
        <f ca="1">IFERROR(__xludf.DUMMYFUNCTION("""COMPUTED_VALUE"""),14.89)</f>
        <v>14.89</v>
      </c>
      <c r="D931" s="1">
        <f ca="1">IFERROR(__xludf.DUMMYFUNCTION("""COMPUTED_VALUE"""),13.93)</f>
        <v>13.93</v>
      </c>
      <c r="E931" s="1">
        <f ca="1">IFERROR(__xludf.DUMMYFUNCTION("""COMPUTED_VALUE"""),13.95)</f>
        <v>13.95</v>
      </c>
      <c r="F931" s="1">
        <f ca="1">IFERROR(__xludf.DUMMYFUNCTION("""COMPUTED_VALUE"""),15197544)</f>
        <v>15197544</v>
      </c>
    </row>
    <row r="932" spans="1:6" x14ac:dyDescent="0.2">
      <c r="A932" s="2">
        <f ca="1">IFERROR(__xludf.DUMMYFUNCTION("""COMPUTED_VALUE"""),43629.6666666666)</f>
        <v>43629.666666666599</v>
      </c>
      <c r="B932" s="1">
        <f ca="1">IFERROR(__xludf.DUMMYFUNCTION("""COMPUTED_VALUE"""),14.03)</f>
        <v>14.03</v>
      </c>
      <c r="C932" s="1">
        <f ca="1">IFERROR(__xludf.DUMMYFUNCTION("""COMPUTED_VALUE"""),14.33)</f>
        <v>14.33</v>
      </c>
      <c r="D932" s="1">
        <f ca="1">IFERROR(__xludf.DUMMYFUNCTION("""COMPUTED_VALUE"""),13.83)</f>
        <v>13.83</v>
      </c>
      <c r="E932" s="1">
        <f ca="1">IFERROR(__xludf.DUMMYFUNCTION("""COMPUTED_VALUE"""),14.26)</f>
        <v>14.26</v>
      </c>
      <c r="F932" s="1">
        <f ca="1">IFERROR(__xludf.DUMMYFUNCTION("""COMPUTED_VALUE"""),8168260)</f>
        <v>8168260</v>
      </c>
    </row>
    <row r="933" spans="1:6" x14ac:dyDescent="0.2">
      <c r="A933" s="2">
        <f ca="1">IFERROR(__xludf.DUMMYFUNCTION("""COMPUTED_VALUE"""),43630.6666666666)</f>
        <v>43630.666666666599</v>
      </c>
      <c r="B933" s="1">
        <f ca="1">IFERROR(__xludf.DUMMYFUNCTION("""COMPUTED_VALUE"""),14.08)</f>
        <v>14.08</v>
      </c>
      <c r="C933" s="1">
        <f ca="1">IFERROR(__xludf.DUMMYFUNCTION("""COMPUTED_VALUE"""),14.44)</f>
        <v>14.44</v>
      </c>
      <c r="D933" s="1">
        <f ca="1">IFERROR(__xludf.DUMMYFUNCTION("""COMPUTED_VALUE"""),14.03)</f>
        <v>14.03</v>
      </c>
      <c r="E933" s="1">
        <f ca="1">IFERROR(__xludf.DUMMYFUNCTION("""COMPUTED_VALUE"""),14.33)</f>
        <v>14.33</v>
      </c>
      <c r="F933" s="1">
        <f ca="1">IFERROR(__xludf.DUMMYFUNCTION("""COMPUTED_VALUE"""),7433402)</f>
        <v>7433402</v>
      </c>
    </row>
    <row r="934" spans="1:6" x14ac:dyDescent="0.2">
      <c r="A934" s="2">
        <f ca="1">IFERROR(__xludf.DUMMYFUNCTION("""COMPUTED_VALUE"""),43633.6666666666)</f>
        <v>43633.666666666599</v>
      </c>
      <c r="B934" s="1">
        <f ca="1">IFERROR(__xludf.DUMMYFUNCTION("""COMPUTED_VALUE"""),14.37)</f>
        <v>14.37</v>
      </c>
      <c r="C934" s="1">
        <f ca="1">IFERROR(__xludf.DUMMYFUNCTION("""COMPUTED_VALUE"""),15.13)</f>
        <v>15.13</v>
      </c>
      <c r="D934" s="1">
        <f ca="1">IFERROR(__xludf.DUMMYFUNCTION("""COMPUTED_VALUE"""),14.28)</f>
        <v>14.28</v>
      </c>
      <c r="E934" s="1">
        <f ca="1">IFERROR(__xludf.DUMMYFUNCTION("""COMPUTED_VALUE"""),15)</f>
        <v>15</v>
      </c>
      <c r="F934" s="1">
        <f ca="1">IFERROR(__xludf.DUMMYFUNCTION("""COMPUTED_VALUE"""),12316803)</f>
        <v>12316803</v>
      </c>
    </row>
    <row r="935" spans="1:6" x14ac:dyDescent="0.2">
      <c r="A935" s="2">
        <f ca="1">IFERROR(__xludf.DUMMYFUNCTION("""COMPUTED_VALUE"""),43634.6666666666)</f>
        <v>43634.666666666599</v>
      </c>
      <c r="B935" s="1">
        <f ca="1">IFERROR(__xludf.DUMMYFUNCTION("""COMPUTED_VALUE"""),15.25)</f>
        <v>15.25</v>
      </c>
      <c r="C935" s="1">
        <f ca="1">IFERROR(__xludf.DUMMYFUNCTION("""COMPUTED_VALUE"""),15.65)</f>
        <v>15.65</v>
      </c>
      <c r="D935" s="1">
        <f ca="1">IFERROR(__xludf.DUMMYFUNCTION("""COMPUTED_VALUE"""),14.84)</f>
        <v>14.84</v>
      </c>
      <c r="E935" s="1">
        <f ca="1">IFERROR(__xludf.DUMMYFUNCTION("""COMPUTED_VALUE"""),14.98)</f>
        <v>14.98</v>
      </c>
      <c r="F935" s="1">
        <f ca="1">IFERROR(__xludf.DUMMYFUNCTION("""COMPUTED_VALUE"""),12715788)</f>
        <v>12715788</v>
      </c>
    </row>
    <row r="936" spans="1:6" x14ac:dyDescent="0.2">
      <c r="A936" s="2">
        <f ca="1">IFERROR(__xludf.DUMMYFUNCTION("""COMPUTED_VALUE"""),43635.6666666666)</f>
        <v>43635.666666666599</v>
      </c>
      <c r="B936" s="1">
        <f ca="1">IFERROR(__xludf.DUMMYFUNCTION("""COMPUTED_VALUE"""),15.01)</f>
        <v>15.01</v>
      </c>
      <c r="C936" s="1">
        <f ca="1">IFERROR(__xludf.DUMMYFUNCTION("""COMPUTED_VALUE"""),15.18)</f>
        <v>15.18</v>
      </c>
      <c r="D936" s="1">
        <f ca="1">IFERROR(__xludf.DUMMYFUNCTION("""COMPUTED_VALUE"""),14.74)</f>
        <v>14.74</v>
      </c>
      <c r="E936" s="1">
        <f ca="1">IFERROR(__xludf.DUMMYFUNCTION("""COMPUTED_VALUE"""),15.1)</f>
        <v>15.1</v>
      </c>
      <c r="F936" s="1">
        <f ca="1">IFERROR(__xludf.DUMMYFUNCTION("""COMPUTED_VALUE"""),6575135)</f>
        <v>6575135</v>
      </c>
    </row>
    <row r="937" spans="1:6" x14ac:dyDescent="0.2">
      <c r="A937" s="2">
        <f ca="1">IFERROR(__xludf.DUMMYFUNCTION("""COMPUTED_VALUE"""),43636.6666666666)</f>
        <v>43636.666666666599</v>
      </c>
      <c r="B937" s="1">
        <f ca="1">IFERROR(__xludf.DUMMYFUNCTION("""COMPUTED_VALUE"""),14.87)</f>
        <v>14.87</v>
      </c>
      <c r="C937" s="1">
        <f ca="1">IFERROR(__xludf.DUMMYFUNCTION("""COMPUTED_VALUE"""),15.13)</f>
        <v>15.13</v>
      </c>
      <c r="D937" s="1">
        <f ca="1">IFERROR(__xludf.DUMMYFUNCTION("""COMPUTED_VALUE"""),14.42)</f>
        <v>14.42</v>
      </c>
      <c r="E937" s="1">
        <f ca="1">IFERROR(__xludf.DUMMYFUNCTION("""COMPUTED_VALUE"""),14.64)</f>
        <v>14.64</v>
      </c>
      <c r="F937" s="1">
        <f ca="1">IFERROR(__xludf.DUMMYFUNCTION("""COMPUTED_VALUE"""),11863462)</f>
        <v>11863462</v>
      </c>
    </row>
    <row r="938" spans="1:6" x14ac:dyDescent="0.2">
      <c r="A938" s="2">
        <f ca="1">IFERROR(__xludf.DUMMYFUNCTION("""COMPUTED_VALUE"""),43637.6666666666)</f>
        <v>43637.666666666599</v>
      </c>
      <c r="B938" s="1">
        <f ca="1">IFERROR(__xludf.DUMMYFUNCTION("""COMPUTED_VALUE"""),14.41)</f>
        <v>14.41</v>
      </c>
      <c r="C938" s="1">
        <f ca="1">IFERROR(__xludf.DUMMYFUNCTION("""COMPUTED_VALUE"""),14.81)</f>
        <v>14.81</v>
      </c>
      <c r="D938" s="1">
        <f ca="1">IFERROR(__xludf.DUMMYFUNCTION("""COMPUTED_VALUE"""),14.37)</f>
        <v>14.37</v>
      </c>
      <c r="E938" s="1">
        <f ca="1">IFERROR(__xludf.DUMMYFUNCTION("""COMPUTED_VALUE"""),14.79)</f>
        <v>14.79</v>
      </c>
      <c r="F938" s="1">
        <f ca="1">IFERROR(__xludf.DUMMYFUNCTION("""COMPUTED_VALUE"""),8202078)</f>
        <v>8202078</v>
      </c>
    </row>
    <row r="939" spans="1:6" x14ac:dyDescent="0.2">
      <c r="A939" s="2">
        <f ca="1">IFERROR(__xludf.DUMMYFUNCTION("""COMPUTED_VALUE"""),43640.6666666666)</f>
        <v>43640.666666666599</v>
      </c>
      <c r="B939" s="1">
        <f ca="1">IFERROR(__xludf.DUMMYFUNCTION("""COMPUTED_VALUE"""),14.88)</f>
        <v>14.88</v>
      </c>
      <c r="C939" s="1">
        <f ca="1">IFERROR(__xludf.DUMMYFUNCTION("""COMPUTED_VALUE"""),15.06)</f>
        <v>15.06</v>
      </c>
      <c r="D939" s="1">
        <f ca="1">IFERROR(__xludf.DUMMYFUNCTION("""COMPUTED_VALUE"""),14.73)</f>
        <v>14.73</v>
      </c>
      <c r="E939" s="1">
        <f ca="1">IFERROR(__xludf.DUMMYFUNCTION("""COMPUTED_VALUE"""),14.91)</f>
        <v>14.91</v>
      </c>
      <c r="F939" s="1">
        <f ca="1">IFERROR(__xludf.DUMMYFUNCTION("""COMPUTED_VALUE"""),5750771)</f>
        <v>5750771</v>
      </c>
    </row>
    <row r="940" spans="1:6" x14ac:dyDescent="0.2">
      <c r="A940" s="2">
        <f ca="1">IFERROR(__xludf.DUMMYFUNCTION("""COMPUTED_VALUE"""),43641.6666666666)</f>
        <v>43641.666666666599</v>
      </c>
      <c r="B940" s="1">
        <f ca="1">IFERROR(__xludf.DUMMYFUNCTION("""COMPUTED_VALUE"""),14.96)</f>
        <v>14.96</v>
      </c>
      <c r="C940" s="1">
        <f ca="1">IFERROR(__xludf.DUMMYFUNCTION("""COMPUTED_VALUE"""),15.02)</f>
        <v>15.02</v>
      </c>
      <c r="D940" s="1">
        <f ca="1">IFERROR(__xludf.DUMMYFUNCTION("""COMPUTED_VALUE"""),14.63)</f>
        <v>14.63</v>
      </c>
      <c r="E940" s="1">
        <f ca="1">IFERROR(__xludf.DUMMYFUNCTION("""COMPUTED_VALUE"""),14.65)</f>
        <v>14.65</v>
      </c>
      <c r="F940" s="1">
        <f ca="1">IFERROR(__xludf.DUMMYFUNCTION("""COMPUTED_VALUE"""),6182071)</f>
        <v>6182071</v>
      </c>
    </row>
    <row r="941" spans="1:6" x14ac:dyDescent="0.2">
      <c r="A941" s="2">
        <f ca="1">IFERROR(__xludf.DUMMYFUNCTION("""COMPUTED_VALUE"""),43642.6666666666)</f>
        <v>43642.666666666599</v>
      </c>
      <c r="B941" s="1">
        <f ca="1">IFERROR(__xludf.DUMMYFUNCTION("""COMPUTED_VALUE"""),14.69)</f>
        <v>14.69</v>
      </c>
      <c r="C941" s="1">
        <f ca="1">IFERROR(__xludf.DUMMYFUNCTION("""COMPUTED_VALUE"""),15.15)</f>
        <v>15.15</v>
      </c>
      <c r="D941" s="1">
        <f ca="1">IFERROR(__xludf.DUMMYFUNCTION("""COMPUTED_VALUE"""),14.54)</f>
        <v>14.54</v>
      </c>
      <c r="E941" s="1">
        <f ca="1">IFERROR(__xludf.DUMMYFUNCTION("""COMPUTED_VALUE"""),14.62)</f>
        <v>14.62</v>
      </c>
      <c r="F941" s="1">
        <f ca="1">IFERROR(__xludf.DUMMYFUNCTION("""COMPUTED_VALUE"""),8507208)</f>
        <v>8507208</v>
      </c>
    </row>
    <row r="942" spans="1:6" x14ac:dyDescent="0.2">
      <c r="A942" s="2">
        <f ca="1">IFERROR(__xludf.DUMMYFUNCTION("""COMPUTED_VALUE"""),43643.6666666666)</f>
        <v>43643.666666666599</v>
      </c>
      <c r="B942" s="1">
        <f ca="1">IFERROR(__xludf.DUMMYFUNCTION("""COMPUTED_VALUE"""),14.63)</f>
        <v>14.63</v>
      </c>
      <c r="C942" s="1">
        <f ca="1">IFERROR(__xludf.DUMMYFUNCTION("""COMPUTED_VALUE"""),14.86)</f>
        <v>14.86</v>
      </c>
      <c r="D942" s="1">
        <f ca="1">IFERROR(__xludf.DUMMYFUNCTION("""COMPUTED_VALUE"""),14.49)</f>
        <v>14.49</v>
      </c>
      <c r="E942" s="1">
        <f ca="1">IFERROR(__xludf.DUMMYFUNCTION("""COMPUTED_VALUE"""),14.86)</f>
        <v>14.86</v>
      </c>
      <c r="F942" s="1">
        <f ca="1">IFERROR(__xludf.DUMMYFUNCTION("""COMPUTED_VALUE"""),6339710)</f>
        <v>6339710</v>
      </c>
    </row>
    <row r="943" spans="1:6" x14ac:dyDescent="0.2">
      <c r="A943" s="2">
        <f ca="1">IFERROR(__xludf.DUMMYFUNCTION("""COMPUTED_VALUE"""),43644.6666666666)</f>
        <v>43644.666666666599</v>
      </c>
      <c r="B943" s="1">
        <f ca="1">IFERROR(__xludf.DUMMYFUNCTION("""COMPUTED_VALUE"""),14.73)</f>
        <v>14.73</v>
      </c>
      <c r="C943" s="1">
        <f ca="1">IFERROR(__xludf.DUMMYFUNCTION("""COMPUTED_VALUE"""),15.01)</f>
        <v>15.01</v>
      </c>
      <c r="D943" s="1">
        <f ca="1">IFERROR(__xludf.DUMMYFUNCTION("""COMPUTED_VALUE"""),14.72)</f>
        <v>14.72</v>
      </c>
      <c r="E943" s="1">
        <f ca="1">IFERROR(__xludf.DUMMYFUNCTION("""COMPUTED_VALUE"""),14.9)</f>
        <v>14.9</v>
      </c>
      <c r="F943" s="1">
        <f ca="1">IFERROR(__xludf.DUMMYFUNCTION("""COMPUTED_VALUE"""),6851384)</f>
        <v>6851384</v>
      </c>
    </row>
    <row r="944" spans="1:6" x14ac:dyDescent="0.2">
      <c r="A944" s="2">
        <f ca="1">IFERROR(__xludf.DUMMYFUNCTION("""COMPUTED_VALUE"""),43647.6666666666)</f>
        <v>43647.666666666599</v>
      </c>
      <c r="B944" s="1">
        <f ca="1">IFERROR(__xludf.DUMMYFUNCTION("""COMPUTED_VALUE"""),15.35)</f>
        <v>15.35</v>
      </c>
      <c r="C944" s="1">
        <f ca="1">IFERROR(__xludf.DUMMYFUNCTION("""COMPUTED_VALUE"""),15.54)</f>
        <v>15.54</v>
      </c>
      <c r="D944" s="1">
        <f ca="1">IFERROR(__xludf.DUMMYFUNCTION("""COMPUTED_VALUE"""),15.09)</f>
        <v>15.09</v>
      </c>
      <c r="E944" s="1">
        <f ca="1">IFERROR(__xludf.DUMMYFUNCTION("""COMPUTED_VALUE"""),15.14)</f>
        <v>15.14</v>
      </c>
      <c r="F944" s="1">
        <f ca="1">IFERROR(__xludf.DUMMYFUNCTION("""COMPUTED_VALUE"""),8237964)</f>
        <v>8237964</v>
      </c>
    </row>
    <row r="945" spans="1:6" x14ac:dyDescent="0.2">
      <c r="A945" s="2">
        <f ca="1">IFERROR(__xludf.DUMMYFUNCTION("""COMPUTED_VALUE"""),43648.6666666666)</f>
        <v>43648.666666666599</v>
      </c>
      <c r="B945" s="1">
        <f ca="1">IFERROR(__xludf.DUMMYFUNCTION("""COMPUTED_VALUE"""),15.26)</f>
        <v>15.26</v>
      </c>
      <c r="C945" s="1">
        <f ca="1">IFERROR(__xludf.DUMMYFUNCTION("""COMPUTED_VALUE"""),15.28)</f>
        <v>15.28</v>
      </c>
      <c r="D945" s="1">
        <f ca="1">IFERROR(__xludf.DUMMYFUNCTION("""COMPUTED_VALUE"""),14.81)</f>
        <v>14.81</v>
      </c>
      <c r="E945" s="1">
        <f ca="1">IFERROR(__xludf.DUMMYFUNCTION("""COMPUTED_VALUE"""),14.97)</f>
        <v>14.97</v>
      </c>
      <c r="F945" s="1">
        <f ca="1">IFERROR(__xludf.DUMMYFUNCTION("""COMPUTED_VALUE"""),9259027)</f>
        <v>9259027</v>
      </c>
    </row>
    <row r="946" spans="1:6" x14ac:dyDescent="0.2">
      <c r="A946" s="2">
        <f ca="1">IFERROR(__xludf.DUMMYFUNCTION("""COMPUTED_VALUE"""),43649.5416666666)</f>
        <v>43649.541666666599</v>
      </c>
      <c r="B946" s="1">
        <f ca="1">IFERROR(__xludf.DUMMYFUNCTION("""COMPUTED_VALUE"""),15.96)</f>
        <v>15.96</v>
      </c>
      <c r="C946" s="1">
        <f ca="1">IFERROR(__xludf.DUMMYFUNCTION("""COMPUTED_VALUE"""),16.1)</f>
        <v>16.100000000000001</v>
      </c>
      <c r="D946" s="1">
        <f ca="1">IFERROR(__xludf.DUMMYFUNCTION("""COMPUTED_VALUE"""),15.63)</f>
        <v>15.63</v>
      </c>
      <c r="E946" s="1">
        <f ca="1">IFERROR(__xludf.DUMMYFUNCTION("""COMPUTED_VALUE"""),15.66)</f>
        <v>15.66</v>
      </c>
      <c r="F946" s="1">
        <f ca="1">IFERROR(__xludf.DUMMYFUNCTION("""COMPUTED_VALUE"""),14201148)</f>
        <v>14201148</v>
      </c>
    </row>
    <row r="947" spans="1:6" x14ac:dyDescent="0.2">
      <c r="A947" s="2">
        <f ca="1">IFERROR(__xludf.DUMMYFUNCTION("""COMPUTED_VALUE"""),43651.6666666666)</f>
        <v>43651.666666666599</v>
      </c>
      <c r="B947" s="1">
        <f ca="1">IFERROR(__xludf.DUMMYFUNCTION("""COMPUTED_VALUE"""),15.64)</f>
        <v>15.64</v>
      </c>
      <c r="C947" s="1">
        <f ca="1">IFERROR(__xludf.DUMMYFUNCTION("""COMPUTED_VALUE"""),15.7)</f>
        <v>15.7</v>
      </c>
      <c r="D947" s="1">
        <f ca="1">IFERROR(__xludf.DUMMYFUNCTION("""COMPUTED_VALUE"""),15.39)</f>
        <v>15.39</v>
      </c>
      <c r="E947" s="1">
        <f ca="1">IFERROR(__xludf.DUMMYFUNCTION("""COMPUTED_VALUE"""),15.54)</f>
        <v>15.54</v>
      </c>
      <c r="F947" s="1">
        <f ca="1">IFERROR(__xludf.DUMMYFUNCTION("""COMPUTED_VALUE"""),7065738)</f>
        <v>7065738</v>
      </c>
    </row>
    <row r="948" spans="1:6" x14ac:dyDescent="0.2">
      <c r="A948" s="2">
        <f ca="1">IFERROR(__xludf.DUMMYFUNCTION("""COMPUTED_VALUE"""),43654.6666666666)</f>
        <v>43654.666666666599</v>
      </c>
      <c r="B948" s="1">
        <f ca="1">IFERROR(__xludf.DUMMYFUNCTION("""COMPUTED_VALUE"""),15.42)</f>
        <v>15.42</v>
      </c>
      <c r="C948" s="1">
        <f ca="1">IFERROR(__xludf.DUMMYFUNCTION("""COMPUTED_VALUE"""),15.48)</f>
        <v>15.48</v>
      </c>
      <c r="D948" s="1">
        <f ca="1">IFERROR(__xludf.DUMMYFUNCTION("""COMPUTED_VALUE"""),15.24)</f>
        <v>15.24</v>
      </c>
      <c r="E948" s="1">
        <f ca="1">IFERROR(__xludf.DUMMYFUNCTION("""COMPUTED_VALUE"""),15.36)</f>
        <v>15.36</v>
      </c>
      <c r="F948" s="1">
        <f ca="1">IFERROR(__xludf.DUMMYFUNCTION("""COMPUTED_VALUE"""),5880542)</f>
        <v>5880542</v>
      </c>
    </row>
    <row r="949" spans="1:6" x14ac:dyDescent="0.2">
      <c r="A949" s="2">
        <f ca="1">IFERROR(__xludf.DUMMYFUNCTION("""COMPUTED_VALUE"""),43655.6666666666)</f>
        <v>43655.666666666599</v>
      </c>
      <c r="B949" s="1">
        <f ca="1">IFERROR(__xludf.DUMMYFUNCTION("""COMPUTED_VALUE"""),15.26)</f>
        <v>15.26</v>
      </c>
      <c r="C949" s="1">
        <f ca="1">IFERROR(__xludf.DUMMYFUNCTION("""COMPUTED_VALUE"""),15.4)</f>
        <v>15.4</v>
      </c>
      <c r="D949" s="1">
        <f ca="1">IFERROR(__xludf.DUMMYFUNCTION("""COMPUTED_VALUE"""),15.15)</f>
        <v>15.15</v>
      </c>
      <c r="E949" s="1">
        <f ca="1">IFERROR(__xludf.DUMMYFUNCTION("""COMPUTED_VALUE"""),15.34)</f>
        <v>15.34</v>
      </c>
      <c r="F949" s="1">
        <f ca="1">IFERROR(__xludf.DUMMYFUNCTION("""COMPUTED_VALUE"""),6190835)</f>
        <v>6190835</v>
      </c>
    </row>
    <row r="950" spans="1:6" x14ac:dyDescent="0.2">
      <c r="A950" s="2">
        <f ca="1">IFERROR(__xludf.DUMMYFUNCTION("""COMPUTED_VALUE"""),43656.6666666666)</f>
        <v>43656.666666666599</v>
      </c>
      <c r="B950" s="1">
        <f ca="1">IFERROR(__xludf.DUMMYFUNCTION("""COMPUTED_VALUE"""),15.61)</f>
        <v>15.61</v>
      </c>
      <c r="C950" s="1">
        <f ca="1">IFERROR(__xludf.DUMMYFUNCTION("""COMPUTED_VALUE"""),15.93)</f>
        <v>15.93</v>
      </c>
      <c r="D950" s="1">
        <f ca="1">IFERROR(__xludf.DUMMYFUNCTION("""COMPUTED_VALUE"""),15.54)</f>
        <v>15.54</v>
      </c>
      <c r="E950" s="1">
        <f ca="1">IFERROR(__xludf.DUMMYFUNCTION("""COMPUTED_VALUE"""),15.93)</f>
        <v>15.93</v>
      </c>
      <c r="F950" s="1">
        <f ca="1">IFERROR(__xludf.DUMMYFUNCTION("""COMPUTED_VALUE"""),9145736)</f>
        <v>9145736</v>
      </c>
    </row>
    <row r="951" spans="1:6" x14ac:dyDescent="0.2">
      <c r="A951" s="2">
        <f ca="1">IFERROR(__xludf.DUMMYFUNCTION("""COMPUTED_VALUE"""),43657.6666666666)</f>
        <v>43657.666666666599</v>
      </c>
      <c r="B951" s="1">
        <f ca="1">IFERROR(__xludf.DUMMYFUNCTION("""COMPUTED_VALUE"""),15.88)</f>
        <v>15.88</v>
      </c>
      <c r="C951" s="1">
        <f ca="1">IFERROR(__xludf.DUMMYFUNCTION("""COMPUTED_VALUE"""),16.1)</f>
        <v>16.100000000000001</v>
      </c>
      <c r="D951" s="1">
        <f ca="1">IFERROR(__xludf.DUMMYFUNCTION("""COMPUTED_VALUE"""),15.72)</f>
        <v>15.72</v>
      </c>
      <c r="E951" s="1">
        <f ca="1">IFERROR(__xludf.DUMMYFUNCTION("""COMPUTED_VALUE"""),15.91)</f>
        <v>15.91</v>
      </c>
      <c r="F951" s="1">
        <f ca="1">IFERROR(__xludf.DUMMYFUNCTION("""COMPUTED_VALUE"""),7514430)</f>
        <v>7514430</v>
      </c>
    </row>
    <row r="952" spans="1:6" x14ac:dyDescent="0.2">
      <c r="A952" s="2">
        <f ca="1">IFERROR(__xludf.DUMMYFUNCTION("""COMPUTED_VALUE"""),43658.6666666666)</f>
        <v>43658.666666666599</v>
      </c>
      <c r="B952" s="1">
        <f ca="1">IFERROR(__xludf.DUMMYFUNCTION("""COMPUTED_VALUE"""),15.98)</f>
        <v>15.98</v>
      </c>
      <c r="C952" s="1">
        <f ca="1">IFERROR(__xludf.DUMMYFUNCTION("""COMPUTED_VALUE"""),16.36)</f>
        <v>16.36</v>
      </c>
      <c r="D952" s="1">
        <f ca="1">IFERROR(__xludf.DUMMYFUNCTION("""COMPUTED_VALUE"""),15.98)</f>
        <v>15.98</v>
      </c>
      <c r="E952" s="1">
        <f ca="1">IFERROR(__xludf.DUMMYFUNCTION("""COMPUTED_VALUE"""),16.34)</f>
        <v>16.34</v>
      </c>
      <c r="F952" s="1">
        <f ca="1">IFERROR(__xludf.DUMMYFUNCTION("""COMPUTED_VALUE"""),9200521)</f>
        <v>9200521</v>
      </c>
    </row>
    <row r="953" spans="1:6" x14ac:dyDescent="0.2">
      <c r="A953" s="2">
        <f ca="1">IFERROR(__xludf.DUMMYFUNCTION("""COMPUTED_VALUE"""),43661.6666666666)</f>
        <v>43661.666666666599</v>
      </c>
      <c r="B953" s="1">
        <f ca="1">IFERROR(__xludf.DUMMYFUNCTION("""COMPUTED_VALUE"""),16.53)</f>
        <v>16.53</v>
      </c>
      <c r="C953" s="1">
        <f ca="1">IFERROR(__xludf.DUMMYFUNCTION("""COMPUTED_VALUE"""),16.96)</f>
        <v>16.96</v>
      </c>
      <c r="D953" s="1">
        <f ca="1">IFERROR(__xludf.DUMMYFUNCTION("""COMPUTED_VALUE"""),16.32)</f>
        <v>16.32</v>
      </c>
      <c r="E953" s="1">
        <f ca="1">IFERROR(__xludf.DUMMYFUNCTION("""COMPUTED_VALUE"""),16.9)</f>
        <v>16.899999999999999</v>
      </c>
      <c r="F953" s="1">
        <f ca="1">IFERROR(__xludf.DUMMYFUNCTION("""COMPUTED_VALUE"""),11000092)</f>
        <v>11000092</v>
      </c>
    </row>
    <row r="954" spans="1:6" x14ac:dyDescent="0.2">
      <c r="A954" s="2">
        <f ca="1">IFERROR(__xludf.DUMMYFUNCTION("""COMPUTED_VALUE"""),43662.6666666666)</f>
        <v>43662.666666666599</v>
      </c>
      <c r="B954" s="1">
        <f ca="1">IFERROR(__xludf.DUMMYFUNCTION("""COMPUTED_VALUE"""),16.62)</f>
        <v>16.62</v>
      </c>
      <c r="C954" s="1">
        <f ca="1">IFERROR(__xludf.DUMMYFUNCTION("""COMPUTED_VALUE"""),16.9)</f>
        <v>16.899999999999999</v>
      </c>
      <c r="D954" s="1">
        <f ca="1">IFERROR(__xludf.DUMMYFUNCTION("""COMPUTED_VALUE"""),16.53)</f>
        <v>16.53</v>
      </c>
      <c r="E954" s="1">
        <f ca="1">IFERROR(__xludf.DUMMYFUNCTION("""COMPUTED_VALUE"""),16.83)</f>
        <v>16.829999999999998</v>
      </c>
      <c r="F954" s="1">
        <f ca="1">IFERROR(__xludf.DUMMYFUNCTION("""COMPUTED_VALUE"""),8148989)</f>
        <v>8148989</v>
      </c>
    </row>
    <row r="955" spans="1:6" x14ac:dyDescent="0.2">
      <c r="A955" s="2">
        <f ca="1">IFERROR(__xludf.DUMMYFUNCTION("""COMPUTED_VALUE"""),43663.6666666666)</f>
        <v>43663.666666666599</v>
      </c>
      <c r="B955" s="1">
        <f ca="1">IFERROR(__xludf.DUMMYFUNCTION("""COMPUTED_VALUE"""),17.04)</f>
        <v>17.04</v>
      </c>
      <c r="C955" s="1">
        <f ca="1">IFERROR(__xludf.DUMMYFUNCTION("""COMPUTED_VALUE"""),17.22)</f>
        <v>17.22</v>
      </c>
      <c r="D955" s="1">
        <f ca="1">IFERROR(__xludf.DUMMYFUNCTION("""COMPUTED_VALUE"""),16.89)</f>
        <v>16.89</v>
      </c>
      <c r="E955" s="1">
        <f ca="1">IFERROR(__xludf.DUMMYFUNCTION("""COMPUTED_VALUE"""),16.99)</f>
        <v>16.989999999999998</v>
      </c>
      <c r="F955" s="1">
        <f ca="1">IFERROR(__xludf.DUMMYFUNCTION("""COMPUTED_VALUE"""),9764727)</f>
        <v>9764727</v>
      </c>
    </row>
    <row r="956" spans="1:6" x14ac:dyDescent="0.2">
      <c r="A956" s="2">
        <f ca="1">IFERROR(__xludf.DUMMYFUNCTION("""COMPUTED_VALUE"""),43664.6666666666)</f>
        <v>43664.666666666599</v>
      </c>
      <c r="B956" s="1">
        <f ca="1">IFERROR(__xludf.DUMMYFUNCTION("""COMPUTED_VALUE"""),17)</f>
        <v>17</v>
      </c>
      <c r="C956" s="1">
        <f ca="1">IFERROR(__xludf.DUMMYFUNCTION("""COMPUTED_VALUE"""),17.05)</f>
        <v>17.05</v>
      </c>
      <c r="D956" s="1">
        <f ca="1">IFERROR(__xludf.DUMMYFUNCTION("""COMPUTED_VALUE"""),16.79)</f>
        <v>16.79</v>
      </c>
      <c r="E956" s="1">
        <f ca="1">IFERROR(__xludf.DUMMYFUNCTION("""COMPUTED_VALUE"""),16.9)</f>
        <v>16.899999999999999</v>
      </c>
      <c r="F956" s="1">
        <f ca="1">IFERROR(__xludf.DUMMYFUNCTION("""COMPUTED_VALUE"""),4764483)</f>
        <v>4764483</v>
      </c>
    </row>
    <row r="957" spans="1:6" x14ac:dyDescent="0.2">
      <c r="A957" s="2">
        <f ca="1">IFERROR(__xludf.DUMMYFUNCTION("""COMPUTED_VALUE"""),43665.6666666666)</f>
        <v>43665.666666666599</v>
      </c>
      <c r="B957" s="1">
        <f ca="1">IFERROR(__xludf.DUMMYFUNCTION("""COMPUTED_VALUE"""),17.05)</f>
        <v>17.05</v>
      </c>
      <c r="C957" s="1">
        <f ca="1">IFERROR(__xludf.DUMMYFUNCTION("""COMPUTED_VALUE"""),17.33)</f>
        <v>17.329999999999998</v>
      </c>
      <c r="D957" s="1">
        <f ca="1">IFERROR(__xludf.DUMMYFUNCTION("""COMPUTED_VALUE"""),16.97)</f>
        <v>16.97</v>
      </c>
      <c r="E957" s="1">
        <f ca="1">IFERROR(__xludf.DUMMYFUNCTION("""COMPUTED_VALUE"""),17.21)</f>
        <v>17.21</v>
      </c>
      <c r="F957" s="1">
        <f ca="1">IFERROR(__xludf.DUMMYFUNCTION("""COMPUTED_VALUE"""),7048410)</f>
        <v>7048410</v>
      </c>
    </row>
    <row r="958" spans="1:6" x14ac:dyDescent="0.2">
      <c r="A958" s="2">
        <f ca="1">IFERROR(__xludf.DUMMYFUNCTION("""COMPUTED_VALUE"""),43668.6666666666)</f>
        <v>43668.666666666599</v>
      </c>
      <c r="B958" s="1">
        <f ca="1">IFERROR(__xludf.DUMMYFUNCTION("""COMPUTED_VALUE"""),17.25)</f>
        <v>17.25</v>
      </c>
      <c r="C958" s="1">
        <f ca="1">IFERROR(__xludf.DUMMYFUNCTION("""COMPUTED_VALUE"""),17.48)</f>
        <v>17.48</v>
      </c>
      <c r="D958" s="1">
        <f ca="1">IFERROR(__xludf.DUMMYFUNCTION("""COMPUTED_VALUE"""),16.95)</f>
        <v>16.95</v>
      </c>
      <c r="E958" s="1">
        <f ca="1">IFERROR(__xludf.DUMMYFUNCTION("""COMPUTED_VALUE"""),17.05)</f>
        <v>17.05</v>
      </c>
      <c r="F958" s="1">
        <f ca="1">IFERROR(__xludf.DUMMYFUNCTION("""COMPUTED_VALUE"""),6846273)</f>
        <v>6846273</v>
      </c>
    </row>
    <row r="959" spans="1:6" x14ac:dyDescent="0.2">
      <c r="A959" s="2">
        <f ca="1">IFERROR(__xludf.DUMMYFUNCTION("""COMPUTED_VALUE"""),43669.6666666666)</f>
        <v>43669.666666666599</v>
      </c>
      <c r="B959" s="1">
        <f ca="1">IFERROR(__xludf.DUMMYFUNCTION("""COMPUTED_VALUE"""),17.11)</f>
        <v>17.11</v>
      </c>
      <c r="C959" s="1">
        <f ca="1">IFERROR(__xludf.DUMMYFUNCTION("""COMPUTED_VALUE"""),17.37)</f>
        <v>17.37</v>
      </c>
      <c r="D959" s="1">
        <f ca="1">IFERROR(__xludf.DUMMYFUNCTION("""COMPUTED_VALUE"""),16.97)</f>
        <v>16.97</v>
      </c>
      <c r="E959" s="1">
        <f ca="1">IFERROR(__xludf.DUMMYFUNCTION("""COMPUTED_VALUE"""),17.34)</f>
        <v>17.34</v>
      </c>
      <c r="F959" s="1">
        <f ca="1">IFERROR(__xludf.DUMMYFUNCTION("""COMPUTED_VALUE"""),5023121)</f>
        <v>5023121</v>
      </c>
    </row>
    <row r="960" spans="1:6" x14ac:dyDescent="0.2">
      <c r="A960" s="2">
        <f ca="1">IFERROR(__xludf.DUMMYFUNCTION("""COMPUTED_VALUE"""),43670.6666666666)</f>
        <v>43670.666666666599</v>
      </c>
      <c r="B960" s="1">
        <f ca="1">IFERROR(__xludf.DUMMYFUNCTION("""COMPUTED_VALUE"""),17.28)</f>
        <v>17.28</v>
      </c>
      <c r="C960" s="1">
        <f ca="1">IFERROR(__xludf.DUMMYFUNCTION("""COMPUTED_VALUE"""),17.74)</f>
        <v>17.739999999999998</v>
      </c>
      <c r="D960" s="1">
        <f ca="1">IFERROR(__xludf.DUMMYFUNCTION("""COMPUTED_VALUE"""),17.21)</f>
        <v>17.21</v>
      </c>
      <c r="E960" s="1">
        <f ca="1">IFERROR(__xludf.DUMMYFUNCTION("""COMPUTED_VALUE"""),17.66)</f>
        <v>17.66</v>
      </c>
      <c r="F960" s="1">
        <f ca="1">IFERROR(__xludf.DUMMYFUNCTION("""COMPUTED_VALUE"""),11072835)</f>
        <v>11072835</v>
      </c>
    </row>
    <row r="961" spans="1:6" x14ac:dyDescent="0.2">
      <c r="A961" s="2">
        <f ca="1">IFERROR(__xludf.DUMMYFUNCTION("""COMPUTED_VALUE"""),43671.6666666666)</f>
        <v>43671.666666666599</v>
      </c>
      <c r="B961" s="1">
        <f ca="1">IFERROR(__xludf.DUMMYFUNCTION("""COMPUTED_VALUE"""),15.57)</f>
        <v>15.57</v>
      </c>
      <c r="C961" s="1">
        <f ca="1">IFERROR(__xludf.DUMMYFUNCTION("""COMPUTED_VALUE"""),15.63)</f>
        <v>15.63</v>
      </c>
      <c r="D961" s="1">
        <f ca="1">IFERROR(__xludf.DUMMYFUNCTION("""COMPUTED_VALUE"""),15.04)</f>
        <v>15.04</v>
      </c>
      <c r="E961" s="1">
        <f ca="1">IFERROR(__xludf.DUMMYFUNCTION("""COMPUTED_VALUE"""),15.25)</f>
        <v>15.25</v>
      </c>
      <c r="F961" s="1">
        <f ca="1">IFERROR(__xludf.DUMMYFUNCTION("""COMPUTED_VALUE"""),22418252)</f>
        <v>22418252</v>
      </c>
    </row>
    <row r="962" spans="1:6" x14ac:dyDescent="0.2">
      <c r="A962" s="2">
        <f ca="1">IFERROR(__xludf.DUMMYFUNCTION("""COMPUTED_VALUE"""),43672.6666666666)</f>
        <v>43672.666666666599</v>
      </c>
      <c r="B962" s="1">
        <f ca="1">IFERROR(__xludf.DUMMYFUNCTION("""COMPUTED_VALUE"""),15.13)</f>
        <v>15.13</v>
      </c>
      <c r="C962" s="1">
        <f ca="1">IFERROR(__xludf.DUMMYFUNCTION("""COMPUTED_VALUE"""),15.35)</f>
        <v>15.35</v>
      </c>
      <c r="D962" s="1">
        <f ca="1">IFERROR(__xludf.DUMMYFUNCTION("""COMPUTED_VALUE"""),14.82)</f>
        <v>14.82</v>
      </c>
      <c r="E962" s="1">
        <f ca="1">IFERROR(__xludf.DUMMYFUNCTION("""COMPUTED_VALUE"""),15.2)</f>
        <v>15.2</v>
      </c>
      <c r="F962" s="1">
        <f ca="1">IFERROR(__xludf.DUMMYFUNCTION("""COMPUTED_VALUE"""),10027697)</f>
        <v>10027697</v>
      </c>
    </row>
    <row r="963" spans="1:6" x14ac:dyDescent="0.2">
      <c r="A963" s="2">
        <f ca="1">IFERROR(__xludf.DUMMYFUNCTION("""COMPUTED_VALUE"""),43675.6666666666)</f>
        <v>43675.666666666599</v>
      </c>
      <c r="B963" s="1">
        <f ca="1">IFERROR(__xludf.DUMMYFUNCTION("""COMPUTED_VALUE"""),15.14)</f>
        <v>15.14</v>
      </c>
      <c r="C963" s="1">
        <f ca="1">IFERROR(__xludf.DUMMYFUNCTION("""COMPUTED_VALUE"""),15.73)</f>
        <v>15.73</v>
      </c>
      <c r="D963" s="1">
        <f ca="1">IFERROR(__xludf.DUMMYFUNCTION("""COMPUTED_VALUE"""),15.07)</f>
        <v>15.07</v>
      </c>
      <c r="E963" s="1">
        <f ca="1">IFERROR(__xludf.DUMMYFUNCTION("""COMPUTED_VALUE"""),15.72)</f>
        <v>15.72</v>
      </c>
      <c r="F963" s="1">
        <f ca="1">IFERROR(__xludf.DUMMYFUNCTION("""COMPUTED_VALUE"""),9273331)</f>
        <v>9273331</v>
      </c>
    </row>
    <row r="964" spans="1:6" x14ac:dyDescent="0.2">
      <c r="A964" s="2">
        <f ca="1">IFERROR(__xludf.DUMMYFUNCTION("""COMPUTED_VALUE"""),43676.6666666666)</f>
        <v>43676.666666666599</v>
      </c>
      <c r="B964" s="1">
        <f ca="1">IFERROR(__xludf.DUMMYFUNCTION("""COMPUTED_VALUE"""),15.53)</f>
        <v>15.53</v>
      </c>
      <c r="C964" s="1">
        <f ca="1">IFERROR(__xludf.DUMMYFUNCTION("""COMPUTED_VALUE"""),16.22)</f>
        <v>16.22</v>
      </c>
      <c r="D964" s="1">
        <f ca="1">IFERROR(__xludf.DUMMYFUNCTION("""COMPUTED_VALUE"""),15.48)</f>
        <v>15.48</v>
      </c>
      <c r="E964" s="1">
        <f ca="1">IFERROR(__xludf.DUMMYFUNCTION("""COMPUTED_VALUE"""),16.15)</f>
        <v>16.149999999999999</v>
      </c>
      <c r="F964" s="1">
        <f ca="1">IFERROR(__xludf.DUMMYFUNCTION("""COMPUTED_VALUE"""),8109014)</f>
        <v>8109014</v>
      </c>
    </row>
    <row r="965" spans="1:6" x14ac:dyDescent="0.2">
      <c r="A965" s="2">
        <f ca="1">IFERROR(__xludf.DUMMYFUNCTION("""COMPUTED_VALUE"""),43677.6666666666)</f>
        <v>43677.666666666599</v>
      </c>
      <c r="B965" s="1">
        <f ca="1">IFERROR(__xludf.DUMMYFUNCTION("""COMPUTED_VALUE"""),16.2)</f>
        <v>16.2</v>
      </c>
      <c r="C965" s="1">
        <f ca="1">IFERROR(__xludf.DUMMYFUNCTION("""COMPUTED_VALUE"""),16.45)</f>
        <v>16.45</v>
      </c>
      <c r="D965" s="1">
        <f ca="1">IFERROR(__xludf.DUMMYFUNCTION("""COMPUTED_VALUE"""),15.78)</f>
        <v>15.78</v>
      </c>
      <c r="E965" s="1">
        <f ca="1">IFERROR(__xludf.DUMMYFUNCTION("""COMPUTED_VALUE"""),16.11)</f>
        <v>16.11</v>
      </c>
      <c r="F965" s="1">
        <f ca="1">IFERROR(__xludf.DUMMYFUNCTION("""COMPUTED_VALUE"""),9178208)</f>
        <v>9178208</v>
      </c>
    </row>
    <row r="966" spans="1:6" x14ac:dyDescent="0.2">
      <c r="A966" s="2">
        <f ca="1">IFERROR(__xludf.DUMMYFUNCTION("""COMPUTED_VALUE"""),43678.6666666666)</f>
        <v>43678.666666666599</v>
      </c>
      <c r="B966" s="1">
        <f ca="1">IFERROR(__xludf.DUMMYFUNCTION("""COMPUTED_VALUE"""),16.18)</f>
        <v>16.18</v>
      </c>
      <c r="C966" s="1">
        <f ca="1">IFERROR(__xludf.DUMMYFUNCTION("""COMPUTED_VALUE"""),16.3)</f>
        <v>16.3</v>
      </c>
      <c r="D966" s="1">
        <f ca="1">IFERROR(__xludf.DUMMYFUNCTION("""COMPUTED_VALUE"""),15.45)</f>
        <v>15.45</v>
      </c>
      <c r="E966" s="1">
        <f ca="1">IFERROR(__xludf.DUMMYFUNCTION("""COMPUTED_VALUE"""),15.59)</f>
        <v>15.59</v>
      </c>
      <c r="F966" s="1">
        <f ca="1">IFERROR(__xludf.DUMMYFUNCTION("""COMPUTED_VALUE"""),8259516)</f>
        <v>8259516</v>
      </c>
    </row>
    <row r="967" spans="1:6" x14ac:dyDescent="0.2">
      <c r="A967" s="2">
        <f ca="1">IFERROR(__xludf.DUMMYFUNCTION("""COMPUTED_VALUE"""),43679.6666666666)</f>
        <v>43679.666666666599</v>
      </c>
      <c r="B967" s="1">
        <f ca="1">IFERROR(__xludf.DUMMYFUNCTION("""COMPUTED_VALUE"""),15.42)</f>
        <v>15.42</v>
      </c>
      <c r="C967" s="1">
        <f ca="1">IFERROR(__xludf.DUMMYFUNCTION("""COMPUTED_VALUE"""),15.75)</f>
        <v>15.75</v>
      </c>
      <c r="D967" s="1">
        <f ca="1">IFERROR(__xludf.DUMMYFUNCTION("""COMPUTED_VALUE"""),15.28)</f>
        <v>15.28</v>
      </c>
      <c r="E967" s="1">
        <f ca="1">IFERROR(__xludf.DUMMYFUNCTION("""COMPUTED_VALUE"""),15.62)</f>
        <v>15.62</v>
      </c>
      <c r="F967" s="1">
        <f ca="1">IFERROR(__xludf.DUMMYFUNCTION("""COMPUTED_VALUE"""),6136481)</f>
        <v>6136481</v>
      </c>
    </row>
    <row r="968" spans="1:6" x14ac:dyDescent="0.2">
      <c r="A968" s="2">
        <f ca="1">IFERROR(__xludf.DUMMYFUNCTION("""COMPUTED_VALUE"""),43682.6666666666)</f>
        <v>43682.666666666599</v>
      </c>
      <c r="B968" s="1">
        <f ca="1">IFERROR(__xludf.DUMMYFUNCTION("""COMPUTED_VALUE"""),15.31)</f>
        <v>15.31</v>
      </c>
      <c r="C968" s="1">
        <f ca="1">IFERROR(__xludf.DUMMYFUNCTION("""COMPUTED_VALUE"""),15.42)</f>
        <v>15.42</v>
      </c>
      <c r="D968" s="1">
        <f ca="1">IFERROR(__xludf.DUMMYFUNCTION("""COMPUTED_VALUE"""),15.05)</f>
        <v>15.05</v>
      </c>
      <c r="E968" s="1">
        <f ca="1">IFERROR(__xludf.DUMMYFUNCTION("""COMPUTED_VALUE"""),15.22)</f>
        <v>15.22</v>
      </c>
      <c r="F968" s="1">
        <f ca="1">IFERROR(__xludf.DUMMYFUNCTION("""COMPUTED_VALUE"""),7028279)</f>
        <v>7028279</v>
      </c>
    </row>
    <row r="969" spans="1:6" x14ac:dyDescent="0.2">
      <c r="A969" s="2">
        <f ca="1">IFERROR(__xludf.DUMMYFUNCTION("""COMPUTED_VALUE"""),43683.6666666666)</f>
        <v>43683.666666666599</v>
      </c>
      <c r="B969" s="1">
        <f ca="1">IFERROR(__xludf.DUMMYFUNCTION("""COMPUTED_VALUE"""),15.46)</f>
        <v>15.46</v>
      </c>
      <c r="C969" s="1">
        <f ca="1">IFERROR(__xludf.DUMMYFUNCTION("""COMPUTED_VALUE"""),15.5)</f>
        <v>15.5</v>
      </c>
      <c r="D969" s="1">
        <f ca="1">IFERROR(__xludf.DUMMYFUNCTION("""COMPUTED_VALUE"""),15.05)</f>
        <v>15.05</v>
      </c>
      <c r="E969" s="1">
        <f ca="1">IFERROR(__xludf.DUMMYFUNCTION("""COMPUTED_VALUE"""),15.38)</f>
        <v>15.38</v>
      </c>
      <c r="F969" s="1">
        <f ca="1">IFERROR(__xludf.DUMMYFUNCTION("""COMPUTED_VALUE"""),5564200)</f>
        <v>5564200</v>
      </c>
    </row>
    <row r="970" spans="1:6" x14ac:dyDescent="0.2">
      <c r="A970" s="2">
        <f ca="1">IFERROR(__xludf.DUMMYFUNCTION("""COMPUTED_VALUE"""),43684.6666666666)</f>
        <v>43684.666666666599</v>
      </c>
      <c r="B970" s="1">
        <f ca="1">IFERROR(__xludf.DUMMYFUNCTION("""COMPUTED_VALUE"""),15.1)</f>
        <v>15.1</v>
      </c>
      <c r="C970" s="1">
        <f ca="1">IFERROR(__xludf.DUMMYFUNCTION("""COMPUTED_VALUE"""),15.57)</f>
        <v>15.57</v>
      </c>
      <c r="D970" s="1">
        <f ca="1">IFERROR(__xludf.DUMMYFUNCTION("""COMPUTED_VALUE"""),15.05)</f>
        <v>15.05</v>
      </c>
      <c r="E970" s="1">
        <f ca="1">IFERROR(__xludf.DUMMYFUNCTION("""COMPUTED_VALUE"""),15.56)</f>
        <v>15.56</v>
      </c>
      <c r="F970" s="1">
        <f ca="1">IFERROR(__xludf.DUMMYFUNCTION("""COMPUTED_VALUE"""),4776500)</f>
        <v>4776500</v>
      </c>
    </row>
    <row r="971" spans="1:6" x14ac:dyDescent="0.2">
      <c r="A971" s="2">
        <f ca="1">IFERROR(__xludf.DUMMYFUNCTION("""COMPUTED_VALUE"""),43685.6666666666)</f>
        <v>43685.666666666599</v>
      </c>
      <c r="B971" s="1">
        <f ca="1">IFERROR(__xludf.DUMMYFUNCTION("""COMPUTED_VALUE"""),15.63)</f>
        <v>15.63</v>
      </c>
      <c r="C971" s="1">
        <f ca="1">IFERROR(__xludf.DUMMYFUNCTION("""COMPUTED_VALUE"""),15.99)</f>
        <v>15.99</v>
      </c>
      <c r="D971" s="1">
        <f ca="1">IFERROR(__xludf.DUMMYFUNCTION("""COMPUTED_VALUE"""),15.51)</f>
        <v>15.51</v>
      </c>
      <c r="E971" s="1">
        <f ca="1">IFERROR(__xludf.DUMMYFUNCTION("""COMPUTED_VALUE"""),15.89)</f>
        <v>15.89</v>
      </c>
      <c r="F971" s="1">
        <f ca="1">IFERROR(__xludf.DUMMYFUNCTION("""COMPUTED_VALUE"""),5274349)</f>
        <v>5274349</v>
      </c>
    </row>
    <row r="972" spans="1:6" x14ac:dyDescent="0.2">
      <c r="A972" s="2">
        <f ca="1">IFERROR(__xludf.DUMMYFUNCTION("""COMPUTED_VALUE"""),43686.6666666666)</f>
        <v>43686.666666666599</v>
      </c>
      <c r="B972" s="1">
        <f ca="1">IFERROR(__xludf.DUMMYFUNCTION("""COMPUTED_VALUE"""),15.74)</f>
        <v>15.74</v>
      </c>
      <c r="C972" s="1">
        <f ca="1">IFERROR(__xludf.DUMMYFUNCTION("""COMPUTED_VALUE"""),15.93)</f>
        <v>15.93</v>
      </c>
      <c r="D972" s="1">
        <f ca="1">IFERROR(__xludf.DUMMYFUNCTION("""COMPUTED_VALUE"""),15.59)</f>
        <v>15.59</v>
      </c>
      <c r="E972" s="1">
        <f ca="1">IFERROR(__xludf.DUMMYFUNCTION("""COMPUTED_VALUE"""),15.67)</f>
        <v>15.67</v>
      </c>
      <c r="F972" s="1">
        <f ca="1">IFERROR(__xludf.DUMMYFUNCTION("""COMPUTED_VALUE"""),3898244)</f>
        <v>3898244</v>
      </c>
    </row>
    <row r="973" spans="1:6" x14ac:dyDescent="0.2">
      <c r="A973" s="2">
        <f ca="1">IFERROR(__xludf.DUMMYFUNCTION("""COMPUTED_VALUE"""),43689.6666666666)</f>
        <v>43689.666666666599</v>
      </c>
      <c r="B973" s="1">
        <f ca="1">IFERROR(__xludf.DUMMYFUNCTION("""COMPUTED_VALUE"""),15.53)</f>
        <v>15.53</v>
      </c>
      <c r="C973" s="1">
        <f ca="1">IFERROR(__xludf.DUMMYFUNCTION("""COMPUTED_VALUE"""),15.72)</f>
        <v>15.72</v>
      </c>
      <c r="D973" s="1">
        <f ca="1">IFERROR(__xludf.DUMMYFUNCTION("""COMPUTED_VALUE"""),15.25)</f>
        <v>15.25</v>
      </c>
      <c r="E973" s="1">
        <f ca="1">IFERROR(__xludf.DUMMYFUNCTION("""COMPUTED_VALUE"""),15.27)</f>
        <v>15.27</v>
      </c>
      <c r="F973" s="1">
        <f ca="1">IFERROR(__xludf.DUMMYFUNCTION("""COMPUTED_VALUE"""),4663937)</f>
        <v>4663937</v>
      </c>
    </row>
    <row r="974" spans="1:6" x14ac:dyDescent="0.2">
      <c r="A974" s="2">
        <f ca="1">IFERROR(__xludf.DUMMYFUNCTION("""COMPUTED_VALUE"""),43690.6666666666)</f>
        <v>43690.666666666599</v>
      </c>
      <c r="B974" s="1">
        <f ca="1">IFERROR(__xludf.DUMMYFUNCTION("""COMPUTED_VALUE"""),15.25)</f>
        <v>15.25</v>
      </c>
      <c r="C974" s="1">
        <f ca="1">IFERROR(__xludf.DUMMYFUNCTION("""COMPUTED_VALUE"""),15.73)</f>
        <v>15.73</v>
      </c>
      <c r="D974" s="1">
        <f ca="1">IFERROR(__xludf.DUMMYFUNCTION("""COMPUTED_VALUE"""),15.17)</f>
        <v>15.17</v>
      </c>
      <c r="E974" s="1">
        <f ca="1">IFERROR(__xludf.DUMMYFUNCTION("""COMPUTED_VALUE"""),15.67)</f>
        <v>15.67</v>
      </c>
      <c r="F974" s="1">
        <f ca="1">IFERROR(__xludf.DUMMYFUNCTION("""COMPUTED_VALUE"""),4868998)</f>
        <v>4868998</v>
      </c>
    </row>
    <row r="975" spans="1:6" x14ac:dyDescent="0.2">
      <c r="A975" s="2">
        <f ca="1">IFERROR(__xludf.DUMMYFUNCTION("""COMPUTED_VALUE"""),43691.6666666666)</f>
        <v>43691.666666666599</v>
      </c>
      <c r="B975" s="1">
        <f ca="1">IFERROR(__xludf.DUMMYFUNCTION("""COMPUTED_VALUE"""),15.41)</f>
        <v>15.41</v>
      </c>
      <c r="C975" s="1">
        <f ca="1">IFERROR(__xludf.DUMMYFUNCTION("""COMPUTED_VALUE"""),15.43)</f>
        <v>15.43</v>
      </c>
      <c r="D975" s="1">
        <f ca="1">IFERROR(__xludf.DUMMYFUNCTION("""COMPUTED_VALUE"""),14.45)</f>
        <v>14.45</v>
      </c>
      <c r="E975" s="1">
        <f ca="1">IFERROR(__xludf.DUMMYFUNCTION("""COMPUTED_VALUE"""),14.64)</f>
        <v>14.64</v>
      </c>
      <c r="F975" s="1">
        <f ca="1">IFERROR(__xludf.DUMMYFUNCTION("""COMPUTED_VALUE"""),9562591)</f>
        <v>9562591</v>
      </c>
    </row>
    <row r="976" spans="1:6" x14ac:dyDescent="0.2">
      <c r="A976" s="2">
        <f ca="1">IFERROR(__xludf.DUMMYFUNCTION("""COMPUTED_VALUE"""),43692.6666666666)</f>
        <v>43692.666666666599</v>
      </c>
      <c r="B976" s="1">
        <f ca="1">IFERROR(__xludf.DUMMYFUNCTION("""COMPUTED_VALUE"""),14.72)</f>
        <v>14.72</v>
      </c>
      <c r="C976" s="1">
        <f ca="1">IFERROR(__xludf.DUMMYFUNCTION("""COMPUTED_VALUE"""),14.77)</f>
        <v>14.77</v>
      </c>
      <c r="D976" s="1">
        <f ca="1">IFERROR(__xludf.DUMMYFUNCTION("""COMPUTED_VALUE"""),14.1)</f>
        <v>14.1</v>
      </c>
      <c r="E976" s="1">
        <f ca="1">IFERROR(__xludf.DUMMYFUNCTION("""COMPUTED_VALUE"""),14.38)</f>
        <v>14.38</v>
      </c>
      <c r="F976" s="1">
        <f ca="1">IFERROR(__xludf.DUMMYFUNCTION("""COMPUTED_VALUE"""),8231952)</f>
        <v>8231952</v>
      </c>
    </row>
    <row r="977" spans="1:6" x14ac:dyDescent="0.2">
      <c r="A977" s="2">
        <f ca="1">IFERROR(__xludf.DUMMYFUNCTION("""COMPUTED_VALUE"""),43693.6666666666)</f>
        <v>43693.666666666599</v>
      </c>
      <c r="B977" s="1">
        <f ca="1">IFERROR(__xludf.DUMMYFUNCTION("""COMPUTED_VALUE"""),14.44)</f>
        <v>14.44</v>
      </c>
      <c r="C977" s="1">
        <f ca="1">IFERROR(__xludf.DUMMYFUNCTION("""COMPUTED_VALUE"""),14.82)</f>
        <v>14.82</v>
      </c>
      <c r="D977" s="1">
        <f ca="1">IFERROR(__xludf.DUMMYFUNCTION("""COMPUTED_VALUE"""),14.4)</f>
        <v>14.4</v>
      </c>
      <c r="E977" s="1">
        <f ca="1">IFERROR(__xludf.DUMMYFUNCTION("""COMPUTED_VALUE"""),14.66)</f>
        <v>14.66</v>
      </c>
      <c r="F977" s="1">
        <f ca="1">IFERROR(__xludf.DUMMYFUNCTION("""COMPUTED_VALUE"""),5207376)</f>
        <v>5207376</v>
      </c>
    </row>
    <row r="978" spans="1:6" x14ac:dyDescent="0.2">
      <c r="A978" s="2">
        <f ca="1">IFERROR(__xludf.DUMMYFUNCTION("""COMPUTED_VALUE"""),43696.6666666666)</f>
        <v>43696.666666666599</v>
      </c>
      <c r="B978" s="1">
        <f ca="1">IFERROR(__xludf.DUMMYFUNCTION("""COMPUTED_VALUE"""),14.95)</f>
        <v>14.95</v>
      </c>
      <c r="C978" s="1">
        <f ca="1">IFERROR(__xludf.DUMMYFUNCTION("""COMPUTED_VALUE"""),15.19)</f>
        <v>15.19</v>
      </c>
      <c r="D978" s="1">
        <f ca="1">IFERROR(__xludf.DUMMYFUNCTION("""COMPUTED_VALUE"""),14.78)</f>
        <v>14.78</v>
      </c>
      <c r="E978" s="1">
        <f ca="1">IFERROR(__xludf.DUMMYFUNCTION("""COMPUTED_VALUE"""),15.12)</f>
        <v>15.12</v>
      </c>
      <c r="F978" s="1">
        <f ca="1">IFERROR(__xludf.DUMMYFUNCTION("""COMPUTED_VALUE"""),5311748)</f>
        <v>5311748</v>
      </c>
    </row>
    <row r="979" spans="1:6" x14ac:dyDescent="0.2">
      <c r="A979" s="2">
        <f ca="1">IFERROR(__xludf.DUMMYFUNCTION("""COMPUTED_VALUE"""),43697.6666666666)</f>
        <v>43697.666666666599</v>
      </c>
      <c r="B979" s="1">
        <f ca="1">IFERROR(__xludf.DUMMYFUNCTION("""COMPUTED_VALUE"""),15.17)</f>
        <v>15.17</v>
      </c>
      <c r="C979" s="1">
        <f ca="1">IFERROR(__xludf.DUMMYFUNCTION("""COMPUTED_VALUE"""),15.27)</f>
        <v>15.27</v>
      </c>
      <c r="D979" s="1">
        <f ca="1">IFERROR(__xludf.DUMMYFUNCTION("""COMPUTED_VALUE"""),14.97)</f>
        <v>14.97</v>
      </c>
      <c r="E979" s="1">
        <f ca="1">IFERROR(__xludf.DUMMYFUNCTION("""COMPUTED_VALUE"""),15.06)</f>
        <v>15.06</v>
      </c>
      <c r="F979" s="1">
        <f ca="1">IFERROR(__xludf.DUMMYFUNCTION("""COMPUTED_VALUE"""),4170527)</f>
        <v>4170527</v>
      </c>
    </row>
    <row r="980" spans="1:6" x14ac:dyDescent="0.2">
      <c r="A980" s="2">
        <f ca="1">IFERROR(__xludf.DUMMYFUNCTION("""COMPUTED_VALUE"""),43698.6666666666)</f>
        <v>43698.666666666599</v>
      </c>
      <c r="B980" s="1">
        <f ca="1">IFERROR(__xludf.DUMMYFUNCTION("""COMPUTED_VALUE"""),14.8)</f>
        <v>14.8</v>
      </c>
      <c r="C980" s="1">
        <f ca="1">IFERROR(__xludf.DUMMYFUNCTION("""COMPUTED_VALUE"""),14.88)</f>
        <v>14.88</v>
      </c>
      <c r="D980" s="1">
        <f ca="1">IFERROR(__xludf.DUMMYFUNCTION("""COMPUTED_VALUE"""),14.51)</f>
        <v>14.51</v>
      </c>
      <c r="E980" s="1">
        <f ca="1">IFERROR(__xludf.DUMMYFUNCTION("""COMPUTED_VALUE"""),14.72)</f>
        <v>14.72</v>
      </c>
      <c r="F980" s="1">
        <f ca="1">IFERROR(__xludf.DUMMYFUNCTION("""COMPUTED_VALUE"""),7799744)</f>
        <v>7799744</v>
      </c>
    </row>
    <row r="981" spans="1:6" x14ac:dyDescent="0.2">
      <c r="A981" s="2">
        <f ca="1">IFERROR(__xludf.DUMMYFUNCTION("""COMPUTED_VALUE"""),43699.6666666666)</f>
        <v>43699.666666666599</v>
      </c>
      <c r="B981" s="1">
        <f ca="1">IFERROR(__xludf.DUMMYFUNCTION("""COMPUTED_VALUE"""),14.85)</f>
        <v>14.85</v>
      </c>
      <c r="C981" s="1">
        <f ca="1">IFERROR(__xludf.DUMMYFUNCTION("""COMPUTED_VALUE"""),15.03)</f>
        <v>15.03</v>
      </c>
      <c r="D981" s="1">
        <f ca="1">IFERROR(__xludf.DUMMYFUNCTION("""COMPUTED_VALUE"""),14.55)</f>
        <v>14.55</v>
      </c>
      <c r="E981" s="1">
        <f ca="1">IFERROR(__xludf.DUMMYFUNCTION("""COMPUTED_VALUE"""),14.81)</f>
        <v>14.81</v>
      </c>
      <c r="F981" s="1">
        <f ca="1">IFERROR(__xludf.DUMMYFUNCTION("""COMPUTED_VALUE"""),6564964)</f>
        <v>6564964</v>
      </c>
    </row>
    <row r="982" spans="1:6" x14ac:dyDescent="0.2">
      <c r="A982" s="2">
        <f ca="1">IFERROR(__xludf.DUMMYFUNCTION("""COMPUTED_VALUE"""),43700.6666666666)</f>
        <v>43700.666666666599</v>
      </c>
      <c r="B982" s="1">
        <f ca="1">IFERROR(__xludf.DUMMYFUNCTION("""COMPUTED_VALUE"""),14.66)</f>
        <v>14.66</v>
      </c>
      <c r="C982" s="1">
        <f ca="1">IFERROR(__xludf.DUMMYFUNCTION("""COMPUTED_VALUE"""),14.74)</f>
        <v>14.74</v>
      </c>
      <c r="D982" s="1">
        <f ca="1">IFERROR(__xludf.DUMMYFUNCTION("""COMPUTED_VALUE"""),14.07)</f>
        <v>14.07</v>
      </c>
      <c r="E982" s="1">
        <f ca="1">IFERROR(__xludf.DUMMYFUNCTION("""COMPUTED_VALUE"""),14.09)</f>
        <v>14.09</v>
      </c>
      <c r="F982" s="1">
        <f ca="1">IFERROR(__xludf.DUMMYFUNCTION("""COMPUTED_VALUE"""),8559704)</f>
        <v>8559704</v>
      </c>
    </row>
    <row r="983" spans="1:6" x14ac:dyDescent="0.2">
      <c r="A983" s="2">
        <f ca="1">IFERROR(__xludf.DUMMYFUNCTION("""COMPUTED_VALUE"""),43703.6666666666)</f>
        <v>43703.666666666599</v>
      </c>
      <c r="B983" s="1">
        <f ca="1">IFERROR(__xludf.DUMMYFUNCTION("""COMPUTED_VALUE"""),14.24)</f>
        <v>14.24</v>
      </c>
      <c r="C983" s="1">
        <f ca="1">IFERROR(__xludf.DUMMYFUNCTION("""COMPUTED_VALUE"""),14.33)</f>
        <v>14.33</v>
      </c>
      <c r="D983" s="1">
        <f ca="1">IFERROR(__xludf.DUMMYFUNCTION("""COMPUTED_VALUE"""),14.1)</f>
        <v>14.1</v>
      </c>
      <c r="E983" s="1">
        <f ca="1">IFERROR(__xludf.DUMMYFUNCTION("""COMPUTED_VALUE"""),14.33)</f>
        <v>14.33</v>
      </c>
      <c r="F983" s="1">
        <f ca="1">IFERROR(__xludf.DUMMYFUNCTION("""COMPUTED_VALUE"""),5054414)</f>
        <v>5054414</v>
      </c>
    </row>
    <row r="984" spans="1:6" x14ac:dyDescent="0.2">
      <c r="A984" s="2">
        <f ca="1">IFERROR(__xludf.DUMMYFUNCTION("""COMPUTED_VALUE"""),43704.6666666666)</f>
        <v>43704.666666666599</v>
      </c>
      <c r="B984" s="1">
        <f ca="1">IFERROR(__xludf.DUMMYFUNCTION("""COMPUTED_VALUE"""),14.38)</f>
        <v>14.38</v>
      </c>
      <c r="C984" s="1">
        <f ca="1">IFERROR(__xludf.DUMMYFUNCTION("""COMPUTED_VALUE"""),14.59)</f>
        <v>14.59</v>
      </c>
      <c r="D984" s="1">
        <f ca="1">IFERROR(__xludf.DUMMYFUNCTION("""COMPUTED_VALUE"""),14.14)</f>
        <v>14.14</v>
      </c>
      <c r="E984" s="1">
        <f ca="1">IFERROR(__xludf.DUMMYFUNCTION("""COMPUTED_VALUE"""),14.27)</f>
        <v>14.27</v>
      </c>
      <c r="F984" s="1">
        <f ca="1">IFERROR(__xludf.DUMMYFUNCTION("""COMPUTED_VALUE"""),5420727)</f>
        <v>5420727</v>
      </c>
    </row>
    <row r="985" spans="1:6" x14ac:dyDescent="0.2">
      <c r="A985" s="2">
        <f ca="1">IFERROR(__xludf.DUMMYFUNCTION("""COMPUTED_VALUE"""),43705.6666666666)</f>
        <v>43705.666666666599</v>
      </c>
      <c r="B985" s="1">
        <f ca="1">IFERROR(__xludf.DUMMYFUNCTION("""COMPUTED_VALUE"""),14.25)</f>
        <v>14.25</v>
      </c>
      <c r="C985" s="1">
        <f ca="1">IFERROR(__xludf.DUMMYFUNCTION("""COMPUTED_VALUE"""),14.48)</f>
        <v>14.48</v>
      </c>
      <c r="D985" s="1">
        <f ca="1">IFERROR(__xludf.DUMMYFUNCTION("""COMPUTED_VALUE"""),14.15)</f>
        <v>14.15</v>
      </c>
      <c r="E985" s="1">
        <f ca="1">IFERROR(__xludf.DUMMYFUNCTION("""COMPUTED_VALUE"""),14.37)</f>
        <v>14.37</v>
      </c>
      <c r="F985" s="1">
        <f ca="1">IFERROR(__xludf.DUMMYFUNCTION("""COMPUTED_VALUE"""),3238625)</f>
        <v>3238625</v>
      </c>
    </row>
    <row r="986" spans="1:6" x14ac:dyDescent="0.2">
      <c r="A986" s="2">
        <f ca="1">IFERROR(__xludf.DUMMYFUNCTION("""COMPUTED_VALUE"""),43706.6666666666)</f>
        <v>43706.666666666599</v>
      </c>
      <c r="B986" s="1">
        <f ca="1">IFERROR(__xludf.DUMMYFUNCTION("""COMPUTED_VALUE"""),14.6)</f>
        <v>14.6</v>
      </c>
      <c r="C986" s="1">
        <f ca="1">IFERROR(__xludf.DUMMYFUNCTION("""COMPUTED_VALUE"""),14.89)</f>
        <v>14.89</v>
      </c>
      <c r="D986" s="1">
        <f ca="1">IFERROR(__xludf.DUMMYFUNCTION("""COMPUTED_VALUE"""),14.53)</f>
        <v>14.53</v>
      </c>
      <c r="E986" s="1">
        <f ca="1">IFERROR(__xludf.DUMMYFUNCTION("""COMPUTED_VALUE"""),14.78)</f>
        <v>14.78</v>
      </c>
      <c r="F986" s="1">
        <f ca="1">IFERROR(__xludf.DUMMYFUNCTION("""COMPUTED_VALUE"""),5183104)</f>
        <v>5183104</v>
      </c>
    </row>
    <row r="987" spans="1:6" x14ac:dyDescent="0.2">
      <c r="A987" s="2">
        <f ca="1">IFERROR(__xludf.DUMMYFUNCTION("""COMPUTED_VALUE"""),43707.6666666666)</f>
        <v>43707.666666666599</v>
      </c>
      <c r="B987" s="1">
        <f ca="1">IFERROR(__xludf.DUMMYFUNCTION("""COMPUTED_VALUE"""),15.28)</f>
        <v>15.28</v>
      </c>
      <c r="C987" s="1">
        <f ca="1">IFERROR(__xludf.DUMMYFUNCTION("""COMPUTED_VALUE"""),15.5)</f>
        <v>15.5</v>
      </c>
      <c r="D987" s="1">
        <f ca="1">IFERROR(__xludf.DUMMYFUNCTION("""COMPUTED_VALUE"""),14.95)</f>
        <v>14.95</v>
      </c>
      <c r="E987" s="1">
        <f ca="1">IFERROR(__xludf.DUMMYFUNCTION("""COMPUTED_VALUE"""),15.04)</f>
        <v>15.04</v>
      </c>
      <c r="F987" s="1">
        <f ca="1">IFERROR(__xludf.DUMMYFUNCTION("""COMPUTED_VALUE"""),9327775)</f>
        <v>9327775</v>
      </c>
    </row>
    <row r="988" spans="1:6" x14ac:dyDescent="0.2">
      <c r="A988" s="2">
        <f ca="1">IFERROR(__xludf.DUMMYFUNCTION("""COMPUTED_VALUE"""),43711.6666666666)</f>
        <v>43711.666666666599</v>
      </c>
      <c r="B988" s="1">
        <f ca="1">IFERROR(__xludf.DUMMYFUNCTION("""COMPUTED_VALUE"""),14.94)</f>
        <v>14.94</v>
      </c>
      <c r="C988" s="1">
        <f ca="1">IFERROR(__xludf.DUMMYFUNCTION("""COMPUTED_VALUE"""),15.26)</f>
        <v>15.26</v>
      </c>
      <c r="D988" s="1">
        <f ca="1">IFERROR(__xludf.DUMMYFUNCTION("""COMPUTED_VALUE"""),14.88)</f>
        <v>14.88</v>
      </c>
      <c r="E988" s="1">
        <f ca="1">IFERROR(__xludf.DUMMYFUNCTION("""COMPUTED_VALUE"""),15)</f>
        <v>15</v>
      </c>
      <c r="F988" s="1">
        <f ca="1">IFERROR(__xludf.DUMMYFUNCTION("""COMPUTED_VALUE"""),5360546)</f>
        <v>5360546</v>
      </c>
    </row>
    <row r="989" spans="1:6" x14ac:dyDescent="0.2">
      <c r="A989" s="2">
        <f ca="1">IFERROR(__xludf.DUMMYFUNCTION("""COMPUTED_VALUE"""),43712.6666666666)</f>
        <v>43712.666666666599</v>
      </c>
      <c r="B989" s="1">
        <f ca="1">IFERROR(__xludf.DUMMYFUNCTION("""COMPUTED_VALUE"""),15.13)</f>
        <v>15.13</v>
      </c>
      <c r="C989" s="1">
        <f ca="1">IFERROR(__xludf.DUMMYFUNCTION("""COMPUTED_VALUE"""),15.23)</f>
        <v>15.23</v>
      </c>
      <c r="D989" s="1">
        <f ca="1">IFERROR(__xludf.DUMMYFUNCTION("""COMPUTED_VALUE"""),14.61)</f>
        <v>14.61</v>
      </c>
      <c r="E989" s="1">
        <f ca="1">IFERROR(__xludf.DUMMYFUNCTION("""COMPUTED_VALUE"""),14.71)</f>
        <v>14.71</v>
      </c>
      <c r="F989" s="1">
        <f ca="1">IFERROR(__xludf.DUMMYFUNCTION("""COMPUTED_VALUE"""),5768696)</f>
        <v>5768696</v>
      </c>
    </row>
    <row r="990" spans="1:6" x14ac:dyDescent="0.2">
      <c r="A990" s="2">
        <f ca="1">IFERROR(__xludf.DUMMYFUNCTION("""COMPUTED_VALUE"""),43713.6666666666)</f>
        <v>43713.666666666599</v>
      </c>
      <c r="B990" s="1">
        <f ca="1">IFERROR(__xludf.DUMMYFUNCTION("""COMPUTED_VALUE"""),14.83)</f>
        <v>14.83</v>
      </c>
      <c r="C990" s="1">
        <f ca="1">IFERROR(__xludf.DUMMYFUNCTION("""COMPUTED_VALUE"""),15.32)</f>
        <v>15.32</v>
      </c>
      <c r="D990" s="1">
        <f ca="1">IFERROR(__xludf.DUMMYFUNCTION("""COMPUTED_VALUE"""),14.72)</f>
        <v>14.72</v>
      </c>
      <c r="E990" s="1">
        <f ca="1">IFERROR(__xludf.DUMMYFUNCTION("""COMPUTED_VALUE"""),15.31)</f>
        <v>15.31</v>
      </c>
      <c r="F990" s="1">
        <f ca="1">IFERROR(__xludf.DUMMYFUNCTION("""COMPUTED_VALUE"""),7403322)</f>
        <v>7403322</v>
      </c>
    </row>
    <row r="991" spans="1:6" x14ac:dyDescent="0.2">
      <c r="A991" s="2">
        <f ca="1">IFERROR(__xludf.DUMMYFUNCTION("""COMPUTED_VALUE"""),43714.6666666666)</f>
        <v>43714.666666666599</v>
      </c>
      <c r="B991" s="1">
        <f ca="1">IFERROR(__xludf.DUMMYFUNCTION("""COMPUTED_VALUE"""),15.15)</f>
        <v>15.15</v>
      </c>
      <c r="C991" s="1">
        <f ca="1">IFERROR(__xludf.DUMMYFUNCTION("""COMPUTED_VALUE"""),15.31)</f>
        <v>15.31</v>
      </c>
      <c r="D991" s="1">
        <f ca="1">IFERROR(__xludf.DUMMYFUNCTION("""COMPUTED_VALUE"""),15.01)</f>
        <v>15.01</v>
      </c>
      <c r="E991" s="1">
        <f ca="1">IFERROR(__xludf.DUMMYFUNCTION("""COMPUTED_VALUE"""),15.16)</f>
        <v>15.16</v>
      </c>
      <c r="F991" s="1">
        <f ca="1">IFERROR(__xludf.DUMMYFUNCTION("""COMPUTED_VALUE"""),4189372)</f>
        <v>4189372</v>
      </c>
    </row>
    <row r="992" spans="1:6" x14ac:dyDescent="0.2">
      <c r="A992" s="2">
        <f ca="1">IFERROR(__xludf.DUMMYFUNCTION("""COMPUTED_VALUE"""),43717.6666666666)</f>
        <v>43717.666666666599</v>
      </c>
      <c r="B992" s="1">
        <f ca="1">IFERROR(__xludf.DUMMYFUNCTION("""COMPUTED_VALUE"""),15.33)</f>
        <v>15.33</v>
      </c>
      <c r="C992" s="1">
        <f ca="1">IFERROR(__xludf.DUMMYFUNCTION("""COMPUTED_VALUE"""),15.58)</f>
        <v>15.58</v>
      </c>
      <c r="D992" s="1">
        <f ca="1">IFERROR(__xludf.DUMMYFUNCTION("""COMPUTED_VALUE"""),15.28)</f>
        <v>15.28</v>
      </c>
      <c r="E992" s="1">
        <f ca="1">IFERROR(__xludf.DUMMYFUNCTION("""COMPUTED_VALUE"""),15.45)</f>
        <v>15.45</v>
      </c>
      <c r="F992" s="1">
        <f ca="1">IFERROR(__xludf.DUMMYFUNCTION("""COMPUTED_VALUE"""),4802669)</f>
        <v>4802669</v>
      </c>
    </row>
    <row r="993" spans="1:6" x14ac:dyDescent="0.2">
      <c r="A993" s="2">
        <f ca="1">IFERROR(__xludf.DUMMYFUNCTION("""COMPUTED_VALUE"""),43718.6666666666)</f>
        <v>43718.666666666599</v>
      </c>
      <c r="B993" s="1">
        <f ca="1">IFERROR(__xludf.DUMMYFUNCTION("""COMPUTED_VALUE"""),15.39)</f>
        <v>15.39</v>
      </c>
      <c r="C993" s="1">
        <f ca="1">IFERROR(__xludf.DUMMYFUNCTION("""COMPUTED_VALUE"""),15.7)</f>
        <v>15.7</v>
      </c>
      <c r="D993" s="1">
        <f ca="1">IFERROR(__xludf.DUMMYFUNCTION("""COMPUTED_VALUE"""),15.26)</f>
        <v>15.26</v>
      </c>
      <c r="E993" s="1">
        <f ca="1">IFERROR(__xludf.DUMMYFUNCTION("""COMPUTED_VALUE"""),15.7)</f>
        <v>15.7</v>
      </c>
      <c r="F993" s="1">
        <f ca="1">IFERROR(__xludf.DUMMYFUNCTION("""COMPUTED_VALUE"""),4883714)</f>
        <v>4883714</v>
      </c>
    </row>
    <row r="994" spans="1:6" x14ac:dyDescent="0.2">
      <c r="A994" s="2">
        <f ca="1">IFERROR(__xludf.DUMMYFUNCTION("""COMPUTED_VALUE"""),43719.6666666666)</f>
        <v>43719.666666666599</v>
      </c>
      <c r="B994" s="1">
        <f ca="1">IFERROR(__xludf.DUMMYFUNCTION("""COMPUTED_VALUE"""),15.83)</f>
        <v>15.83</v>
      </c>
      <c r="C994" s="1">
        <f ca="1">IFERROR(__xludf.DUMMYFUNCTION("""COMPUTED_VALUE"""),16.54)</f>
        <v>16.54</v>
      </c>
      <c r="D994" s="1">
        <f ca="1">IFERROR(__xludf.DUMMYFUNCTION("""COMPUTED_VALUE"""),15.73)</f>
        <v>15.73</v>
      </c>
      <c r="E994" s="1">
        <f ca="1">IFERROR(__xludf.DUMMYFUNCTION("""COMPUTED_VALUE"""),16.47)</f>
        <v>16.47</v>
      </c>
      <c r="F994" s="1">
        <f ca="1">IFERROR(__xludf.DUMMYFUNCTION("""COMPUTED_VALUE"""),10042777)</f>
        <v>10042777</v>
      </c>
    </row>
    <row r="995" spans="1:6" x14ac:dyDescent="0.2">
      <c r="A995" s="2">
        <f ca="1">IFERROR(__xludf.DUMMYFUNCTION("""COMPUTED_VALUE"""),43720.6666666666)</f>
        <v>43720.666666666599</v>
      </c>
      <c r="B995" s="1">
        <f ca="1">IFERROR(__xludf.DUMMYFUNCTION("""COMPUTED_VALUE"""),16.51)</f>
        <v>16.510000000000002</v>
      </c>
      <c r="C995" s="1">
        <f ca="1">IFERROR(__xludf.DUMMYFUNCTION("""COMPUTED_VALUE"""),16.9)</f>
        <v>16.899999999999999</v>
      </c>
      <c r="D995" s="1">
        <f ca="1">IFERROR(__xludf.DUMMYFUNCTION("""COMPUTED_VALUE"""),16.29)</f>
        <v>16.29</v>
      </c>
      <c r="E995" s="1">
        <f ca="1">IFERROR(__xludf.DUMMYFUNCTION("""COMPUTED_VALUE"""),16.39)</f>
        <v>16.39</v>
      </c>
      <c r="F995" s="1">
        <f ca="1">IFERROR(__xludf.DUMMYFUNCTION("""COMPUTED_VALUE"""),8581210)</f>
        <v>8581210</v>
      </c>
    </row>
    <row r="996" spans="1:6" x14ac:dyDescent="0.2">
      <c r="A996" s="2">
        <f ca="1">IFERROR(__xludf.DUMMYFUNCTION("""COMPUTED_VALUE"""),43721.6666666666)</f>
        <v>43721.666666666599</v>
      </c>
      <c r="B996" s="1">
        <f ca="1">IFERROR(__xludf.DUMMYFUNCTION("""COMPUTED_VALUE"""),16.46)</f>
        <v>16.46</v>
      </c>
      <c r="C996" s="1">
        <f ca="1">IFERROR(__xludf.DUMMYFUNCTION("""COMPUTED_VALUE"""),16.56)</f>
        <v>16.559999999999999</v>
      </c>
      <c r="D996" s="1">
        <f ca="1">IFERROR(__xludf.DUMMYFUNCTION("""COMPUTED_VALUE"""),16.32)</f>
        <v>16.32</v>
      </c>
      <c r="E996" s="1">
        <f ca="1">IFERROR(__xludf.DUMMYFUNCTION("""COMPUTED_VALUE"""),16.35)</f>
        <v>16.350000000000001</v>
      </c>
      <c r="F996" s="1">
        <f ca="1">IFERROR(__xludf.DUMMYFUNCTION("""COMPUTED_VALUE"""),5313145)</f>
        <v>5313145</v>
      </c>
    </row>
    <row r="997" spans="1:6" x14ac:dyDescent="0.2">
      <c r="A997" s="2">
        <f ca="1">IFERROR(__xludf.DUMMYFUNCTION("""COMPUTED_VALUE"""),43724.6666666666)</f>
        <v>43724.666666666599</v>
      </c>
      <c r="B997" s="1">
        <f ca="1">IFERROR(__xludf.DUMMYFUNCTION("""COMPUTED_VALUE"""),16.4)</f>
        <v>16.399999999999999</v>
      </c>
      <c r="C997" s="1">
        <f ca="1">IFERROR(__xludf.DUMMYFUNCTION("""COMPUTED_VALUE"""),16.5)</f>
        <v>16.5</v>
      </c>
      <c r="D997" s="1">
        <f ca="1">IFERROR(__xludf.DUMMYFUNCTION("""COMPUTED_VALUE"""),16.08)</f>
        <v>16.079999999999998</v>
      </c>
      <c r="E997" s="1">
        <f ca="1">IFERROR(__xludf.DUMMYFUNCTION("""COMPUTED_VALUE"""),16.19)</f>
        <v>16.190000000000001</v>
      </c>
      <c r="F997" s="1">
        <f ca="1">IFERROR(__xludf.DUMMYFUNCTION("""COMPUTED_VALUE"""),4728096)</f>
        <v>4728096</v>
      </c>
    </row>
    <row r="998" spans="1:6" x14ac:dyDescent="0.2">
      <c r="A998" s="2">
        <f ca="1">IFERROR(__xludf.DUMMYFUNCTION("""COMPUTED_VALUE"""),43725.6666666666)</f>
        <v>43725.666666666599</v>
      </c>
      <c r="B998" s="1">
        <f ca="1">IFERROR(__xludf.DUMMYFUNCTION("""COMPUTED_VALUE"""),16.16)</f>
        <v>16.16</v>
      </c>
      <c r="C998" s="1">
        <f ca="1">IFERROR(__xludf.DUMMYFUNCTION("""COMPUTED_VALUE"""),16.37)</f>
        <v>16.37</v>
      </c>
      <c r="D998" s="1">
        <f ca="1">IFERROR(__xludf.DUMMYFUNCTION("""COMPUTED_VALUE"""),16.02)</f>
        <v>16.02</v>
      </c>
      <c r="E998" s="1">
        <f ca="1">IFERROR(__xludf.DUMMYFUNCTION("""COMPUTED_VALUE"""),16.32)</f>
        <v>16.32</v>
      </c>
      <c r="F998" s="1">
        <f ca="1">IFERROR(__xludf.DUMMYFUNCTION("""COMPUTED_VALUE"""),3946909)</f>
        <v>3946909</v>
      </c>
    </row>
    <row r="999" spans="1:6" x14ac:dyDescent="0.2">
      <c r="A999" s="2">
        <f ca="1">IFERROR(__xludf.DUMMYFUNCTION("""COMPUTED_VALUE"""),43726.6666666666)</f>
        <v>43726.666666666599</v>
      </c>
      <c r="B999" s="1">
        <f ca="1">IFERROR(__xludf.DUMMYFUNCTION("""COMPUTED_VALUE"""),16.33)</f>
        <v>16.329999999999998</v>
      </c>
      <c r="C999" s="1">
        <f ca="1">IFERROR(__xludf.DUMMYFUNCTION("""COMPUTED_VALUE"""),16.54)</f>
        <v>16.54</v>
      </c>
      <c r="D999" s="1">
        <f ca="1">IFERROR(__xludf.DUMMYFUNCTION("""COMPUTED_VALUE"""),16.16)</f>
        <v>16.16</v>
      </c>
      <c r="E999" s="1">
        <f ca="1">IFERROR(__xludf.DUMMYFUNCTION("""COMPUTED_VALUE"""),16.23)</f>
        <v>16.23</v>
      </c>
      <c r="F999" s="1">
        <f ca="1">IFERROR(__xludf.DUMMYFUNCTION("""COMPUTED_VALUE"""),4228103)</f>
        <v>4228103</v>
      </c>
    </row>
    <row r="1000" spans="1:6" x14ac:dyDescent="0.2">
      <c r="A1000" s="2">
        <f ca="1">IFERROR(__xludf.DUMMYFUNCTION("""COMPUTED_VALUE"""),43727.6666666666)</f>
        <v>43727.666666666599</v>
      </c>
      <c r="B1000" s="1">
        <f ca="1">IFERROR(__xludf.DUMMYFUNCTION("""COMPUTED_VALUE"""),16.4)</f>
        <v>16.399999999999999</v>
      </c>
      <c r="C1000" s="1">
        <f ca="1">IFERROR(__xludf.DUMMYFUNCTION("""COMPUTED_VALUE"""),16.53)</f>
        <v>16.53</v>
      </c>
      <c r="D1000" s="1">
        <f ca="1">IFERROR(__xludf.DUMMYFUNCTION("""COMPUTED_VALUE"""),16.32)</f>
        <v>16.32</v>
      </c>
      <c r="E1000" s="1">
        <f ca="1">IFERROR(__xludf.DUMMYFUNCTION("""COMPUTED_VALUE"""),16.44)</f>
        <v>16.440000000000001</v>
      </c>
      <c r="F1000" s="1">
        <f ca="1">IFERROR(__xludf.DUMMYFUNCTION("""COMPUTED_VALUE"""),4883135)</f>
        <v>4883135</v>
      </c>
    </row>
    <row r="1001" spans="1:6" x14ac:dyDescent="0.2">
      <c r="A1001" s="2">
        <f ca="1">IFERROR(__xludf.DUMMYFUNCTION("""COMPUTED_VALUE"""),43728.6666666666)</f>
        <v>43728.666666666599</v>
      </c>
      <c r="B1001" s="1">
        <f ca="1">IFERROR(__xludf.DUMMYFUNCTION("""COMPUTED_VALUE"""),16.43)</f>
        <v>16.43</v>
      </c>
      <c r="C1001" s="1">
        <f ca="1">IFERROR(__xludf.DUMMYFUNCTION("""COMPUTED_VALUE"""),16.46)</f>
        <v>16.46</v>
      </c>
      <c r="D1001" s="1">
        <f ca="1">IFERROR(__xludf.DUMMYFUNCTION("""COMPUTED_VALUE"""),15.88)</f>
        <v>15.88</v>
      </c>
      <c r="E1001" s="1">
        <f ca="1">IFERROR(__xludf.DUMMYFUNCTION("""COMPUTED_VALUE"""),16.04)</f>
        <v>16.04</v>
      </c>
      <c r="F1001" s="1">
        <f ca="1">IFERROR(__xludf.DUMMYFUNCTION("""COMPUTED_VALUE"""),6506264)</f>
        <v>6506264</v>
      </c>
    </row>
    <row r="1002" spans="1:6" x14ac:dyDescent="0.2">
      <c r="A1002" s="2">
        <f ca="1">IFERROR(__xludf.DUMMYFUNCTION("""COMPUTED_VALUE"""),43731.6666666666)</f>
        <v>43731.666666666599</v>
      </c>
      <c r="B1002" s="1">
        <f ca="1">IFERROR(__xludf.DUMMYFUNCTION("""COMPUTED_VALUE"""),16)</f>
        <v>16</v>
      </c>
      <c r="C1002" s="1">
        <f ca="1">IFERROR(__xludf.DUMMYFUNCTION("""COMPUTED_VALUE"""),16.35)</f>
        <v>16.350000000000001</v>
      </c>
      <c r="D1002" s="1">
        <f ca="1">IFERROR(__xludf.DUMMYFUNCTION("""COMPUTED_VALUE"""),15.95)</f>
        <v>15.95</v>
      </c>
      <c r="E1002" s="1">
        <f ca="1">IFERROR(__xludf.DUMMYFUNCTION("""COMPUTED_VALUE"""),16.08)</f>
        <v>16.079999999999998</v>
      </c>
      <c r="F1002" s="1">
        <f ca="1">IFERROR(__xludf.DUMMYFUNCTION("""COMPUTED_VALUE"""),4391630)</f>
        <v>4391630</v>
      </c>
    </row>
    <row r="1003" spans="1:6" x14ac:dyDescent="0.2">
      <c r="A1003" s="2">
        <f ca="1">IFERROR(__xludf.DUMMYFUNCTION("""COMPUTED_VALUE"""),43732.6666666666)</f>
        <v>43732.666666666599</v>
      </c>
      <c r="B1003" s="1">
        <f ca="1">IFERROR(__xludf.DUMMYFUNCTION("""COMPUTED_VALUE"""),16.1)</f>
        <v>16.100000000000001</v>
      </c>
      <c r="C1003" s="1">
        <f ca="1">IFERROR(__xludf.DUMMYFUNCTION("""COMPUTED_VALUE"""),16.13)</f>
        <v>16.13</v>
      </c>
      <c r="D1003" s="1">
        <f ca="1">IFERROR(__xludf.DUMMYFUNCTION("""COMPUTED_VALUE"""),14.84)</f>
        <v>14.84</v>
      </c>
      <c r="E1003" s="1">
        <f ca="1">IFERROR(__xludf.DUMMYFUNCTION("""COMPUTED_VALUE"""),14.88)</f>
        <v>14.88</v>
      </c>
      <c r="F1003" s="1">
        <f ca="1">IFERROR(__xludf.DUMMYFUNCTION("""COMPUTED_VALUE"""),12941112)</f>
        <v>12941112</v>
      </c>
    </row>
    <row r="1004" spans="1:6" x14ac:dyDescent="0.2">
      <c r="A1004" s="2">
        <f ca="1">IFERROR(__xludf.DUMMYFUNCTION("""COMPUTED_VALUE"""),43733.6666666666)</f>
        <v>43733.666666666599</v>
      </c>
      <c r="B1004" s="1">
        <f ca="1">IFERROR(__xludf.DUMMYFUNCTION("""COMPUTED_VALUE"""),14.97)</f>
        <v>14.97</v>
      </c>
      <c r="C1004" s="1">
        <f ca="1">IFERROR(__xludf.DUMMYFUNCTION("""COMPUTED_VALUE"""),15.27)</f>
        <v>15.27</v>
      </c>
      <c r="D1004" s="1">
        <f ca="1">IFERROR(__xludf.DUMMYFUNCTION("""COMPUTED_VALUE"""),14.56)</f>
        <v>14.56</v>
      </c>
      <c r="E1004" s="1">
        <f ca="1">IFERROR(__xludf.DUMMYFUNCTION("""COMPUTED_VALUE"""),15.25)</f>
        <v>15.25</v>
      </c>
      <c r="F1004" s="1">
        <f ca="1">IFERROR(__xludf.DUMMYFUNCTION("""COMPUTED_VALUE"""),9444286)</f>
        <v>9444286</v>
      </c>
    </row>
    <row r="1005" spans="1:6" x14ac:dyDescent="0.2">
      <c r="A1005" s="2">
        <f ca="1">IFERROR(__xludf.DUMMYFUNCTION("""COMPUTED_VALUE"""),43734.6666666666)</f>
        <v>43734.666666666599</v>
      </c>
      <c r="B1005" s="1">
        <f ca="1">IFERROR(__xludf.DUMMYFUNCTION("""COMPUTED_VALUE"""),15.38)</f>
        <v>15.38</v>
      </c>
      <c r="C1005" s="1">
        <f ca="1">IFERROR(__xludf.DUMMYFUNCTION("""COMPUTED_VALUE"""),16.22)</f>
        <v>16.22</v>
      </c>
      <c r="D1005" s="1">
        <f ca="1">IFERROR(__xludf.DUMMYFUNCTION("""COMPUTED_VALUE"""),15.16)</f>
        <v>15.16</v>
      </c>
      <c r="E1005" s="1">
        <f ca="1">IFERROR(__xludf.DUMMYFUNCTION("""COMPUTED_VALUE"""),16.17)</f>
        <v>16.170000000000002</v>
      </c>
      <c r="F1005" s="1">
        <f ca="1">IFERROR(__xludf.DUMMYFUNCTION("""COMPUTED_VALUE"""),12078785)</f>
        <v>12078785</v>
      </c>
    </row>
    <row r="1006" spans="1:6" x14ac:dyDescent="0.2">
      <c r="A1006" s="2">
        <f ca="1">IFERROR(__xludf.DUMMYFUNCTION("""COMPUTED_VALUE"""),43735.6666666666)</f>
        <v>43735.666666666599</v>
      </c>
      <c r="B1006" s="1">
        <f ca="1">IFERROR(__xludf.DUMMYFUNCTION("""COMPUTED_VALUE"""),16.15)</f>
        <v>16.149999999999999</v>
      </c>
      <c r="C1006" s="1">
        <f ca="1">IFERROR(__xludf.DUMMYFUNCTION("""COMPUTED_VALUE"""),16.58)</f>
        <v>16.579999999999998</v>
      </c>
      <c r="D1006" s="1">
        <f ca="1">IFERROR(__xludf.DUMMYFUNCTION("""COMPUTED_VALUE"""),15.92)</f>
        <v>15.92</v>
      </c>
      <c r="E1006" s="1">
        <f ca="1">IFERROR(__xludf.DUMMYFUNCTION("""COMPUTED_VALUE"""),16.14)</f>
        <v>16.14</v>
      </c>
      <c r="F1006" s="1">
        <f ca="1">IFERROR(__xludf.DUMMYFUNCTION("""COMPUTED_VALUE"""),11123179)</f>
        <v>11123179</v>
      </c>
    </row>
    <row r="1007" spans="1:6" x14ac:dyDescent="0.2">
      <c r="A1007" s="2">
        <f ca="1">IFERROR(__xludf.DUMMYFUNCTION("""COMPUTED_VALUE"""),43738.6666666666)</f>
        <v>43738.666666666599</v>
      </c>
      <c r="B1007" s="1">
        <f ca="1">IFERROR(__xludf.DUMMYFUNCTION("""COMPUTED_VALUE"""),16.2)</f>
        <v>16.2</v>
      </c>
      <c r="C1007" s="1">
        <f ca="1">IFERROR(__xludf.DUMMYFUNCTION("""COMPUTED_VALUE"""),16.27)</f>
        <v>16.27</v>
      </c>
      <c r="D1007" s="1">
        <f ca="1">IFERROR(__xludf.DUMMYFUNCTION("""COMPUTED_VALUE"""),15.74)</f>
        <v>15.74</v>
      </c>
      <c r="E1007" s="1">
        <f ca="1">IFERROR(__xludf.DUMMYFUNCTION("""COMPUTED_VALUE"""),16.06)</f>
        <v>16.059999999999999</v>
      </c>
      <c r="F1007" s="1">
        <f ca="1">IFERROR(__xludf.DUMMYFUNCTION("""COMPUTED_VALUE"""),5946161)</f>
        <v>5946161</v>
      </c>
    </row>
    <row r="1008" spans="1:6" x14ac:dyDescent="0.2">
      <c r="A1008" s="2">
        <f ca="1">IFERROR(__xludf.DUMMYFUNCTION("""COMPUTED_VALUE"""),43739.6666666666)</f>
        <v>43739.666666666599</v>
      </c>
      <c r="B1008" s="1">
        <f ca="1">IFERROR(__xludf.DUMMYFUNCTION("""COMPUTED_VALUE"""),16.1)</f>
        <v>16.100000000000001</v>
      </c>
      <c r="C1008" s="1">
        <f ca="1">IFERROR(__xludf.DUMMYFUNCTION("""COMPUTED_VALUE"""),16.4)</f>
        <v>16.399999999999999</v>
      </c>
      <c r="D1008" s="1">
        <f ca="1">IFERROR(__xludf.DUMMYFUNCTION("""COMPUTED_VALUE"""),15.94)</f>
        <v>15.94</v>
      </c>
      <c r="E1008" s="1">
        <f ca="1">IFERROR(__xludf.DUMMYFUNCTION("""COMPUTED_VALUE"""),16.31)</f>
        <v>16.309999999999999</v>
      </c>
      <c r="F1008" s="1">
        <f ca="1">IFERROR(__xludf.DUMMYFUNCTION("""COMPUTED_VALUE"""),6196290)</f>
        <v>6196290</v>
      </c>
    </row>
    <row r="1009" spans="1:6" x14ac:dyDescent="0.2">
      <c r="A1009" s="2">
        <f ca="1">IFERROR(__xludf.DUMMYFUNCTION("""COMPUTED_VALUE"""),43740.6666666666)</f>
        <v>43740.666666666599</v>
      </c>
      <c r="B1009" s="1">
        <f ca="1">IFERROR(__xludf.DUMMYFUNCTION("""COMPUTED_VALUE"""),16.22)</f>
        <v>16.22</v>
      </c>
      <c r="C1009" s="1">
        <f ca="1">IFERROR(__xludf.DUMMYFUNCTION("""COMPUTED_VALUE"""),16.31)</f>
        <v>16.309999999999999</v>
      </c>
      <c r="D1009" s="1">
        <f ca="1">IFERROR(__xludf.DUMMYFUNCTION("""COMPUTED_VALUE"""),15.96)</f>
        <v>15.96</v>
      </c>
      <c r="E1009" s="1">
        <f ca="1">IFERROR(__xludf.DUMMYFUNCTION("""COMPUTED_VALUE"""),16.21)</f>
        <v>16.21</v>
      </c>
      <c r="F1009" s="1">
        <f ca="1">IFERROR(__xludf.DUMMYFUNCTION("""COMPUTED_VALUE"""),6256548)</f>
        <v>6256548</v>
      </c>
    </row>
    <row r="1010" spans="1:6" x14ac:dyDescent="0.2">
      <c r="A1010" s="2">
        <f ca="1">IFERROR(__xludf.DUMMYFUNCTION("""COMPUTED_VALUE"""),43741.6666666666)</f>
        <v>43741.666666666599</v>
      </c>
      <c r="B1010" s="1">
        <f ca="1">IFERROR(__xludf.DUMMYFUNCTION("""COMPUTED_VALUE"""),15.46)</f>
        <v>15.46</v>
      </c>
      <c r="C1010" s="1">
        <f ca="1">IFERROR(__xludf.DUMMYFUNCTION("""COMPUTED_VALUE"""),15.63)</f>
        <v>15.63</v>
      </c>
      <c r="D1010" s="1">
        <f ca="1">IFERROR(__xludf.DUMMYFUNCTION("""COMPUTED_VALUE"""),14.95)</f>
        <v>14.95</v>
      </c>
      <c r="E1010" s="1">
        <f ca="1">IFERROR(__xludf.DUMMYFUNCTION("""COMPUTED_VALUE"""),15.54)</f>
        <v>15.54</v>
      </c>
      <c r="F1010" s="1">
        <f ca="1">IFERROR(__xludf.DUMMYFUNCTION("""COMPUTED_VALUE"""),15137763)</f>
        <v>15137763</v>
      </c>
    </row>
    <row r="1011" spans="1:6" x14ac:dyDescent="0.2">
      <c r="A1011" s="2">
        <f ca="1">IFERROR(__xludf.DUMMYFUNCTION("""COMPUTED_VALUE"""),43742.6666666666)</f>
        <v>43742.666666666599</v>
      </c>
      <c r="B1011" s="1">
        <f ca="1">IFERROR(__xludf.DUMMYFUNCTION("""COMPUTED_VALUE"""),15.44)</f>
        <v>15.44</v>
      </c>
      <c r="C1011" s="1">
        <f ca="1">IFERROR(__xludf.DUMMYFUNCTION("""COMPUTED_VALUE"""),15.65)</f>
        <v>15.65</v>
      </c>
      <c r="D1011" s="1">
        <f ca="1">IFERROR(__xludf.DUMMYFUNCTION("""COMPUTED_VALUE"""),15.2)</f>
        <v>15.2</v>
      </c>
      <c r="E1011" s="1">
        <f ca="1">IFERROR(__xludf.DUMMYFUNCTION("""COMPUTED_VALUE"""),15.43)</f>
        <v>15.43</v>
      </c>
      <c r="F1011" s="1">
        <f ca="1">IFERROR(__xludf.DUMMYFUNCTION("""COMPUTED_VALUE"""),8021180)</f>
        <v>8021180</v>
      </c>
    </row>
    <row r="1012" spans="1:6" x14ac:dyDescent="0.2">
      <c r="A1012" s="2">
        <f ca="1">IFERROR(__xludf.DUMMYFUNCTION("""COMPUTED_VALUE"""),43745.6666666666)</f>
        <v>43745.666666666599</v>
      </c>
      <c r="B1012" s="1">
        <f ca="1">IFERROR(__xludf.DUMMYFUNCTION("""COMPUTED_VALUE"""),15.32)</f>
        <v>15.32</v>
      </c>
      <c r="C1012" s="1">
        <f ca="1">IFERROR(__xludf.DUMMYFUNCTION("""COMPUTED_VALUE"""),15.9)</f>
        <v>15.9</v>
      </c>
      <c r="D1012" s="1">
        <f ca="1">IFERROR(__xludf.DUMMYFUNCTION("""COMPUTED_VALUE"""),15.24)</f>
        <v>15.24</v>
      </c>
      <c r="E1012" s="1">
        <f ca="1">IFERROR(__xludf.DUMMYFUNCTION("""COMPUTED_VALUE"""),15.85)</f>
        <v>15.85</v>
      </c>
      <c r="F1012" s="1">
        <f ca="1">IFERROR(__xludf.DUMMYFUNCTION("""COMPUTED_VALUE"""),8086957)</f>
        <v>8086957</v>
      </c>
    </row>
    <row r="1013" spans="1:6" x14ac:dyDescent="0.2">
      <c r="A1013" s="2">
        <f ca="1">IFERROR(__xludf.DUMMYFUNCTION("""COMPUTED_VALUE"""),43746.6666666666)</f>
        <v>43746.666666666599</v>
      </c>
      <c r="B1013" s="1">
        <f ca="1">IFERROR(__xludf.DUMMYFUNCTION("""COMPUTED_VALUE"""),15.72)</f>
        <v>15.72</v>
      </c>
      <c r="C1013" s="1">
        <f ca="1">IFERROR(__xludf.DUMMYFUNCTION("""COMPUTED_VALUE"""),16.26)</f>
        <v>16.260000000000002</v>
      </c>
      <c r="D1013" s="1">
        <f ca="1">IFERROR(__xludf.DUMMYFUNCTION("""COMPUTED_VALUE"""),15.63)</f>
        <v>15.63</v>
      </c>
      <c r="E1013" s="1">
        <f ca="1">IFERROR(__xludf.DUMMYFUNCTION("""COMPUTED_VALUE"""),16)</f>
        <v>16</v>
      </c>
      <c r="F1013" s="1">
        <f ca="1">IFERROR(__xludf.DUMMYFUNCTION("""COMPUTED_VALUE"""),8702338)</f>
        <v>8702338</v>
      </c>
    </row>
    <row r="1014" spans="1:6" x14ac:dyDescent="0.2">
      <c r="A1014" s="2">
        <f ca="1">IFERROR(__xludf.DUMMYFUNCTION("""COMPUTED_VALUE"""),43747.6666666666)</f>
        <v>43747.666666666599</v>
      </c>
      <c r="B1014" s="1">
        <f ca="1">IFERROR(__xludf.DUMMYFUNCTION("""COMPUTED_VALUE"""),16.09)</f>
        <v>16.09</v>
      </c>
      <c r="C1014" s="1">
        <f ca="1">IFERROR(__xludf.DUMMYFUNCTION("""COMPUTED_VALUE"""),16.49)</f>
        <v>16.489999999999998</v>
      </c>
      <c r="D1014" s="1">
        <f ca="1">IFERROR(__xludf.DUMMYFUNCTION("""COMPUTED_VALUE"""),16.04)</f>
        <v>16.04</v>
      </c>
      <c r="E1014" s="1">
        <f ca="1">IFERROR(__xludf.DUMMYFUNCTION("""COMPUTED_VALUE"""),16.3)</f>
        <v>16.3</v>
      </c>
      <c r="F1014" s="1">
        <f ca="1">IFERROR(__xludf.DUMMYFUNCTION("""COMPUTED_VALUE"""),6935033)</f>
        <v>6935033</v>
      </c>
    </row>
    <row r="1015" spans="1:6" x14ac:dyDescent="0.2">
      <c r="A1015" s="2">
        <f ca="1">IFERROR(__xludf.DUMMYFUNCTION("""COMPUTED_VALUE"""),43748.6666666666)</f>
        <v>43748.666666666599</v>
      </c>
      <c r="B1015" s="1">
        <f ca="1">IFERROR(__xludf.DUMMYFUNCTION("""COMPUTED_VALUE"""),16.35)</f>
        <v>16.350000000000001</v>
      </c>
      <c r="C1015" s="1">
        <f ca="1">IFERROR(__xludf.DUMMYFUNCTION("""COMPUTED_VALUE"""),16.62)</f>
        <v>16.62</v>
      </c>
      <c r="D1015" s="1">
        <f ca="1">IFERROR(__xludf.DUMMYFUNCTION("""COMPUTED_VALUE"""),16.11)</f>
        <v>16.11</v>
      </c>
      <c r="E1015" s="1">
        <f ca="1">IFERROR(__xludf.DUMMYFUNCTION("""COMPUTED_VALUE"""),16.32)</f>
        <v>16.32</v>
      </c>
      <c r="F1015" s="1">
        <f ca="1">IFERROR(__xludf.DUMMYFUNCTION("""COMPUTED_VALUE"""),6313417)</f>
        <v>6313417</v>
      </c>
    </row>
    <row r="1016" spans="1:6" x14ac:dyDescent="0.2">
      <c r="A1016" s="2">
        <f ca="1">IFERROR(__xludf.DUMMYFUNCTION("""COMPUTED_VALUE"""),43749.6666666666)</f>
        <v>43749.666666666599</v>
      </c>
      <c r="B1016" s="1">
        <f ca="1">IFERROR(__xludf.DUMMYFUNCTION("""COMPUTED_VALUE"""),16.48)</f>
        <v>16.48</v>
      </c>
      <c r="C1016" s="1">
        <f ca="1">IFERROR(__xludf.DUMMYFUNCTION("""COMPUTED_VALUE"""),16.74)</f>
        <v>16.739999999999998</v>
      </c>
      <c r="D1016" s="1">
        <f ca="1">IFERROR(__xludf.DUMMYFUNCTION("""COMPUTED_VALUE"""),16.45)</f>
        <v>16.45</v>
      </c>
      <c r="E1016" s="1">
        <f ca="1">IFERROR(__xludf.DUMMYFUNCTION("""COMPUTED_VALUE"""),16.53)</f>
        <v>16.53</v>
      </c>
      <c r="F1016" s="1">
        <f ca="1">IFERROR(__xludf.DUMMYFUNCTION("""COMPUTED_VALUE"""),8488159)</f>
        <v>8488159</v>
      </c>
    </row>
    <row r="1017" spans="1:6" x14ac:dyDescent="0.2">
      <c r="A1017" s="2">
        <f ca="1">IFERROR(__xludf.DUMMYFUNCTION("""COMPUTED_VALUE"""),43752.6666666666)</f>
        <v>43752.666666666599</v>
      </c>
      <c r="B1017" s="1">
        <f ca="1">IFERROR(__xludf.DUMMYFUNCTION("""COMPUTED_VALUE"""),16.53)</f>
        <v>16.53</v>
      </c>
      <c r="C1017" s="1">
        <f ca="1">IFERROR(__xludf.DUMMYFUNCTION("""COMPUTED_VALUE"""),17.24)</f>
        <v>17.239999999999998</v>
      </c>
      <c r="D1017" s="1">
        <f ca="1">IFERROR(__xludf.DUMMYFUNCTION("""COMPUTED_VALUE"""),16.48)</f>
        <v>16.48</v>
      </c>
      <c r="E1017" s="1">
        <f ca="1">IFERROR(__xludf.DUMMYFUNCTION("""COMPUTED_VALUE"""),17.13)</f>
        <v>17.13</v>
      </c>
      <c r="F1017" s="1">
        <f ca="1">IFERROR(__xludf.DUMMYFUNCTION("""COMPUTED_VALUE"""),10226863)</f>
        <v>10226863</v>
      </c>
    </row>
    <row r="1018" spans="1:6" x14ac:dyDescent="0.2">
      <c r="A1018" s="2">
        <f ca="1">IFERROR(__xludf.DUMMYFUNCTION("""COMPUTED_VALUE"""),43753.6666666666)</f>
        <v>43753.666666666599</v>
      </c>
      <c r="B1018" s="1">
        <f ca="1">IFERROR(__xludf.DUMMYFUNCTION("""COMPUTED_VALUE"""),17.18)</f>
        <v>17.18</v>
      </c>
      <c r="C1018" s="1">
        <f ca="1">IFERROR(__xludf.DUMMYFUNCTION("""COMPUTED_VALUE"""),17.33)</f>
        <v>17.329999999999998</v>
      </c>
      <c r="D1018" s="1">
        <f ca="1">IFERROR(__xludf.DUMMYFUNCTION("""COMPUTED_VALUE"""),16.94)</f>
        <v>16.940000000000001</v>
      </c>
      <c r="E1018" s="1">
        <f ca="1">IFERROR(__xludf.DUMMYFUNCTION("""COMPUTED_VALUE"""),17.19)</f>
        <v>17.190000000000001</v>
      </c>
      <c r="F1018" s="1">
        <f ca="1">IFERROR(__xludf.DUMMYFUNCTION("""COMPUTED_VALUE"""),6479456)</f>
        <v>6479456</v>
      </c>
    </row>
    <row r="1019" spans="1:6" x14ac:dyDescent="0.2">
      <c r="A1019" s="2">
        <f ca="1">IFERROR(__xludf.DUMMYFUNCTION("""COMPUTED_VALUE"""),43754.6666666666)</f>
        <v>43754.666666666599</v>
      </c>
      <c r="B1019" s="1">
        <f ca="1">IFERROR(__xludf.DUMMYFUNCTION("""COMPUTED_VALUE"""),17.16)</f>
        <v>17.16</v>
      </c>
      <c r="C1019" s="1">
        <f ca="1">IFERROR(__xludf.DUMMYFUNCTION("""COMPUTED_VALUE"""),17.47)</f>
        <v>17.47</v>
      </c>
      <c r="D1019" s="1">
        <f ca="1">IFERROR(__xludf.DUMMYFUNCTION("""COMPUTED_VALUE"""),17.13)</f>
        <v>17.13</v>
      </c>
      <c r="E1019" s="1">
        <f ca="1">IFERROR(__xludf.DUMMYFUNCTION("""COMPUTED_VALUE"""),17.32)</f>
        <v>17.32</v>
      </c>
      <c r="F1019" s="1">
        <f ca="1">IFERROR(__xludf.DUMMYFUNCTION("""COMPUTED_VALUE"""),6704303)</f>
        <v>6704303</v>
      </c>
    </row>
    <row r="1020" spans="1:6" x14ac:dyDescent="0.2">
      <c r="A1020" s="2">
        <f ca="1">IFERROR(__xludf.DUMMYFUNCTION("""COMPUTED_VALUE"""),43755.6666666666)</f>
        <v>43755.666666666599</v>
      </c>
      <c r="B1020" s="1">
        <f ca="1">IFERROR(__xludf.DUMMYFUNCTION("""COMPUTED_VALUE"""),17.5)</f>
        <v>17.5</v>
      </c>
      <c r="C1020" s="1">
        <f ca="1">IFERROR(__xludf.DUMMYFUNCTION("""COMPUTED_VALUE"""),17.65)</f>
        <v>17.649999999999999</v>
      </c>
      <c r="D1020" s="1">
        <f ca="1">IFERROR(__xludf.DUMMYFUNCTION("""COMPUTED_VALUE"""),17.34)</f>
        <v>17.34</v>
      </c>
      <c r="E1020" s="1">
        <f ca="1">IFERROR(__xludf.DUMMYFUNCTION("""COMPUTED_VALUE"""),17.46)</f>
        <v>17.46</v>
      </c>
      <c r="F1020" s="1">
        <f ca="1">IFERROR(__xludf.DUMMYFUNCTION("""COMPUTED_VALUE"""),4779043)</f>
        <v>4779043</v>
      </c>
    </row>
    <row r="1021" spans="1:6" x14ac:dyDescent="0.2">
      <c r="A1021" s="2">
        <f ca="1">IFERROR(__xludf.DUMMYFUNCTION("""COMPUTED_VALUE"""),43756.6666666666)</f>
        <v>43756.666666666599</v>
      </c>
      <c r="B1021" s="1">
        <f ca="1">IFERROR(__xludf.DUMMYFUNCTION("""COMPUTED_VALUE"""),17.38)</f>
        <v>17.38</v>
      </c>
      <c r="C1021" s="1">
        <f ca="1">IFERROR(__xludf.DUMMYFUNCTION("""COMPUTED_VALUE"""),17.52)</f>
        <v>17.52</v>
      </c>
      <c r="D1021" s="1">
        <f ca="1">IFERROR(__xludf.DUMMYFUNCTION("""COMPUTED_VALUE"""),17.01)</f>
        <v>17.010000000000002</v>
      </c>
      <c r="E1021" s="1">
        <f ca="1">IFERROR(__xludf.DUMMYFUNCTION("""COMPUTED_VALUE"""),17.13)</f>
        <v>17.13</v>
      </c>
      <c r="F1021" s="1">
        <f ca="1">IFERROR(__xludf.DUMMYFUNCTION("""COMPUTED_VALUE"""),5753666)</f>
        <v>5753666</v>
      </c>
    </row>
    <row r="1022" spans="1:6" x14ac:dyDescent="0.2">
      <c r="A1022" s="2">
        <f ca="1">IFERROR(__xludf.DUMMYFUNCTION("""COMPUTED_VALUE"""),43759.6666666666)</f>
        <v>43759.666666666599</v>
      </c>
      <c r="B1022" s="1">
        <f ca="1">IFERROR(__xludf.DUMMYFUNCTION("""COMPUTED_VALUE"""),17.22)</f>
        <v>17.22</v>
      </c>
      <c r="C1022" s="1">
        <f ca="1">IFERROR(__xludf.DUMMYFUNCTION("""COMPUTED_VALUE"""),17.3)</f>
        <v>17.3</v>
      </c>
      <c r="D1022" s="1">
        <f ca="1">IFERROR(__xludf.DUMMYFUNCTION("""COMPUTED_VALUE"""),16.68)</f>
        <v>16.68</v>
      </c>
      <c r="E1022" s="1">
        <f ca="1">IFERROR(__xludf.DUMMYFUNCTION("""COMPUTED_VALUE"""),16.9)</f>
        <v>16.899999999999999</v>
      </c>
      <c r="F1022" s="1">
        <f ca="1">IFERROR(__xludf.DUMMYFUNCTION("""COMPUTED_VALUE"""),5108101)</f>
        <v>5108101</v>
      </c>
    </row>
    <row r="1023" spans="1:6" x14ac:dyDescent="0.2">
      <c r="A1023" s="2">
        <f ca="1">IFERROR(__xludf.DUMMYFUNCTION("""COMPUTED_VALUE"""),43760.6666666666)</f>
        <v>43760.666666666599</v>
      </c>
      <c r="B1023" s="1">
        <f ca="1">IFERROR(__xludf.DUMMYFUNCTION("""COMPUTED_VALUE"""),16.95)</f>
        <v>16.95</v>
      </c>
      <c r="C1023" s="1">
        <f ca="1">IFERROR(__xludf.DUMMYFUNCTION("""COMPUTED_VALUE"""),17.22)</f>
        <v>17.22</v>
      </c>
      <c r="D1023" s="1">
        <f ca="1">IFERROR(__xludf.DUMMYFUNCTION("""COMPUTED_VALUE"""),16.72)</f>
        <v>16.72</v>
      </c>
      <c r="E1023" s="1">
        <f ca="1">IFERROR(__xludf.DUMMYFUNCTION("""COMPUTED_VALUE"""),17.04)</f>
        <v>17.04</v>
      </c>
      <c r="F1023" s="1">
        <f ca="1">IFERROR(__xludf.DUMMYFUNCTION("""COMPUTED_VALUE"""),4625095)</f>
        <v>4625095</v>
      </c>
    </row>
    <row r="1024" spans="1:6" x14ac:dyDescent="0.2">
      <c r="A1024" s="2">
        <f ca="1">IFERROR(__xludf.DUMMYFUNCTION("""COMPUTED_VALUE"""),43761.6666666666)</f>
        <v>43761.666666666599</v>
      </c>
      <c r="B1024" s="1">
        <f ca="1">IFERROR(__xludf.DUMMYFUNCTION("""COMPUTED_VALUE"""),16.97)</f>
        <v>16.97</v>
      </c>
      <c r="C1024" s="1">
        <f ca="1">IFERROR(__xludf.DUMMYFUNCTION("""COMPUTED_VALUE"""),17.08)</f>
        <v>17.079999999999998</v>
      </c>
      <c r="D1024" s="1">
        <f ca="1">IFERROR(__xludf.DUMMYFUNCTION("""COMPUTED_VALUE"""),16.76)</f>
        <v>16.760000000000002</v>
      </c>
      <c r="E1024" s="1">
        <f ca="1">IFERROR(__xludf.DUMMYFUNCTION("""COMPUTED_VALUE"""),16.98)</f>
        <v>16.98</v>
      </c>
      <c r="F1024" s="1">
        <f ca="1">IFERROR(__xludf.DUMMYFUNCTION("""COMPUTED_VALUE"""),11216182)</f>
        <v>11216182</v>
      </c>
    </row>
    <row r="1025" spans="1:6" x14ac:dyDescent="0.2">
      <c r="A1025" s="2">
        <f ca="1">IFERROR(__xludf.DUMMYFUNCTION("""COMPUTED_VALUE"""),43762.6666666666)</f>
        <v>43762.666666666599</v>
      </c>
      <c r="B1025" s="1">
        <f ca="1">IFERROR(__xludf.DUMMYFUNCTION("""COMPUTED_VALUE"""),19.89)</f>
        <v>19.89</v>
      </c>
      <c r="C1025" s="1">
        <f ca="1">IFERROR(__xludf.DUMMYFUNCTION("""COMPUTED_VALUE"""),20.33)</f>
        <v>20.329999999999998</v>
      </c>
      <c r="D1025" s="1">
        <f ca="1">IFERROR(__xludf.DUMMYFUNCTION("""COMPUTED_VALUE"""),19.28)</f>
        <v>19.28</v>
      </c>
      <c r="E1025" s="1">
        <f ca="1">IFERROR(__xludf.DUMMYFUNCTION("""COMPUTED_VALUE"""),19.98)</f>
        <v>19.98</v>
      </c>
      <c r="F1025" s="1">
        <f ca="1">IFERROR(__xludf.DUMMYFUNCTION("""COMPUTED_VALUE"""),29819231)</f>
        <v>29819231</v>
      </c>
    </row>
    <row r="1026" spans="1:6" x14ac:dyDescent="0.2">
      <c r="A1026" s="2">
        <f ca="1">IFERROR(__xludf.DUMMYFUNCTION("""COMPUTED_VALUE"""),43763.6666666666)</f>
        <v>43763.666666666599</v>
      </c>
      <c r="B1026" s="1">
        <f ca="1">IFERROR(__xludf.DUMMYFUNCTION("""COMPUTED_VALUE"""),19.85)</f>
        <v>19.850000000000001</v>
      </c>
      <c r="C1026" s="1">
        <f ca="1">IFERROR(__xludf.DUMMYFUNCTION("""COMPUTED_VALUE"""),22)</f>
        <v>22</v>
      </c>
      <c r="D1026" s="1">
        <f ca="1">IFERROR(__xludf.DUMMYFUNCTION("""COMPUTED_VALUE"""),19.74)</f>
        <v>19.739999999999998</v>
      </c>
      <c r="E1026" s="1">
        <f ca="1">IFERROR(__xludf.DUMMYFUNCTION("""COMPUTED_VALUE"""),21.88)</f>
        <v>21.88</v>
      </c>
      <c r="F1026" s="1">
        <f ca="1">IFERROR(__xludf.DUMMYFUNCTION("""COMPUTED_VALUE"""),30006091)</f>
        <v>30006091</v>
      </c>
    </row>
    <row r="1027" spans="1:6" x14ac:dyDescent="0.2">
      <c r="A1027" s="2">
        <f ca="1">IFERROR(__xludf.DUMMYFUNCTION("""COMPUTED_VALUE"""),43766.6666666666)</f>
        <v>43766.666666666599</v>
      </c>
      <c r="B1027" s="1">
        <f ca="1">IFERROR(__xludf.DUMMYFUNCTION("""COMPUTED_VALUE"""),21.84)</f>
        <v>21.84</v>
      </c>
      <c r="C1027" s="1">
        <f ca="1">IFERROR(__xludf.DUMMYFUNCTION("""COMPUTED_VALUE"""),22.72)</f>
        <v>22.72</v>
      </c>
      <c r="D1027" s="1">
        <f ca="1">IFERROR(__xludf.DUMMYFUNCTION("""COMPUTED_VALUE"""),21.51)</f>
        <v>21.51</v>
      </c>
      <c r="E1027" s="1">
        <f ca="1">IFERROR(__xludf.DUMMYFUNCTION("""COMPUTED_VALUE"""),21.85)</f>
        <v>21.85</v>
      </c>
      <c r="F1027" s="1">
        <f ca="1">IFERROR(__xludf.DUMMYFUNCTION("""COMPUTED_VALUE"""),18870286)</f>
        <v>18870286</v>
      </c>
    </row>
    <row r="1028" spans="1:6" x14ac:dyDescent="0.2">
      <c r="A1028" s="2">
        <f ca="1">IFERROR(__xludf.DUMMYFUNCTION("""COMPUTED_VALUE"""),43767.6666666666)</f>
        <v>43767.666666666599</v>
      </c>
      <c r="B1028" s="1">
        <f ca="1">IFERROR(__xludf.DUMMYFUNCTION("""COMPUTED_VALUE"""),21.33)</f>
        <v>21.33</v>
      </c>
      <c r="C1028" s="1">
        <f ca="1">IFERROR(__xludf.DUMMYFUNCTION("""COMPUTED_VALUE"""),21.62)</f>
        <v>21.62</v>
      </c>
      <c r="D1028" s="1">
        <f ca="1">IFERROR(__xludf.DUMMYFUNCTION("""COMPUTED_VALUE"""),20.98)</f>
        <v>20.98</v>
      </c>
      <c r="E1028" s="1">
        <f ca="1">IFERROR(__xludf.DUMMYFUNCTION("""COMPUTED_VALUE"""),21.08)</f>
        <v>21.08</v>
      </c>
      <c r="F1028" s="1">
        <f ca="1">IFERROR(__xludf.DUMMYFUNCTION("""COMPUTED_VALUE"""),12684267)</f>
        <v>12684267</v>
      </c>
    </row>
    <row r="1029" spans="1:6" x14ac:dyDescent="0.2">
      <c r="A1029" s="2">
        <f ca="1">IFERROR(__xludf.DUMMYFUNCTION("""COMPUTED_VALUE"""),43768.6666666666)</f>
        <v>43768.666666666599</v>
      </c>
      <c r="B1029" s="1">
        <f ca="1">IFERROR(__xludf.DUMMYFUNCTION("""COMPUTED_VALUE"""),20.87)</f>
        <v>20.87</v>
      </c>
      <c r="C1029" s="1">
        <f ca="1">IFERROR(__xludf.DUMMYFUNCTION("""COMPUTED_VALUE"""),21.25)</f>
        <v>21.25</v>
      </c>
      <c r="D1029" s="1">
        <f ca="1">IFERROR(__xludf.DUMMYFUNCTION("""COMPUTED_VALUE"""),20.66)</f>
        <v>20.66</v>
      </c>
      <c r="E1029" s="1">
        <f ca="1">IFERROR(__xludf.DUMMYFUNCTION("""COMPUTED_VALUE"""),21)</f>
        <v>21</v>
      </c>
      <c r="F1029" s="1">
        <f ca="1">IFERROR(__xludf.DUMMYFUNCTION("""COMPUTED_VALUE"""),9641810)</f>
        <v>9641810</v>
      </c>
    </row>
    <row r="1030" spans="1:6" x14ac:dyDescent="0.2">
      <c r="A1030" s="2">
        <f ca="1">IFERROR(__xludf.DUMMYFUNCTION("""COMPUTED_VALUE"""),43769.6666666666)</f>
        <v>43769.666666666599</v>
      </c>
      <c r="B1030" s="1">
        <f ca="1">IFERROR(__xludf.DUMMYFUNCTION("""COMPUTED_VALUE"""),20.87)</f>
        <v>20.87</v>
      </c>
      <c r="C1030" s="1">
        <f ca="1">IFERROR(__xludf.DUMMYFUNCTION("""COMPUTED_VALUE"""),21.27)</f>
        <v>21.27</v>
      </c>
      <c r="D1030" s="1">
        <f ca="1">IFERROR(__xludf.DUMMYFUNCTION("""COMPUTED_VALUE"""),20.87)</f>
        <v>20.87</v>
      </c>
      <c r="E1030" s="1">
        <f ca="1">IFERROR(__xludf.DUMMYFUNCTION("""COMPUTED_VALUE"""),20.99)</f>
        <v>20.99</v>
      </c>
      <c r="F1030" s="1">
        <f ca="1">IFERROR(__xludf.DUMMYFUNCTION("""COMPUTED_VALUE"""),5066956)</f>
        <v>5066956</v>
      </c>
    </row>
    <row r="1031" spans="1:6" x14ac:dyDescent="0.2">
      <c r="A1031" s="2">
        <f ca="1">IFERROR(__xludf.DUMMYFUNCTION("""COMPUTED_VALUE"""),43770.6666666666)</f>
        <v>43770.666666666599</v>
      </c>
      <c r="B1031" s="1">
        <f ca="1">IFERROR(__xludf.DUMMYFUNCTION("""COMPUTED_VALUE"""),21.09)</f>
        <v>21.09</v>
      </c>
      <c r="C1031" s="1">
        <f ca="1">IFERROR(__xludf.DUMMYFUNCTION("""COMPUTED_VALUE"""),21.1)</f>
        <v>21.1</v>
      </c>
      <c r="D1031" s="1">
        <f ca="1">IFERROR(__xludf.DUMMYFUNCTION("""COMPUTED_VALUE"""),20.65)</f>
        <v>20.65</v>
      </c>
      <c r="E1031" s="1">
        <f ca="1">IFERROR(__xludf.DUMMYFUNCTION("""COMPUTED_VALUE"""),20.89)</f>
        <v>20.89</v>
      </c>
      <c r="F1031" s="1">
        <f ca="1">IFERROR(__xludf.DUMMYFUNCTION("""COMPUTED_VALUE"""),6383929)</f>
        <v>6383929</v>
      </c>
    </row>
    <row r="1032" spans="1:6" x14ac:dyDescent="0.2">
      <c r="A1032" s="2">
        <f ca="1">IFERROR(__xludf.DUMMYFUNCTION("""COMPUTED_VALUE"""),43773.6666666666)</f>
        <v>43773.666666666599</v>
      </c>
      <c r="B1032" s="1">
        <f ca="1">IFERROR(__xludf.DUMMYFUNCTION("""COMPUTED_VALUE"""),20.99)</f>
        <v>20.99</v>
      </c>
      <c r="C1032" s="1">
        <f ca="1">IFERROR(__xludf.DUMMYFUNCTION("""COMPUTED_VALUE"""),21.46)</f>
        <v>21.46</v>
      </c>
      <c r="D1032" s="1">
        <f ca="1">IFERROR(__xludf.DUMMYFUNCTION("""COMPUTED_VALUE"""),20.62)</f>
        <v>20.62</v>
      </c>
      <c r="E1032" s="1">
        <f ca="1">IFERROR(__xludf.DUMMYFUNCTION("""COMPUTED_VALUE"""),21.16)</f>
        <v>21.16</v>
      </c>
      <c r="F1032" s="1">
        <f ca="1">IFERROR(__xludf.DUMMYFUNCTION("""COMPUTED_VALUE"""),8787040)</f>
        <v>8787040</v>
      </c>
    </row>
    <row r="1033" spans="1:6" x14ac:dyDescent="0.2">
      <c r="A1033" s="2">
        <f ca="1">IFERROR(__xludf.DUMMYFUNCTION("""COMPUTED_VALUE"""),43774.6666666666)</f>
        <v>43774.666666666599</v>
      </c>
      <c r="B1033" s="1">
        <f ca="1">IFERROR(__xludf.DUMMYFUNCTION("""COMPUTED_VALUE"""),21.31)</f>
        <v>21.31</v>
      </c>
      <c r="C1033" s="1">
        <f ca="1">IFERROR(__xludf.DUMMYFUNCTION("""COMPUTED_VALUE"""),21.57)</f>
        <v>21.57</v>
      </c>
      <c r="D1033" s="1">
        <f ca="1">IFERROR(__xludf.DUMMYFUNCTION("""COMPUTED_VALUE"""),21.07)</f>
        <v>21.07</v>
      </c>
      <c r="E1033" s="1">
        <f ca="1">IFERROR(__xludf.DUMMYFUNCTION("""COMPUTED_VALUE"""),21.15)</f>
        <v>21.15</v>
      </c>
      <c r="F1033" s="1">
        <f ca="1">IFERROR(__xludf.DUMMYFUNCTION("""COMPUTED_VALUE"""),6943417)</f>
        <v>6943417</v>
      </c>
    </row>
    <row r="1034" spans="1:6" x14ac:dyDescent="0.2">
      <c r="A1034" s="2">
        <f ca="1">IFERROR(__xludf.DUMMYFUNCTION("""COMPUTED_VALUE"""),43775.6666666666)</f>
        <v>43775.666666666599</v>
      </c>
      <c r="B1034" s="1">
        <f ca="1">IFERROR(__xludf.DUMMYFUNCTION("""COMPUTED_VALUE"""),21.2)</f>
        <v>21.2</v>
      </c>
      <c r="C1034" s="1">
        <f ca="1">IFERROR(__xludf.DUMMYFUNCTION("""COMPUTED_VALUE"""),21.78)</f>
        <v>21.78</v>
      </c>
      <c r="D1034" s="1">
        <f ca="1">IFERROR(__xludf.DUMMYFUNCTION("""COMPUTED_VALUE"""),20.97)</f>
        <v>20.97</v>
      </c>
      <c r="E1034" s="1">
        <f ca="1">IFERROR(__xludf.DUMMYFUNCTION("""COMPUTED_VALUE"""),21.77)</f>
        <v>21.77</v>
      </c>
      <c r="F1034" s="1">
        <f ca="1">IFERROR(__xludf.DUMMYFUNCTION("""COMPUTED_VALUE"""),7940932)</f>
        <v>7940932</v>
      </c>
    </row>
    <row r="1035" spans="1:6" x14ac:dyDescent="0.2">
      <c r="A1035" s="2">
        <f ca="1">IFERROR(__xludf.DUMMYFUNCTION("""COMPUTED_VALUE"""),43776.6666666666)</f>
        <v>43776.666666666599</v>
      </c>
      <c r="B1035" s="1">
        <f ca="1">IFERROR(__xludf.DUMMYFUNCTION("""COMPUTED_VALUE"""),21.94)</f>
        <v>21.94</v>
      </c>
      <c r="C1035" s="1">
        <f ca="1">IFERROR(__xludf.DUMMYFUNCTION("""COMPUTED_VALUE"""),22.77)</f>
        <v>22.77</v>
      </c>
      <c r="D1035" s="1">
        <f ca="1">IFERROR(__xludf.DUMMYFUNCTION("""COMPUTED_VALUE"""),21.87)</f>
        <v>21.87</v>
      </c>
      <c r="E1035" s="1">
        <f ca="1">IFERROR(__xludf.DUMMYFUNCTION("""COMPUTED_VALUE"""),22.37)</f>
        <v>22.37</v>
      </c>
      <c r="F1035" s="1">
        <f ca="1">IFERROR(__xludf.DUMMYFUNCTION("""COMPUTED_VALUE"""),14467348)</f>
        <v>14467348</v>
      </c>
    </row>
    <row r="1036" spans="1:6" x14ac:dyDescent="0.2">
      <c r="A1036" s="2">
        <f ca="1">IFERROR(__xludf.DUMMYFUNCTION("""COMPUTED_VALUE"""),43777.6666666666)</f>
        <v>43777.666666666599</v>
      </c>
      <c r="B1036" s="1">
        <f ca="1">IFERROR(__xludf.DUMMYFUNCTION("""COMPUTED_VALUE"""),22.3)</f>
        <v>22.3</v>
      </c>
      <c r="C1036" s="1">
        <f ca="1">IFERROR(__xludf.DUMMYFUNCTION("""COMPUTED_VALUE"""),22.5)</f>
        <v>22.5</v>
      </c>
      <c r="D1036" s="1">
        <f ca="1">IFERROR(__xludf.DUMMYFUNCTION("""COMPUTED_VALUE"""),22.17)</f>
        <v>22.17</v>
      </c>
      <c r="E1036" s="1">
        <f ca="1">IFERROR(__xludf.DUMMYFUNCTION("""COMPUTED_VALUE"""),22.48)</f>
        <v>22.48</v>
      </c>
      <c r="F1036" s="1">
        <f ca="1">IFERROR(__xludf.DUMMYFUNCTION("""COMPUTED_VALUE"""),6074221)</f>
        <v>6074221</v>
      </c>
    </row>
    <row r="1037" spans="1:6" x14ac:dyDescent="0.2">
      <c r="A1037" s="2">
        <f ca="1">IFERROR(__xludf.DUMMYFUNCTION("""COMPUTED_VALUE"""),43780.6666666666)</f>
        <v>43780.666666666599</v>
      </c>
      <c r="B1037" s="1">
        <f ca="1">IFERROR(__xludf.DUMMYFUNCTION("""COMPUTED_VALUE"""),22.93)</f>
        <v>22.93</v>
      </c>
      <c r="C1037" s="1">
        <f ca="1">IFERROR(__xludf.DUMMYFUNCTION("""COMPUTED_VALUE"""),23.28)</f>
        <v>23.28</v>
      </c>
      <c r="D1037" s="1">
        <f ca="1">IFERROR(__xludf.DUMMYFUNCTION("""COMPUTED_VALUE"""),22.8)</f>
        <v>22.8</v>
      </c>
      <c r="E1037" s="1">
        <f ca="1">IFERROR(__xludf.DUMMYFUNCTION("""COMPUTED_VALUE"""),23.01)</f>
        <v>23.01</v>
      </c>
      <c r="F1037" s="1">
        <f ca="1">IFERROR(__xludf.DUMMYFUNCTION("""COMPUTED_VALUE"""),9993689)</f>
        <v>9993689</v>
      </c>
    </row>
    <row r="1038" spans="1:6" x14ac:dyDescent="0.2">
      <c r="A1038" s="2">
        <f ca="1">IFERROR(__xludf.DUMMYFUNCTION("""COMPUTED_VALUE"""),43781.6666666666)</f>
        <v>43781.666666666599</v>
      </c>
      <c r="B1038" s="1">
        <f ca="1">IFERROR(__xludf.DUMMYFUNCTION("""COMPUTED_VALUE"""),23.13)</f>
        <v>23.13</v>
      </c>
      <c r="C1038" s="1">
        <f ca="1">IFERROR(__xludf.DUMMYFUNCTION("""COMPUTED_VALUE"""),23.36)</f>
        <v>23.36</v>
      </c>
      <c r="D1038" s="1">
        <f ca="1">IFERROR(__xludf.DUMMYFUNCTION("""COMPUTED_VALUE"""),22.94)</f>
        <v>22.94</v>
      </c>
      <c r="E1038" s="1">
        <f ca="1">IFERROR(__xludf.DUMMYFUNCTION("""COMPUTED_VALUE"""),23.33)</f>
        <v>23.33</v>
      </c>
      <c r="F1038" s="1">
        <f ca="1">IFERROR(__xludf.DUMMYFUNCTION("""COMPUTED_VALUE"""),7359383)</f>
        <v>7359383</v>
      </c>
    </row>
    <row r="1039" spans="1:6" x14ac:dyDescent="0.2">
      <c r="A1039" s="2">
        <f ca="1">IFERROR(__xludf.DUMMYFUNCTION("""COMPUTED_VALUE"""),43782.6666666666)</f>
        <v>43782.666666666599</v>
      </c>
      <c r="B1039" s="1">
        <f ca="1">IFERROR(__xludf.DUMMYFUNCTION("""COMPUTED_VALUE"""),23.67)</f>
        <v>23.67</v>
      </c>
      <c r="C1039" s="1">
        <f ca="1">IFERROR(__xludf.DUMMYFUNCTION("""COMPUTED_VALUE"""),23.76)</f>
        <v>23.76</v>
      </c>
      <c r="D1039" s="1">
        <f ca="1">IFERROR(__xludf.DUMMYFUNCTION("""COMPUTED_VALUE"""),23.01)</f>
        <v>23.01</v>
      </c>
      <c r="E1039" s="1">
        <f ca="1">IFERROR(__xludf.DUMMYFUNCTION("""COMPUTED_VALUE"""),23.07)</f>
        <v>23.07</v>
      </c>
      <c r="F1039" s="1">
        <f ca="1">IFERROR(__xludf.DUMMYFUNCTION("""COMPUTED_VALUE"""),8467863)</f>
        <v>8467863</v>
      </c>
    </row>
    <row r="1040" spans="1:6" x14ac:dyDescent="0.2">
      <c r="A1040" s="2">
        <f ca="1">IFERROR(__xludf.DUMMYFUNCTION("""COMPUTED_VALUE"""),43783.6666666666)</f>
        <v>43783.666666666599</v>
      </c>
      <c r="B1040" s="1">
        <f ca="1">IFERROR(__xludf.DUMMYFUNCTION("""COMPUTED_VALUE"""),23.07)</f>
        <v>23.07</v>
      </c>
      <c r="C1040" s="1">
        <f ca="1">IFERROR(__xludf.DUMMYFUNCTION("""COMPUTED_VALUE"""),23.59)</f>
        <v>23.59</v>
      </c>
      <c r="D1040" s="1">
        <f ca="1">IFERROR(__xludf.DUMMYFUNCTION("""COMPUTED_VALUE"""),22.86)</f>
        <v>22.86</v>
      </c>
      <c r="E1040" s="1">
        <f ca="1">IFERROR(__xludf.DUMMYFUNCTION("""COMPUTED_VALUE"""),23.29)</f>
        <v>23.29</v>
      </c>
      <c r="F1040" s="1">
        <f ca="1">IFERROR(__xludf.DUMMYFUNCTION("""COMPUTED_VALUE"""),6471703)</f>
        <v>6471703</v>
      </c>
    </row>
    <row r="1041" spans="1:6" x14ac:dyDescent="0.2">
      <c r="A1041" s="2">
        <f ca="1">IFERROR(__xludf.DUMMYFUNCTION("""COMPUTED_VALUE"""),43784.6666666666)</f>
        <v>43784.666666666599</v>
      </c>
      <c r="B1041" s="1">
        <f ca="1">IFERROR(__xludf.DUMMYFUNCTION("""COMPUTED_VALUE"""),23.38)</f>
        <v>23.38</v>
      </c>
      <c r="C1041" s="1">
        <f ca="1">IFERROR(__xludf.DUMMYFUNCTION("""COMPUTED_VALUE"""),23.52)</f>
        <v>23.52</v>
      </c>
      <c r="D1041" s="1">
        <f ca="1">IFERROR(__xludf.DUMMYFUNCTION("""COMPUTED_VALUE"""),23.22)</f>
        <v>23.22</v>
      </c>
      <c r="E1041" s="1">
        <f ca="1">IFERROR(__xludf.DUMMYFUNCTION("""COMPUTED_VALUE"""),23.48)</f>
        <v>23.48</v>
      </c>
      <c r="F1041" s="1">
        <f ca="1">IFERROR(__xludf.DUMMYFUNCTION("""COMPUTED_VALUE"""),4812563)</f>
        <v>4812563</v>
      </c>
    </row>
    <row r="1042" spans="1:6" x14ac:dyDescent="0.2">
      <c r="A1042" s="2">
        <f ca="1">IFERROR(__xludf.DUMMYFUNCTION("""COMPUTED_VALUE"""),43787.6666666666)</f>
        <v>43787.666666666599</v>
      </c>
      <c r="B1042" s="1">
        <f ca="1">IFERROR(__xludf.DUMMYFUNCTION("""COMPUTED_VALUE"""),23.53)</f>
        <v>23.53</v>
      </c>
      <c r="C1042" s="1">
        <f ca="1">IFERROR(__xludf.DUMMYFUNCTION("""COMPUTED_VALUE"""),23.54)</f>
        <v>23.54</v>
      </c>
      <c r="D1042" s="1">
        <f ca="1">IFERROR(__xludf.DUMMYFUNCTION("""COMPUTED_VALUE"""),23.07)</f>
        <v>23.07</v>
      </c>
      <c r="E1042" s="1">
        <f ca="1">IFERROR(__xludf.DUMMYFUNCTION("""COMPUTED_VALUE"""),23.33)</f>
        <v>23.33</v>
      </c>
      <c r="F1042" s="1">
        <f ca="1">IFERROR(__xludf.DUMMYFUNCTION("""COMPUTED_VALUE"""),4408505)</f>
        <v>4408505</v>
      </c>
    </row>
    <row r="1043" spans="1:6" x14ac:dyDescent="0.2">
      <c r="A1043" s="2">
        <f ca="1">IFERROR(__xludf.DUMMYFUNCTION("""COMPUTED_VALUE"""),43788.6666666666)</f>
        <v>43788.666666666599</v>
      </c>
      <c r="B1043" s="1">
        <f ca="1">IFERROR(__xludf.DUMMYFUNCTION("""COMPUTED_VALUE"""),23.45)</f>
        <v>23.45</v>
      </c>
      <c r="C1043" s="1">
        <f ca="1">IFERROR(__xludf.DUMMYFUNCTION("""COMPUTED_VALUE"""),24)</f>
        <v>24</v>
      </c>
      <c r="D1043" s="1">
        <f ca="1">IFERROR(__xludf.DUMMYFUNCTION("""COMPUTED_VALUE"""),23.19)</f>
        <v>23.19</v>
      </c>
      <c r="E1043" s="1">
        <f ca="1">IFERROR(__xludf.DUMMYFUNCTION("""COMPUTED_VALUE"""),23.97)</f>
        <v>23.97</v>
      </c>
      <c r="F1043" s="1">
        <f ca="1">IFERROR(__xludf.DUMMYFUNCTION("""COMPUTED_VALUE"""),7736078)</f>
        <v>7736078</v>
      </c>
    </row>
    <row r="1044" spans="1:6" x14ac:dyDescent="0.2">
      <c r="A1044" s="2">
        <f ca="1">IFERROR(__xludf.DUMMYFUNCTION("""COMPUTED_VALUE"""),43789.6666666666)</f>
        <v>43789.666666666599</v>
      </c>
      <c r="B1044" s="1">
        <f ca="1">IFERROR(__xludf.DUMMYFUNCTION("""COMPUTED_VALUE"""),24)</f>
        <v>24</v>
      </c>
      <c r="C1044" s="1">
        <f ca="1">IFERROR(__xludf.DUMMYFUNCTION("""COMPUTED_VALUE"""),24.08)</f>
        <v>24.08</v>
      </c>
      <c r="D1044" s="1">
        <f ca="1">IFERROR(__xludf.DUMMYFUNCTION("""COMPUTED_VALUE"""),23.3)</f>
        <v>23.3</v>
      </c>
      <c r="E1044" s="1">
        <f ca="1">IFERROR(__xludf.DUMMYFUNCTION("""COMPUTED_VALUE"""),23.48)</f>
        <v>23.48</v>
      </c>
      <c r="F1044" s="1">
        <f ca="1">IFERROR(__xludf.DUMMYFUNCTION("""COMPUTED_VALUE"""),6733965)</f>
        <v>6733965</v>
      </c>
    </row>
    <row r="1045" spans="1:6" x14ac:dyDescent="0.2">
      <c r="A1045" s="2">
        <f ca="1">IFERROR(__xludf.DUMMYFUNCTION("""COMPUTED_VALUE"""),43790.6666666666)</f>
        <v>43790.666666666599</v>
      </c>
      <c r="B1045" s="1">
        <f ca="1">IFERROR(__xludf.DUMMYFUNCTION("""COMPUTED_VALUE"""),23.63)</f>
        <v>23.63</v>
      </c>
      <c r="C1045" s="1">
        <f ca="1">IFERROR(__xludf.DUMMYFUNCTION("""COMPUTED_VALUE"""),24.06)</f>
        <v>24.06</v>
      </c>
      <c r="D1045" s="1">
        <f ca="1">IFERROR(__xludf.DUMMYFUNCTION("""COMPUTED_VALUE"""),23.6)</f>
        <v>23.6</v>
      </c>
      <c r="E1045" s="1">
        <f ca="1">IFERROR(__xludf.DUMMYFUNCTION("""COMPUTED_VALUE"""),23.66)</f>
        <v>23.66</v>
      </c>
      <c r="F1045" s="1">
        <f ca="1">IFERROR(__xludf.DUMMYFUNCTION("""COMPUTED_VALUE"""),6110013)</f>
        <v>6110013</v>
      </c>
    </row>
    <row r="1046" spans="1:6" x14ac:dyDescent="0.2">
      <c r="A1046" s="2">
        <f ca="1">IFERROR(__xludf.DUMMYFUNCTION("""COMPUTED_VALUE"""),43791.6666666666)</f>
        <v>43791.666666666599</v>
      </c>
      <c r="B1046" s="1">
        <f ca="1">IFERROR(__xludf.DUMMYFUNCTION("""COMPUTED_VALUE"""),22.68)</f>
        <v>22.68</v>
      </c>
      <c r="C1046" s="1">
        <f ca="1">IFERROR(__xludf.DUMMYFUNCTION("""COMPUTED_VALUE"""),22.73)</f>
        <v>22.73</v>
      </c>
      <c r="D1046" s="1">
        <f ca="1">IFERROR(__xludf.DUMMYFUNCTION("""COMPUTED_VALUE"""),22)</f>
        <v>22</v>
      </c>
      <c r="E1046" s="1">
        <f ca="1">IFERROR(__xludf.DUMMYFUNCTION("""COMPUTED_VALUE"""),22.2)</f>
        <v>22.2</v>
      </c>
      <c r="F1046" s="1">
        <f ca="1">IFERROR(__xludf.DUMMYFUNCTION("""COMPUTED_VALUE"""),16870642)</f>
        <v>16870642</v>
      </c>
    </row>
    <row r="1047" spans="1:6" x14ac:dyDescent="0.2">
      <c r="A1047" s="2">
        <f ca="1">IFERROR(__xludf.DUMMYFUNCTION("""COMPUTED_VALUE"""),43794.6666666666)</f>
        <v>43794.666666666599</v>
      </c>
      <c r="B1047" s="1">
        <f ca="1">IFERROR(__xludf.DUMMYFUNCTION("""COMPUTED_VALUE"""),22.95)</f>
        <v>22.95</v>
      </c>
      <c r="C1047" s="1">
        <f ca="1">IFERROR(__xludf.DUMMYFUNCTION("""COMPUTED_VALUE"""),22.97)</f>
        <v>22.97</v>
      </c>
      <c r="D1047" s="1">
        <f ca="1">IFERROR(__xludf.DUMMYFUNCTION("""COMPUTED_VALUE"""),22.3)</f>
        <v>22.3</v>
      </c>
      <c r="E1047" s="1">
        <f ca="1">IFERROR(__xludf.DUMMYFUNCTION("""COMPUTED_VALUE"""),22.42)</f>
        <v>22.42</v>
      </c>
      <c r="F1047" s="1">
        <f ca="1">IFERROR(__xludf.DUMMYFUNCTION("""COMPUTED_VALUE"""),12345765)</f>
        <v>12345765</v>
      </c>
    </row>
    <row r="1048" spans="1:6" x14ac:dyDescent="0.2">
      <c r="A1048" s="2">
        <f ca="1">IFERROR(__xludf.DUMMYFUNCTION("""COMPUTED_VALUE"""),43795.6666666666)</f>
        <v>43795.666666666599</v>
      </c>
      <c r="B1048" s="1">
        <f ca="1">IFERROR(__xludf.DUMMYFUNCTION("""COMPUTED_VALUE"""),22.35)</f>
        <v>22.35</v>
      </c>
      <c r="C1048" s="1">
        <f ca="1">IFERROR(__xludf.DUMMYFUNCTION("""COMPUTED_VALUE"""),22.37)</f>
        <v>22.37</v>
      </c>
      <c r="D1048" s="1">
        <f ca="1">IFERROR(__xludf.DUMMYFUNCTION("""COMPUTED_VALUE"""),21.81)</f>
        <v>21.81</v>
      </c>
      <c r="E1048" s="1">
        <f ca="1">IFERROR(__xludf.DUMMYFUNCTION("""COMPUTED_VALUE"""),21.93)</f>
        <v>21.93</v>
      </c>
      <c r="F1048" s="1">
        <f ca="1">IFERROR(__xludf.DUMMYFUNCTION("""COMPUTED_VALUE"""),7956239)</f>
        <v>7956239</v>
      </c>
    </row>
    <row r="1049" spans="1:6" x14ac:dyDescent="0.2">
      <c r="A1049" s="2">
        <f ca="1">IFERROR(__xludf.DUMMYFUNCTION("""COMPUTED_VALUE"""),43796.6666666666)</f>
        <v>43796.666666666599</v>
      </c>
      <c r="B1049" s="1">
        <f ca="1">IFERROR(__xludf.DUMMYFUNCTION("""COMPUTED_VALUE"""),22.07)</f>
        <v>22.07</v>
      </c>
      <c r="C1049" s="1">
        <f ca="1">IFERROR(__xludf.DUMMYFUNCTION("""COMPUTED_VALUE"""),22.26)</f>
        <v>22.26</v>
      </c>
      <c r="D1049" s="1">
        <f ca="1">IFERROR(__xludf.DUMMYFUNCTION("""COMPUTED_VALUE"""),21.9)</f>
        <v>21.9</v>
      </c>
      <c r="E1049" s="1">
        <f ca="1">IFERROR(__xludf.DUMMYFUNCTION("""COMPUTED_VALUE"""),22.09)</f>
        <v>22.09</v>
      </c>
      <c r="F1049" s="1">
        <f ca="1">IFERROR(__xludf.DUMMYFUNCTION("""COMPUTED_VALUE"""),5563459)</f>
        <v>5563459</v>
      </c>
    </row>
    <row r="1050" spans="1:6" x14ac:dyDescent="0.2">
      <c r="A1050" s="2">
        <f ca="1">IFERROR(__xludf.DUMMYFUNCTION("""COMPUTED_VALUE"""),43798.5416666666)</f>
        <v>43798.541666666599</v>
      </c>
      <c r="B1050" s="1">
        <f ca="1">IFERROR(__xludf.DUMMYFUNCTION("""COMPUTED_VALUE"""),22.07)</f>
        <v>22.07</v>
      </c>
      <c r="C1050" s="1">
        <f ca="1">IFERROR(__xludf.DUMMYFUNCTION("""COMPUTED_VALUE"""),22.08)</f>
        <v>22.08</v>
      </c>
      <c r="D1050" s="1">
        <f ca="1">IFERROR(__xludf.DUMMYFUNCTION("""COMPUTED_VALUE"""),21.83)</f>
        <v>21.83</v>
      </c>
      <c r="E1050" s="1">
        <f ca="1">IFERROR(__xludf.DUMMYFUNCTION("""COMPUTED_VALUE"""),22)</f>
        <v>22</v>
      </c>
      <c r="F1050" s="1">
        <f ca="1">IFERROR(__xludf.DUMMYFUNCTION("""COMPUTED_VALUE"""),2465629)</f>
        <v>2465629</v>
      </c>
    </row>
    <row r="1051" spans="1:6" x14ac:dyDescent="0.2">
      <c r="A1051" s="2">
        <f ca="1">IFERROR(__xludf.DUMMYFUNCTION("""COMPUTED_VALUE"""),43801.6666666666)</f>
        <v>43801.666666666599</v>
      </c>
      <c r="B1051" s="1">
        <f ca="1">IFERROR(__xludf.DUMMYFUNCTION("""COMPUTED_VALUE"""),21.96)</f>
        <v>21.96</v>
      </c>
      <c r="C1051" s="1">
        <f ca="1">IFERROR(__xludf.DUMMYFUNCTION("""COMPUTED_VALUE"""),22.43)</f>
        <v>22.43</v>
      </c>
      <c r="D1051" s="1">
        <f ca="1">IFERROR(__xludf.DUMMYFUNCTION("""COMPUTED_VALUE"""),21.91)</f>
        <v>21.91</v>
      </c>
      <c r="E1051" s="1">
        <f ca="1">IFERROR(__xludf.DUMMYFUNCTION("""COMPUTED_VALUE"""),22.32)</f>
        <v>22.32</v>
      </c>
      <c r="F1051" s="1">
        <f ca="1">IFERROR(__xludf.DUMMYFUNCTION("""COMPUTED_VALUE"""),6081986)</f>
        <v>6081986</v>
      </c>
    </row>
    <row r="1052" spans="1:6" x14ac:dyDescent="0.2">
      <c r="A1052" s="2">
        <f ca="1">IFERROR(__xludf.DUMMYFUNCTION("""COMPUTED_VALUE"""),43802.6666666666)</f>
        <v>43802.666666666599</v>
      </c>
      <c r="B1052" s="1">
        <f ca="1">IFERROR(__xludf.DUMMYFUNCTION("""COMPUTED_VALUE"""),22.17)</f>
        <v>22.17</v>
      </c>
      <c r="C1052" s="1">
        <f ca="1">IFERROR(__xludf.DUMMYFUNCTION("""COMPUTED_VALUE"""),22.53)</f>
        <v>22.53</v>
      </c>
      <c r="D1052" s="1">
        <f ca="1">IFERROR(__xludf.DUMMYFUNCTION("""COMPUTED_VALUE"""),22.15)</f>
        <v>22.15</v>
      </c>
      <c r="E1052" s="1">
        <f ca="1">IFERROR(__xludf.DUMMYFUNCTION("""COMPUTED_VALUE"""),22.41)</f>
        <v>22.41</v>
      </c>
      <c r="F1052" s="1">
        <f ca="1">IFERROR(__xludf.DUMMYFUNCTION("""COMPUTED_VALUE"""),6613476)</f>
        <v>6613476</v>
      </c>
    </row>
    <row r="1053" spans="1:6" x14ac:dyDescent="0.2">
      <c r="A1053" s="2">
        <f ca="1">IFERROR(__xludf.DUMMYFUNCTION("""COMPUTED_VALUE"""),43803.6666666666)</f>
        <v>43803.666666666599</v>
      </c>
      <c r="B1053" s="1">
        <f ca="1">IFERROR(__xludf.DUMMYFUNCTION("""COMPUTED_VALUE"""),22.52)</f>
        <v>22.52</v>
      </c>
      <c r="C1053" s="1">
        <f ca="1">IFERROR(__xludf.DUMMYFUNCTION("""COMPUTED_VALUE"""),22.52)</f>
        <v>22.52</v>
      </c>
      <c r="D1053" s="1">
        <f ca="1">IFERROR(__xludf.DUMMYFUNCTION("""COMPUTED_VALUE"""),22.19)</f>
        <v>22.19</v>
      </c>
      <c r="E1053" s="1">
        <f ca="1">IFERROR(__xludf.DUMMYFUNCTION("""COMPUTED_VALUE"""),22.2)</f>
        <v>22.2</v>
      </c>
      <c r="F1053" s="1">
        <f ca="1">IFERROR(__xludf.DUMMYFUNCTION("""COMPUTED_VALUE"""),5536255)</f>
        <v>5536255</v>
      </c>
    </row>
    <row r="1054" spans="1:6" x14ac:dyDescent="0.2">
      <c r="A1054" s="2">
        <f ca="1">IFERROR(__xludf.DUMMYFUNCTION("""COMPUTED_VALUE"""),43804.6666666666)</f>
        <v>43804.666666666599</v>
      </c>
      <c r="B1054" s="1">
        <f ca="1">IFERROR(__xludf.DUMMYFUNCTION("""COMPUTED_VALUE"""),22.19)</f>
        <v>22.19</v>
      </c>
      <c r="C1054" s="1">
        <f ca="1">IFERROR(__xludf.DUMMYFUNCTION("""COMPUTED_VALUE"""),22.29)</f>
        <v>22.29</v>
      </c>
      <c r="D1054" s="1">
        <f ca="1">IFERROR(__xludf.DUMMYFUNCTION("""COMPUTED_VALUE"""),21.82)</f>
        <v>21.82</v>
      </c>
      <c r="E1054" s="1">
        <f ca="1">IFERROR(__xludf.DUMMYFUNCTION("""COMPUTED_VALUE"""),22.02)</f>
        <v>22.02</v>
      </c>
      <c r="F1054" s="1">
        <f ca="1">IFERROR(__xludf.DUMMYFUNCTION("""COMPUTED_VALUE"""),3736976)</f>
        <v>3736976</v>
      </c>
    </row>
    <row r="1055" spans="1:6" x14ac:dyDescent="0.2">
      <c r="A1055" s="2">
        <f ca="1">IFERROR(__xludf.DUMMYFUNCTION("""COMPUTED_VALUE"""),43805.6666666666)</f>
        <v>43805.666666666599</v>
      </c>
      <c r="B1055" s="1">
        <f ca="1">IFERROR(__xludf.DUMMYFUNCTION("""COMPUTED_VALUE"""),22.33)</f>
        <v>22.33</v>
      </c>
      <c r="C1055" s="1">
        <f ca="1">IFERROR(__xludf.DUMMYFUNCTION("""COMPUTED_VALUE"""),22.59)</f>
        <v>22.59</v>
      </c>
      <c r="D1055" s="1">
        <f ca="1">IFERROR(__xludf.DUMMYFUNCTION("""COMPUTED_VALUE"""),22.32)</f>
        <v>22.32</v>
      </c>
      <c r="E1055" s="1">
        <f ca="1">IFERROR(__xludf.DUMMYFUNCTION("""COMPUTED_VALUE"""),22.39)</f>
        <v>22.39</v>
      </c>
      <c r="F1055" s="1">
        <f ca="1">IFERROR(__xludf.DUMMYFUNCTION("""COMPUTED_VALUE"""),7618937)</f>
        <v>7618937</v>
      </c>
    </row>
    <row r="1056" spans="1:6" x14ac:dyDescent="0.2">
      <c r="A1056" s="2">
        <f ca="1">IFERROR(__xludf.DUMMYFUNCTION("""COMPUTED_VALUE"""),43808.6666666666)</f>
        <v>43808.666666666599</v>
      </c>
      <c r="B1056" s="1">
        <f ca="1">IFERROR(__xludf.DUMMYFUNCTION("""COMPUTED_VALUE"""),22.44)</f>
        <v>22.44</v>
      </c>
      <c r="C1056" s="1">
        <f ca="1">IFERROR(__xludf.DUMMYFUNCTION("""COMPUTED_VALUE"""),22.96)</f>
        <v>22.96</v>
      </c>
      <c r="D1056" s="1">
        <f ca="1">IFERROR(__xludf.DUMMYFUNCTION("""COMPUTED_VALUE"""),22.34)</f>
        <v>22.34</v>
      </c>
      <c r="E1056" s="1">
        <f ca="1">IFERROR(__xludf.DUMMYFUNCTION("""COMPUTED_VALUE"""),22.64)</f>
        <v>22.64</v>
      </c>
      <c r="F1056" s="1">
        <f ca="1">IFERROR(__xludf.DUMMYFUNCTION("""COMPUTED_VALUE"""),9040217)</f>
        <v>9040217</v>
      </c>
    </row>
    <row r="1057" spans="1:6" x14ac:dyDescent="0.2">
      <c r="A1057" s="2">
        <f ca="1">IFERROR(__xludf.DUMMYFUNCTION("""COMPUTED_VALUE"""),43809.6666666666)</f>
        <v>43809.666666666599</v>
      </c>
      <c r="B1057" s="1">
        <f ca="1">IFERROR(__xludf.DUMMYFUNCTION("""COMPUTED_VALUE"""),22.66)</f>
        <v>22.66</v>
      </c>
      <c r="C1057" s="1">
        <f ca="1">IFERROR(__xludf.DUMMYFUNCTION("""COMPUTED_VALUE"""),23.38)</f>
        <v>23.38</v>
      </c>
      <c r="D1057" s="1">
        <f ca="1">IFERROR(__xludf.DUMMYFUNCTION("""COMPUTED_VALUE"""),22.62)</f>
        <v>22.62</v>
      </c>
      <c r="E1057" s="1">
        <f ca="1">IFERROR(__xludf.DUMMYFUNCTION("""COMPUTED_VALUE"""),23.26)</f>
        <v>23.26</v>
      </c>
      <c r="F1057" s="1">
        <f ca="1">IFERROR(__xludf.DUMMYFUNCTION("""COMPUTED_VALUE"""),8839951)</f>
        <v>8839951</v>
      </c>
    </row>
    <row r="1058" spans="1:6" x14ac:dyDescent="0.2">
      <c r="A1058" s="2">
        <f ca="1">IFERROR(__xludf.DUMMYFUNCTION("""COMPUTED_VALUE"""),43810.6666666666)</f>
        <v>43810.666666666599</v>
      </c>
      <c r="B1058" s="1">
        <f ca="1">IFERROR(__xludf.DUMMYFUNCTION("""COMPUTED_VALUE"""),23.46)</f>
        <v>23.46</v>
      </c>
      <c r="C1058" s="1">
        <f ca="1">IFERROR(__xludf.DUMMYFUNCTION("""COMPUTED_VALUE"""),23.81)</f>
        <v>23.81</v>
      </c>
      <c r="D1058" s="1">
        <f ca="1">IFERROR(__xludf.DUMMYFUNCTION("""COMPUTED_VALUE"""),23.41)</f>
        <v>23.41</v>
      </c>
      <c r="E1058" s="1">
        <f ca="1">IFERROR(__xludf.DUMMYFUNCTION("""COMPUTED_VALUE"""),23.51)</f>
        <v>23.51</v>
      </c>
      <c r="F1058" s="1">
        <f ca="1">IFERROR(__xludf.DUMMYFUNCTION("""COMPUTED_VALUE"""),6919162)</f>
        <v>6919162</v>
      </c>
    </row>
    <row r="1059" spans="1:6" x14ac:dyDescent="0.2">
      <c r="A1059" s="2">
        <f ca="1">IFERROR(__xludf.DUMMYFUNCTION("""COMPUTED_VALUE"""),43811.6666666666)</f>
        <v>43811.666666666599</v>
      </c>
      <c r="B1059" s="1">
        <f ca="1">IFERROR(__xludf.DUMMYFUNCTION("""COMPUTED_VALUE"""),23.66)</f>
        <v>23.66</v>
      </c>
      <c r="C1059" s="1">
        <f ca="1">IFERROR(__xludf.DUMMYFUNCTION("""COMPUTED_VALUE"""),24.18)</f>
        <v>24.18</v>
      </c>
      <c r="D1059" s="1">
        <f ca="1">IFERROR(__xludf.DUMMYFUNCTION("""COMPUTED_VALUE"""),23.55)</f>
        <v>23.55</v>
      </c>
      <c r="E1059" s="1">
        <f ca="1">IFERROR(__xludf.DUMMYFUNCTION("""COMPUTED_VALUE"""),23.98)</f>
        <v>23.98</v>
      </c>
      <c r="F1059" s="1">
        <f ca="1">IFERROR(__xludf.DUMMYFUNCTION("""COMPUTED_VALUE"""),7776211)</f>
        <v>7776211</v>
      </c>
    </row>
    <row r="1060" spans="1:6" x14ac:dyDescent="0.2">
      <c r="A1060" s="2">
        <f ca="1">IFERROR(__xludf.DUMMYFUNCTION("""COMPUTED_VALUE"""),43812.6666666666)</f>
        <v>43812.666666666599</v>
      </c>
      <c r="B1060" s="1">
        <f ca="1">IFERROR(__xludf.DUMMYFUNCTION("""COMPUTED_VALUE"""),24.07)</f>
        <v>24.07</v>
      </c>
      <c r="C1060" s="1">
        <f ca="1">IFERROR(__xludf.DUMMYFUNCTION("""COMPUTED_VALUE"""),24.35)</f>
        <v>24.35</v>
      </c>
      <c r="D1060" s="1">
        <f ca="1">IFERROR(__xludf.DUMMYFUNCTION("""COMPUTED_VALUE"""),23.64)</f>
        <v>23.64</v>
      </c>
      <c r="E1060" s="1">
        <f ca="1">IFERROR(__xludf.DUMMYFUNCTION("""COMPUTED_VALUE"""),23.89)</f>
        <v>23.89</v>
      </c>
      <c r="F1060" s="1">
        <f ca="1">IFERROR(__xludf.DUMMYFUNCTION("""COMPUTED_VALUE"""),6574281)</f>
        <v>6574281</v>
      </c>
    </row>
    <row r="1061" spans="1:6" x14ac:dyDescent="0.2">
      <c r="A1061" s="2">
        <f ca="1">IFERROR(__xludf.DUMMYFUNCTION("""COMPUTED_VALUE"""),43815.6666666666)</f>
        <v>43815.666666666599</v>
      </c>
      <c r="B1061" s="1">
        <f ca="1">IFERROR(__xludf.DUMMYFUNCTION("""COMPUTED_VALUE"""),24.17)</f>
        <v>24.17</v>
      </c>
      <c r="C1061" s="1">
        <f ca="1">IFERROR(__xludf.DUMMYFUNCTION("""COMPUTED_VALUE"""),25.57)</f>
        <v>25.57</v>
      </c>
      <c r="D1061" s="1">
        <f ca="1">IFERROR(__xludf.DUMMYFUNCTION("""COMPUTED_VALUE"""),24.17)</f>
        <v>24.17</v>
      </c>
      <c r="E1061" s="1">
        <f ca="1">IFERROR(__xludf.DUMMYFUNCTION("""COMPUTED_VALUE"""),25.43)</f>
        <v>25.43</v>
      </c>
      <c r="F1061" s="1">
        <f ca="1">IFERROR(__xludf.DUMMYFUNCTION("""COMPUTED_VALUE"""),18220940)</f>
        <v>18220940</v>
      </c>
    </row>
    <row r="1062" spans="1:6" x14ac:dyDescent="0.2">
      <c r="A1062" s="2">
        <f ca="1">IFERROR(__xludf.DUMMYFUNCTION("""COMPUTED_VALUE"""),43816.6666666666)</f>
        <v>43816.666666666599</v>
      </c>
      <c r="B1062" s="1">
        <f ca="1">IFERROR(__xludf.DUMMYFUNCTION("""COMPUTED_VALUE"""),25.27)</f>
        <v>25.27</v>
      </c>
      <c r="C1062" s="1">
        <f ca="1">IFERROR(__xludf.DUMMYFUNCTION("""COMPUTED_VALUE"""),25.7)</f>
        <v>25.7</v>
      </c>
      <c r="D1062" s="1">
        <f ca="1">IFERROR(__xludf.DUMMYFUNCTION("""COMPUTED_VALUE"""),25.06)</f>
        <v>25.06</v>
      </c>
      <c r="E1062" s="1">
        <f ca="1">IFERROR(__xludf.DUMMYFUNCTION("""COMPUTED_VALUE"""),25.27)</f>
        <v>25.27</v>
      </c>
      <c r="F1062" s="1">
        <f ca="1">IFERROR(__xludf.DUMMYFUNCTION("""COMPUTED_VALUE"""),8503775)</f>
        <v>8503775</v>
      </c>
    </row>
    <row r="1063" spans="1:6" x14ac:dyDescent="0.2">
      <c r="A1063" s="2">
        <f ca="1">IFERROR(__xludf.DUMMYFUNCTION("""COMPUTED_VALUE"""),43817.6666666666)</f>
        <v>43817.666666666599</v>
      </c>
      <c r="B1063" s="1">
        <f ca="1">IFERROR(__xludf.DUMMYFUNCTION("""COMPUTED_VALUE"""),25.38)</f>
        <v>25.38</v>
      </c>
      <c r="C1063" s="1">
        <f ca="1">IFERROR(__xludf.DUMMYFUNCTION("""COMPUTED_VALUE"""),26.35)</f>
        <v>26.35</v>
      </c>
      <c r="D1063" s="1">
        <f ca="1">IFERROR(__xludf.DUMMYFUNCTION("""COMPUTED_VALUE"""),25.37)</f>
        <v>25.37</v>
      </c>
      <c r="E1063" s="1">
        <f ca="1">IFERROR(__xludf.DUMMYFUNCTION("""COMPUTED_VALUE"""),26.21)</f>
        <v>26.21</v>
      </c>
      <c r="F1063" s="1">
        <f ca="1">IFERROR(__xludf.DUMMYFUNCTION("""COMPUTED_VALUE"""),14136392)</f>
        <v>14136392</v>
      </c>
    </row>
    <row r="1064" spans="1:6" x14ac:dyDescent="0.2">
      <c r="A1064" s="2">
        <f ca="1">IFERROR(__xludf.DUMMYFUNCTION("""COMPUTED_VALUE"""),43818.6666666666)</f>
        <v>43818.666666666599</v>
      </c>
      <c r="B1064" s="1">
        <f ca="1">IFERROR(__xludf.DUMMYFUNCTION("""COMPUTED_VALUE"""),26.49)</f>
        <v>26.49</v>
      </c>
      <c r="C1064" s="1">
        <f ca="1">IFERROR(__xludf.DUMMYFUNCTION("""COMPUTED_VALUE"""),27.12)</f>
        <v>27.12</v>
      </c>
      <c r="D1064" s="1">
        <f ca="1">IFERROR(__xludf.DUMMYFUNCTION("""COMPUTED_VALUE"""),26.43)</f>
        <v>26.43</v>
      </c>
      <c r="E1064" s="1">
        <f ca="1">IFERROR(__xludf.DUMMYFUNCTION("""COMPUTED_VALUE"""),26.94)</f>
        <v>26.94</v>
      </c>
      <c r="F1064" s="1">
        <f ca="1">IFERROR(__xludf.DUMMYFUNCTION("""COMPUTED_VALUE"""),18120307)</f>
        <v>18120307</v>
      </c>
    </row>
    <row r="1065" spans="1:6" x14ac:dyDescent="0.2">
      <c r="A1065" s="2">
        <f ca="1">IFERROR(__xludf.DUMMYFUNCTION("""COMPUTED_VALUE"""),43819.6666666666)</f>
        <v>43819.666666666599</v>
      </c>
      <c r="B1065" s="1">
        <f ca="1">IFERROR(__xludf.DUMMYFUNCTION("""COMPUTED_VALUE"""),27.35)</f>
        <v>27.35</v>
      </c>
      <c r="C1065" s="1">
        <f ca="1">IFERROR(__xludf.DUMMYFUNCTION("""COMPUTED_VALUE"""),27.53)</f>
        <v>27.53</v>
      </c>
      <c r="D1065" s="1">
        <f ca="1">IFERROR(__xludf.DUMMYFUNCTION("""COMPUTED_VALUE"""),26.68)</f>
        <v>26.68</v>
      </c>
      <c r="E1065" s="1">
        <f ca="1">IFERROR(__xludf.DUMMYFUNCTION("""COMPUTED_VALUE"""),27.04)</f>
        <v>27.04</v>
      </c>
      <c r="F1065" s="1">
        <f ca="1">IFERROR(__xludf.DUMMYFUNCTION("""COMPUTED_VALUE"""),14785206)</f>
        <v>14785206</v>
      </c>
    </row>
    <row r="1066" spans="1:6" x14ac:dyDescent="0.2">
      <c r="A1066" s="2">
        <f ca="1">IFERROR(__xludf.DUMMYFUNCTION("""COMPUTED_VALUE"""),43822.6666666666)</f>
        <v>43822.666666666599</v>
      </c>
      <c r="B1066" s="1">
        <f ca="1">IFERROR(__xludf.DUMMYFUNCTION("""COMPUTED_VALUE"""),27.45)</f>
        <v>27.45</v>
      </c>
      <c r="C1066" s="1">
        <f ca="1">IFERROR(__xludf.DUMMYFUNCTION("""COMPUTED_VALUE"""),28.13)</f>
        <v>28.13</v>
      </c>
      <c r="D1066" s="1">
        <f ca="1">IFERROR(__xludf.DUMMYFUNCTION("""COMPUTED_VALUE"""),27.33)</f>
        <v>27.33</v>
      </c>
      <c r="E1066" s="1">
        <f ca="1">IFERROR(__xludf.DUMMYFUNCTION("""COMPUTED_VALUE"""),27.95)</f>
        <v>27.95</v>
      </c>
      <c r="F1066" s="1">
        <f ca="1">IFERROR(__xludf.DUMMYFUNCTION("""COMPUTED_VALUE"""),13332821)</f>
        <v>13332821</v>
      </c>
    </row>
    <row r="1067" spans="1:6" x14ac:dyDescent="0.2">
      <c r="A1067" s="2">
        <f ca="1">IFERROR(__xludf.DUMMYFUNCTION("""COMPUTED_VALUE"""),43823.5416666666)</f>
        <v>43823.541666666599</v>
      </c>
      <c r="B1067" s="1">
        <f ca="1">IFERROR(__xludf.DUMMYFUNCTION("""COMPUTED_VALUE"""),27.89)</f>
        <v>27.89</v>
      </c>
      <c r="C1067" s="1">
        <f ca="1">IFERROR(__xludf.DUMMYFUNCTION("""COMPUTED_VALUE"""),28.36)</f>
        <v>28.36</v>
      </c>
      <c r="D1067" s="1">
        <f ca="1">IFERROR(__xludf.DUMMYFUNCTION("""COMPUTED_VALUE"""),27.51)</f>
        <v>27.51</v>
      </c>
      <c r="E1067" s="1">
        <f ca="1">IFERROR(__xludf.DUMMYFUNCTION("""COMPUTED_VALUE"""),28.35)</f>
        <v>28.35</v>
      </c>
      <c r="F1067" s="1">
        <f ca="1">IFERROR(__xludf.DUMMYFUNCTION("""COMPUTED_VALUE"""),8054720)</f>
        <v>8054720</v>
      </c>
    </row>
    <row r="1068" spans="1:6" x14ac:dyDescent="0.2">
      <c r="A1068" s="2">
        <f ca="1">IFERROR(__xludf.DUMMYFUNCTION("""COMPUTED_VALUE"""),43825.6666666666)</f>
        <v>43825.666666666599</v>
      </c>
      <c r="B1068" s="1">
        <f ca="1">IFERROR(__xludf.DUMMYFUNCTION("""COMPUTED_VALUE"""),28.53)</f>
        <v>28.53</v>
      </c>
      <c r="C1068" s="1">
        <f ca="1">IFERROR(__xludf.DUMMYFUNCTION("""COMPUTED_VALUE"""),28.9)</f>
        <v>28.9</v>
      </c>
      <c r="D1068" s="1">
        <f ca="1">IFERROR(__xludf.DUMMYFUNCTION("""COMPUTED_VALUE"""),28.42)</f>
        <v>28.42</v>
      </c>
      <c r="E1068" s="1">
        <f ca="1">IFERROR(__xludf.DUMMYFUNCTION("""COMPUTED_VALUE"""),28.73)</f>
        <v>28.73</v>
      </c>
      <c r="F1068" s="1">
        <f ca="1">IFERROR(__xludf.DUMMYFUNCTION("""COMPUTED_VALUE"""),10648289)</f>
        <v>10648289</v>
      </c>
    </row>
    <row r="1069" spans="1:6" x14ac:dyDescent="0.2">
      <c r="A1069" s="2">
        <f ca="1">IFERROR(__xludf.DUMMYFUNCTION("""COMPUTED_VALUE"""),43826.6666666666)</f>
        <v>43826.666666666599</v>
      </c>
      <c r="B1069" s="1">
        <f ca="1">IFERROR(__xludf.DUMMYFUNCTION("""COMPUTED_VALUE"""),29)</f>
        <v>29</v>
      </c>
      <c r="C1069" s="1">
        <f ca="1">IFERROR(__xludf.DUMMYFUNCTION("""COMPUTED_VALUE"""),29.02)</f>
        <v>29.02</v>
      </c>
      <c r="D1069" s="1">
        <f ca="1">IFERROR(__xludf.DUMMYFUNCTION("""COMPUTED_VALUE"""),28.41)</f>
        <v>28.41</v>
      </c>
      <c r="E1069" s="1">
        <f ca="1">IFERROR(__xludf.DUMMYFUNCTION("""COMPUTED_VALUE"""),28.69)</f>
        <v>28.69</v>
      </c>
      <c r="F1069" s="1">
        <f ca="1">IFERROR(__xludf.DUMMYFUNCTION("""COMPUTED_VALUE"""),9956827)</f>
        <v>9956827</v>
      </c>
    </row>
    <row r="1070" spans="1:6" x14ac:dyDescent="0.2">
      <c r="A1070" s="2">
        <f ca="1">IFERROR(__xludf.DUMMYFUNCTION("""COMPUTED_VALUE"""),43829.6666666666)</f>
        <v>43829.666666666599</v>
      </c>
      <c r="B1070" s="1">
        <f ca="1">IFERROR(__xludf.DUMMYFUNCTION("""COMPUTED_VALUE"""),28.59)</f>
        <v>28.59</v>
      </c>
      <c r="C1070" s="1">
        <f ca="1">IFERROR(__xludf.DUMMYFUNCTION("""COMPUTED_VALUE"""),28.6)</f>
        <v>28.6</v>
      </c>
      <c r="D1070" s="1">
        <f ca="1">IFERROR(__xludf.DUMMYFUNCTION("""COMPUTED_VALUE"""),27.28)</f>
        <v>27.28</v>
      </c>
      <c r="E1070" s="1">
        <f ca="1">IFERROR(__xludf.DUMMYFUNCTION("""COMPUTED_VALUE"""),27.65)</f>
        <v>27.65</v>
      </c>
      <c r="F1070" s="1">
        <f ca="1">IFERROR(__xludf.DUMMYFUNCTION("""COMPUTED_VALUE"""),12601265)</f>
        <v>12601265</v>
      </c>
    </row>
    <row r="1071" spans="1:6" x14ac:dyDescent="0.2">
      <c r="A1071" s="2">
        <f ca="1">IFERROR(__xludf.DUMMYFUNCTION("""COMPUTED_VALUE"""),43830.6666666666)</f>
        <v>43830.666666666599</v>
      </c>
      <c r="B1071" s="1">
        <f ca="1">IFERROR(__xludf.DUMMYFUNCTION("""COMPUTED_VALUE"""),27)</f>
        <v>27</v>
      </c>
      <c r="C1071" s="1">
        <f ca="1">IFERROR(__xludf.DUMMYFUNCTION("""COMPUTED_VALUE"""),28.09)</f>
        <v>28.09</v>
      </c>
      <c r="D1071" s="1">
        <f ca="1">IFERROR(__xludf.DUMMYFUNCTION("""COMPUTED_VALUE"""),26.81)</f>
        <v>26.81</v>
      </c>
      <c r="E1071" s="1">
        <f ca="1">IFERROR(__xludf.DUMMYFUNCTION("""COMPUTED_VALUE"""),27.89)</f>
        <v>27.89</v>
      </c>
      <c r="F1071" s="1">
        <f ca="1">IFERROR(__xludf.DUMMYFUNCTION("""COMPUTED_VALUE"""),10292456)</f>
        <v>10292456</v>
      </c>
    </row>
    <row r="1072" spans="1:6" x14ac:dyDescent="0.2">
      <c r="A1072" s="2">
        <f ca="1">IFERROR(__xludf.DUMMYFUNCTION("""COMPUTED_VALUE"""),43832.6666666666)</f>
        <v>43832.666666666599</v>
      </c>
      <c r="B1072" s="1">
        <f ca="1">IFERROR(__xludf.DUMMYFUNCTION("""COMPUTED_VALUE"""),28.3)</f>
        <v>28.3</v>
      </c>
      <c r="C1072" s="1">
        <f ca="1">IFERROR(__xludf.DUMMYFUNCTION("""COMPUTED_VALUE"""),28.71)</f>
        <v>28.71</v>
      </c>
      <c r="D1072" s="1">
        <f ca="1">IFERROR(__xludf.DUMMYFUNCTION("""COMPUTED_VALUE"""),28.11)</f>
        <v>28.11</v>
      </c>
      <c r="E1072" s="1">
        <f ca="1">IFERROR(__xludf.DUMMYFUNCTION("""COMPUTED_VALUE"""),28.68)</f>
        <v>28.68</v>
      </c>
      <c r="F1072" s="1">
        <f ca="1">IFERROR(__xludf.DUMMYFUNCTION("""COMPUTED_VALUE"""),9558386)</f>
        <v>9558386</v>
      </c>
    </row>
    <row r="1073" spans="1:6" x14ac:dyDescent="0.2">
      <c r="A1073" s="2">
        <f ca="1">IFERROR(__xludf.DUMMYFUNCTION("""COMPUTED_VALUE"""),43833.6666666666)</f>
        <v>43833.666666666599</v>
      </c>
      <c r="B1073" s="1">
        <f ca="1">IFERROR(__xludf.DUMMYFUNCTION("""COMPUTED_VALUE"""),29.37)</f>
        <v>29.37</v>
      </c>
      <c r="C1073" s="1">
        <f ca="1">IFERROR(__xludf.DUMMYFUNCTION("""COMPUTED_VALUE"""),30.27)</f>
        <v>30.27</v>
      </c>
      <c r="D1073" s="1">
        <f ca="1">IFERROR(__xludf.DUMMYFUNCTION("""COMPUTED_VALUE"""),29.13)</f>
        <v>29.13</v>
      </c>
      <c r="E1073" s="1">
        <f ca="1">IFERROR(__xludf.DUMMYFUNCTION("""COMPUTED_VALUE"""),29.53)</f>
        <v>29.53</v>
      </c>
      <c r="F1073" s="1">
        <f ca="1">IFERROR(__xludf.DUMMYFUNCTION("""COMPUTED_VALUE"""),17794697)</f>
        <v>17794697</v>
      </c>
    </row>
    <row r="1074" spans="1:6" x14ac:dyDescent="0.2">
      <c r="A1074" s="2">
        <f ca="1">IFERROR(__xludf.DUMMYFUNCTION("""COMPUTED_VALUE"""),43836.6666666666)</f>
        <v>43836.666666666599</v>
      </c>
      <c r="B1074" s="1">
        <f ca="1">IFERROR(__xludf.DUMMYFUNCTION("""COMPUTED_VALUE"""),29.36)</f>
        <v>29.36</v>
      </c>
      <c r="C1074" s="1">
        <f ca="1">IFERROR(__xludf.DUMMYFUNCTION("""COMPUTED_VALUE"""),30.1)</f>
        <v>30.1</v>
      </c>
      <c r="D1074" s="1">
        <f ca="1">IFERROR(__xludf.DUMMYFUNCTION("""COMPUTED_VALUE"""),29.33)</f>
        <v>29.33</v>
      </c>
      <c r="E1074" s="1">
        <f ca="1">IFERROR(__xludf.DUMMYFUNCTION("""COMPUTED_VALUE"""),30.1)</f>
        <v>30.1</v>
      </c>
      <c r="F1074" s="1">
        <f ca="1">IFERROR(__xludf.DUMMYFUNCTION("""COMPUTED_VALUE"""),10157499)</f>
        <v>10157499</v>
      </c>
    </row>
    <row r="1075" spans="1:6" x14ac:dyDescent="0.2">
      <c r="A1075" s="2">
        <f ca="1">IFERROR(__xludf.DUMMYFUNCTION("""COMPUTED_VALUE"""),43837.6666666666)</f>
        <v>43837.666666666599</v>
      </c>
      <c r="B1075" s="1">
        <f ca="1">IFERROR(__xludf.DUMMYFUNCTION("""COMPUTED_VALUE"""),30.76)</f>
        <v>30.76</v>
      </c>
      <c r="C1075" s="1">
        <f ca="1">IFERROR(__xludf.DUMMYFUNCTION("""COMPUTED_VALUE"""),31.44)</f>
        <v>31.44</v>
      </c>
      <c r="D1075" s="1">
        <f ca="1">IFERROR(__xludf.DUMMYFUNCTION("""COMPUTED_VALUE"""),30.22)</f>
        <v>30.22</v>
      </c>
      <c r="E1075" s="1">
        <f ca="1">IFERROR(__xludf.DUMMYFUNCTION("""COMPUTED_VALUE"""),31.27)</f>
        <v>31.27</v>
      </c>
      <c r="F1075" s="1">
        <f ca="1">IFERROR(__xludf.DUMMYFUNCTION("""COMPUTED_VALUE"""),18209138)</f>
        <v>18209138</v>
      </c>
    </row>
    <row r="1076" spans="1:6" x14ac:dyDescent="0.2">
      <c r="A1076" s="2">
        <f ca="1">IFERROR(__xludf.DUMMYFUNCTION("""COMPUTED_VALUE"""),43838.6666666666)</f>
        <v>43838.666666666599</v>
      </c>
      <c r="B1076" s="1">
        <f ca="1">IFERROR(__xludf.DUMMYFUNCTION("""COMPUTED_VALUE"""),31.58)</f>
        <v>31.58</v>
      </c>
      <c r="C1076" s="1">
        <f ca="1">IFERROR(__xludf.DUMMYFUNCTION("""COMPUTED_VALUE"""),33.23)</f>
        <v>33.229999999999997</v>
      </c>
      <c r="D1076" s="1">
        <f ca="1">IFERROR(__xludf.DUMMYFUNCTION("""COMPUTED_VALUE"""),31.22)</f>
        <v>31.22</v>
      </c>
      <c r="E1076" s="1">
        <f ca="1">IFERROR(__xludf.DUMMYFUNCTION("""COMPUTED_VALUE"""),32.81)</f>
        <v>32.81</v>
      </c>
      <c r="F1076" s="1">
        <f ca="1">IFERROR(__xludf.DUMMYFUNCTION("""COMPUTED_VALUE"""),31199393)</f>
        <v>31199393</v>
      </c>
    </row>
    <row r="1077" spans="1:6" x14ac:dyDescent="0.2">
      <c r="A1077" s="2">
        <f ca="1">IFERROR(__xludf.DUMMYFUNCTION("""COMPUTED_VALUE"""),43839.6666666666)</f>
        <v>43839.666666666599</v>
      </c>
      <c r="B1077" s="1">
        <f ca="1">IFERROR(__xludf.DUMMYFUNCTION("""COMPUTED_VALUE"""),33.14)</f>
        <v>33.14</v>
      </c>
      <c r="C1077" s="1">
        <f ca="1">IFERROR(__xludf.DUMMYFUNCTION("""COMPUTED_VALUE"""),33.25)</f>
        <v>33.25</v>
      </c>
      <c r="D1077" s="1">
        <f ca="1">IFERROR(__xludf.DUMMYFUNCTION("""COMPUTED_VALUE"""),31.52)</f>
        <v>31.52</v>
      </c>
      <c r="E1077" s="1">
        <f ca="1">IFERROR(__xludf.DUMMYFUNCTION("""COMPUTED_VALUE"""),32.09)</f>
        <v>32.090000000000003</v>
      </c>
      <c r="F1077" s="1">
        <f ca="1">IFERROR(__xludf.DUMMYFUNCTION("""COMPUTED_VALUE"""),28463186)</f>
        <v>28463186</v>
      </c>
    </row>
    <row r="1078" spans="1:6" x14ac:dyDescent="0.2">
      <c r="A1078" s="2">
        <f ca="1">IFERROR(__xludf.DUMMYFUNCTION("""COMPUTED_VALUE"""),43840.6666666666)</f>
        <v>43840.666666666599</v>
      </c>
      <c r="B1078" s="1">
        <f ca="1">IFERROR(__xludf.DUMMYFUNCTION("""COMPUTED_VALUE"""),32.12)</f>
        <v>32.119999999999997</v>
      </c>
      <c r="C1078" s="1">
        <f ca="1">IFERROR(__xludf.DUMMYFUNCTION("""COMPUTED_VALUE"""),32.33)</f>
        <v>32.33</v>
      </c>
      <c r="D1078" s="1">
        <f ca="1">IFERROR(__xludf.DUMMYFUNCTION("""COMPUTED_VALUE"""),31.58)</f>
        <v>31.58</v>
      </c>
      <c r="E1078" s="1">
        <f ca="1">IFERROR(__xludf.DUMMYFUNCTION("""COMPUTED_VALUE"""),31.88)</f>
        <v>31.88</v>
      </c>
      <c r="F1078" s="1">
        <f ca="1">IFERROR(__xludf.DUMMYFUNCTION("""COMPUTED_VALUE"""),12976832)</f>
        <v>12976832</v>
      </c>
    </row>
    <row r="1079" spans="1:6" x14ac:dyDescent="0.2">
      <c r="A1079" s="2">
        <f ca="1">IFERROR(__xludf.DUMMYFUNCTION("""COMPUTED_VALUE"""),43843.6666666666)</f>
        <v>43843.666666666599</v>
      </c>
      <c r="B1079" s="1">
        <f ca="1">IFERROR(__xludf.DUMMYFUNCTION("""COMPUTED_VALUE"""),32.9)</f>
        <v>32.9</v>
      </c>
      <c r="C1079" s="1">
        <f ca="1">IFERROR(__xludf.DUMMYFUNCTION("""COMPUTED_VALUE"""),35.04)</f>
        <v>35.04</v>
      </c>
      <c r="D1079" s="1">
        <f ca="1">IFERROR(__xludf.DUMMYFUNCTION("""COMPUTED_VALUE"""),32.8)</f>
        <v>32.799999999999997</v>
      </c>
      <c r="E1079" s="1">
        <f ca="1">IFERROR(__xludf.DUMMYFUNCTION("""COMPUTED_VALUE"""),34.99)</f>
        <v>34.99</v>
      </c>
      <c r="F1079" s="1">
        <f ca="1">IFERROR(__xludf.DUMMYFUNCTION("""COMPUTED_VALUE"""),26634547)</f>
        <v>26634547</v>
      </c>
    </row>
    <row r="1080" spans="1:6" x14ac:dyDescent="0.2">
      <c r="A1080" s="2">
        <f ca="1">IFERROR(__xludf.DUMMYFUNCTION("""COMPUTED_VALUE"""),43844.6666666666)</f>
        <v>43844.666666666599</v>
      </c>
      <c r="B1080" s="1">
        <f ca="1">IFERROR(__xludf.DUMMYFUNCTION("""COMPUTED_VALUE"""),36.28)</f>
        <v>36.28</v>
      </c>
      <c r="C1080" s="1">
        <f ca="1">IFERROR(__xludf.DUMMYFUNCTION("""COMPUTED_VALUE"""),36.49)</f>
        <v>36.49</v>
      </c>
      <c r="D1080" s="1">
        <f ca="1">IFERROR(__xludf.DUMMYFUNCTION("""COMPUTED_VALUE"""),34.99)</f>
        <v>34.99</v>
      </c>
      <c r="E1080" s="1">
        <f ca="1">IFERROR(__xludf.DUMMYFUNCTION("""COMPUTED_VALUE"""),35.86)</f>
        <v>35.86</v>
      </c>
      <c r="F1080" s="1">
        <f ca="1">IFERROR(__xludf.DUMMYFUNCTION("""COMPUTED_VALUE"""),29061377)</f>
        <v>29061377</v>
      </c>
    </row>
    <row r="1081" spans="1:6" x14ac:dyDescent="0.2">
      <c r="A1081" s="2">
        <f ca="1">IFERROR(__xludf.DUMMYFUNCTION("""COMPUTED_VALUE"""),43845.6666666666)</f>
        <v>43845.666666666599</v>
      </c>
      <c r="B1081" s="1">
        <f ca="1">IFERROR(__xludf.DUMMYFUNCTION("""COMPUTED_VALUE"""),35.32)</f>
        <v>35.32</v>
      </c>
      <c r="C1081" s="1">
        <f ca="1">IFERROR(__xludf.DUMMYFUNCTION("""COMPUTED_VALUE"""),35.86)</f>
        <v>35.86</v>
      </c>
      <c r="D1081" s="1">
        <f ca="1">IFERROR(__xludf.DUMMYFUNCTION("""COMPUTED_VALUE"""),34.45)</f>
        <v>34.450000000000003</v>
      </c>
      <c r="E1081" s="1">
        <f ca="1">IFERROR(__xludf.DUMMYFUNCTION("""COMPUTED_VALUE"""),34.57)</f>
        <v>34.57</v>
      </c>
      <c r="F1081" s="1">
        <f ca="1">IFERROR(__xludf.DUMMYFUNCTION("""COMPUTED_VALUE"""),17368831)</f>
        <v>17368831</v>
      </c>
    </row>
    <row r="1082" spans="1:6" x14ac:dyDescent="0.2">
      <c r="A1082" s="2">
        <f ca="1">IFERROR(__xludf.DUMMYFUNCTION("""COMPUTED_VALUE"""),43846.6666666666)</f>
        <v>43846.666666666599</v>
      </c>
      <c r="B1082" s="1">
        <f ca="1">IFERROR(__xludf.DUMMYFUNCTION("""COMPUTED_VALUE"""),32.92)</f>
        <v>32.92</v>
      </c>
      <c r="C1082" s="1">
        <f ca="1">IFERROR(__xludf.DUMMYFUNCTION("""COMPUTED_VALUE"""),34.3)</f>
        <v>34.299999999999997</v>
      </c>
      <c r="D1082" s="1">
        <f ca="1">IFERROR(__xludf.DUMMYFUNCTION("""COMPUTED_VALUE"""),32.81)</f>
        <v>32.81</v>
      </c>
      <c r="E1082" s="1">
        <f ca="1">IFERROR(__xludf.DUMMYFUNCTION("""COMPUTED_VALUE"""),34.23)</f>
        <v>34.229999999999997</v>
      </c>
      <c r="F1082" s="1">
        <f ca="1">IFERROR(__xludf.DUMMYFUNCTION("""COMPUTED_VALUE"""),21736653)</f>
        <v>21736653</v>
      </c>
    </row>
    <row r="1083" spans="1:6" x14ac:dyDescent="0.2">
      <c r="A1083" s="2">
        <f ca="1">IFERROR(__xludf.DUMMYFUNCTION("""COMPUTED_VALUE"""),43847.6666666666)</f>
        <v>43847.666666666599</v>
      </c>
      <c r="B1083" s="1">
        <f ca="1">IFERROR(__xludf.DUMMYFUNCTION("""COMPUTED_VALUE"""),33.84)</f>
        <v>33.840000000000003</v>
      </c>
      <c r="C1083" s="1">
        <f ca="1">IFERROR(__xludf.DUMMYFUNCTION("""COMPUTED_VALUE"""),34.38)</f>
        <v>34.380000000000003</v>
      </c>
      <c r="D1083" s="1">
        <f ca="1">IFERROR(__xludf.DUMMYFUNCTION("""COMPUTED_VALUE"""),33.54)</f>
        <v>33.54</v>
      </c>
      <c r="E1083" s="1">
        <f ca="1">IFERROR(__xludf.DUMMYFUNCTION("""COMPUTED_VALUE"""),34.03)</f>
        <v>34.03</v>
      </c>
      <c r="F1083" s="1">
        <f ca="1">IFERROR(__xludf.DUMMYFUNCTION("""COMPUTED_VALUE"""),13629073)</f>
        <v>13629073</v>
      </c>
    </row>
    <row r="1084" spans="1:6" x14ac:dyDescent="0.2">
      <c r="A1084" s="2">
        <f ca="1">IFERROR(__xludf.DUMMYFUNCTION("""COMPUTED_VALUE"""),43851.6666666666)</f>
        <v>43851.666666666599</v>
      </c>
      <c r="B1084" s="1">
        <f ca="1">IFERROR(__xludf.DUMMYFUNCTION("""COMPUTED_VALUE"""),35.35)</f>
        <v>35.35</v>
      </c>
      <c r="C1084" s="1">
        <f ca="1">IFERROR(__xludf.DUMMYFUNCTION("""COMPUTED_VALUE"""),36.57)</f>
        <v>36.57</v>
      </c>
      <c r="D1084" s="1">
        <f ca="1">IFERROR(__xludf.DUMMYFUNCTION("""COMPUTED_VALUE"""),35.23)</f>
        <v>35.229999999999997</v>
      </c>
      <c r="E1084" s="1">
        <f ca="1">IFERROR(__xludf.DUMMYFUNCTION("""COMPUTED_VALUE"""),36.48)</f>
        <v>36.479999999999997</v>
      </c>
      <c r="F1084" s="1">
        <f ca="1">IFERROR(__xludf.DUMMYFUNCTION("""COMPUTED_VALUE"""),17803471)</f>
        <v>17803471</v>
      </c>
    </row>
    <row r="1085" spans="1:6" x14ac:dyDescent="0.2">
      <c r="A1085" s="2">
        <f ca="1">IFERROR(__xludf.DUMMYFUNCTION("""COMPUTED_VALUE"""),43852.6666666666)</f>
        <v>43852.666666666599</v>
      </c>
      <c r="B1085" s="1">
        <f ca="1">IFERROR(__xludf.DUMMYFUNCTION("""COMPUTED_VALUE"""),38.13)</f>
        <v>38.130000000000003</v>
      </c>
      <c r="C1085" s="1">
        <f ca="1">IFERROR(__xludf.DUMMYFUNCTION("""COMPUTED_VALUE"""),39.63)</f>
        <v>39.630000000000003</v>
      </c>
      <c r="D1085" s="1">
        <f ca="1">IFERROR(__xludf.DUMMYFUNCTION("""COMPUTED_VALUE"""),37.27)</f>
        <v>37.270000000000003</v>
      </c>
      <c r="E1085" s="1">
        <f ca="1">IFERROR(__xludf.DUMMYFUNCTION("""COMPUTED_VALUE"""),37.97)</f>
        <v>37.97</v>
      </c>
      <c r="F1085" s="1">
        <f ca="1">IFERROR(__xludf.DUMMYFUNCTION("""COMPUTED_VALUE"""),31369028)</f>
        <v>31369028</v>
      </c>
    </row>
    <row r="1086" spans="1:6" x14ac:dyDescent="0.2">
      <c r="A1086" s="2">
        <f ca="1">IFERROR(__xludf.DUMMYFUNCTION("""COMPUTED_VALUE"""),43853.6666666666)</f>
        <v>43853.666666666599</v>
      </c>
      <c r="B1086" s="1">
        <f ca="1">IFERROR(__xludf.DUMMYFUNCTION("""COMPUTED_VALUE"""),37.62)</f>
        <v>37.619999999999997</v>
      </c>
      <c r="C1086" s="1">
        <f ca="1">IFERROR(__xludf.DUMMYFUNCTION("""COMPUTED_VALUE"""),38.8)</f>
        <v>38.799999999999997</v>
      </c>
      <c r="D1086" s="1">
        <f ca="1">IFERROR(__xludf.DUMMYFUNCTION("""COMPUTED_VALUE"""),37.04)</f>
        <v>37.04</v>
      </c>
      <c r="E1086" s="1">
        <f ca="1">IFERROR(__xludf.DUMMYFUNCTION("""COMPUTED_VALUE"""),38.15)</f>
        <v>38.15</v>
      </c>
      <c r="F1086" s="1">
        <f ca="1">IFERROR(__xludf.DUMMYFUNCTION("""COMPUTED_VALUE"""),19651042)</f>
        <v>19651042</v>
      </c>
    </row>
    <row r="1087" spans="1:6" x14ac:dyDescent="0.2">
      <c r="A1087" s="2">
        <f ca="1">IFERROR(__xludf.DUMMYFUNCTION("""COMPUTED_VALUE"""),43854.6666666666)</f>
        <v>43854.666666666599</v>
      </c>
      <c r="B1087" s="1">
        <f ca="1">IFERROR(__xludf.DUMMYFUNCTION("""COMPUTED_VALUE"""),38.04)</f>
        <v>38.04</v>
      </c>
      <c r="C1087" s="1">
        <f ca="1">IFERROR(__xludf.DUMMYFUNCTION("""COMPUTED_VALUE"""),38.26)</f>
        <v>38.26</v>
      </c>
      <c r="D1087" s="1">
        <f ca="1">IFERROR(__xludf.DUMMYFUNCTION("""COMPUTED_VALUE"""),36.95)</f>
        <v>36.950000000000003</v>
      </c>
      <c r="E1087" s="1">
        <f ca="1">IFERROR(__xludf.DUMMYFUNCTION("""COMPUTED_VALUE"""),37.65)</f>
        <v>37.65</v>
      </c>
      <c r="F1087" s="1">
        <f ca="1">IFERROR(__xludf.DUMMYFUNCTION("""COMPUTED_VALUE"""),14353600)</f>
        <v>14353600</v>
      </c>
    </row>
    <row r="1088" spans="1:6" x14ac:dyDescent="0.2">
      <c r="A1088" s="2">
        <f ca="1">IFERROR(__xludf.DUMMYFUNCTION("""COMPUTED_VALUE"""),43857.6666666666)</f>
        <v>43857.666666666599</v>
      </c>
      <c r="B1088" s="1">
        <f ca="1">IFERROR(__xludf.DUMMYFUNCTION("""COMPUTED_VALUE"""),36.13)</f>
        <v>36.130000000000003</v>
      </c>
      <c r="C1088" s="1">
        <f ca="1">IFERROR(__xludf.DUMMYFUNCTION("""COMPUTED_VALUE"""),37.63)</f>
        <v>37.630000000000003</v>
      </c>
      <c r="D1088" s="1">
        <f ca="1">IFERROR(__xludf.DUMMYFUNCTION("""COMPUTED_VALUE"""),35.95)</f>
        <v>35.950000000000003</v>
      </c>
      <c r="E1088" s="1">
        <f ca="1">IFERROR(__xludf.DUMMYFUNCTION("""COMPUTED_VALUE"""),37.2)</f>
        <v>37.200000000000003</v>
      </c>
      <c r="F1088" s="1">
        <f ca="1">IFERROR(__xludf.DUMMYFUNCTION("""COMPUTED_VALUE"""),13608068)</f>
        <v>13608068</v>
      </c>
    </row>
    <row r="1089" spans="1:6" x14ac:dyDescent="0.2">
      <c r="A1089" s="2">
        <f ca="1">IFERROR(__xludf.DUMMYFUNCTION("""COMPUTED_VALUE"""),43858.6666666666)</f>
        <v>43858.666666666599</v>
      </c>
      <c r="B1089" s="1">
        <f ca="1">IFERROR(__xludf.DUMMYFUNCTION("""COMPUTED_VALUE"""),37.9)</f>
        <v>37.9</v>
      </c>
      <c r="C1089" s="1">
        <f ca="1">IFERROR(__xludf.DUMMYFUNCTION("""COMPUTED_VALUE"""),38.45)</f>
        <v>38.450000000000003</v>
      </c>
      <c r="D1089" s="1">
        <f ca="1">IFERROR(__xludf.DUMMYFUNCTION("""COMPUTED_VALUE"""),37.21)</f>
        <v>37.21</v>
      </c>
      <c r="E1089" s="1">
        <f ca="1">IFERROR(__xludf.DUMMYFUNCTION("""COMPUTED_VALUE"""),37.79)</f>
        <v>37.79</v>
      </c>
      <c r="F1089" s="1">
        <f ca="1">IFERROR(__xludf.DUMMYFUNCTION("""COMPUTED_VALUE"""),11788493)</f>
        <v>11788493</v>
      </c>
    </row>
    <row r="1090" spans="1:6" x14ac:dyDescent="0.2">
      <c r="A1090" s="2">
        <f ca="1">IFERROR(__xludf.DUMMYFUNCTION("""COMPUTED_VALUE"""),43859.6666666666)</f>
        <v>43859.666666666599</v>
      </c>
      <c r="B1090" s="1">
        <f ca="1">IFERROR(__xludf.DUMMYFUNCTION("""COMPUTED_VALUE"""),38.38)</f>
        <v>38.380000000000003</v>
      </c>
      <c r="C1090" s="1">
        <f ca="1">IFERROR(__xludf.DUMMYFUNCTION("""COMPUTED_VALUE"""),39.32)</f>
        <v>39.32</v>
      </c>
      <c r="D1090" s="1">
        <f ca="1">IFERROR(__xludf.DUMMYFUNCTION("""COMPUTED_VALUE"""),37.83)</f>
        <v>37.83</v>
      </c>
      <c r="E1090" s="1">
        <f ca="1">IFERROR(__xludf.DUMMYFUNCTION("""COMPUTED_VALUE"""),38.73)</f>
        <v>38.729999999999997</v>
      </c>
      <c r="F1090" s="1">
        <f ca="1">IFERROR(__xludf.DUMMYFUNCTION("""COMPUTED_VALUE"""),18216672)</f>
        <v>18216672</v>
      </c>
    </row>
    <row r="1091" spans="1:6" x14ac:dyDescent="0.2">
      <c r="A1091" s="2">
        <f ca="1">IFERROR(__xludf.DUMMYFUNCTION("""COMPUTED_VALUE"""),43860.6666666666)</f>
        <v>43860.666666666599</v>
      </c>
      <c r="B1091" s="1">
        <f ca="1">IFERROR(__xludf.DUMMYFUNCTION("""COMPUTED_VALUE"""),42.16)</f>
        <v>42.16</v>
      </c>
      <c r="C1091" s="1">
        <f ca="1">IFERROR(__xludf.DUMMYFUNCTION("""COMPUTED_VALUE"""),43.39)</f>
        <v>43.39</v>
      </c>
      <c r="D1091" s="1">
        <f ca="1">IFERROR(__xludf.DUMMYFUNCTION("""COMPUTED_VALUE"""),41.2)</f>
        <v>41.2</v>
      </c>
      <c r="E1091" s="1">
        <f ca="1">IFERROR(__xludf.DUMMYFUNCTION("""COMPUTED_VALUE"""),42.72)</f>
        <v>42.72</v>
      </c>
      <c r="F1091" s="1">
        <f ca="1">IFERROR(__xludf.DUMMYFUNCTION("""COMPUTED_VALUE"""),29005676)</f>
        <v>29005676</v>
      </c>
    </row>
    <row r="1092" spans="1:6" x14ac:dyDescent="0.2">
      <c r="A1092" s="2">
        <f ca="1">IFERROR(__xludf.DUMMYFUNCTION("""COMPUTED_VALUE"""),43861.6666666666)</f>
        <v>43861.666666666599</v>
      </c>
      <c r="B1092" s="1">
        <f ca="1">IFERROR(__xludf.DUMMYFUNCTION("""COMPUTED_VALUE"""),42.67)</f>
        <v>42.67</v>
      </c>
      <c r="C1092" s="1">
        <f ca="1">IFERROR(__xludf.DUMMYFUNCTION("""COMPUTED_VALUE"""),43.53)</f>
        <v>43.53</v>
      </c>
      <c r="D1092" s="1">
        <f ca="1">IFERROR(__xludf.DUMMYFUNCTION("""COMPUTED_VALUE"""),42.17)</f>
        <v>42.17</v>
      </c>
      <c r="E1092" s="1">
        <f ca="1">IFERROR(__xludf.DUMMYFUNCTION("""COMPUTED_VALUE"""),43.37)</f>
        <v>43.37</v>
      </c>
      <c r="F1092" s="1">
        <f ca="1">IFERROR(__xludf.DUMMYFUNCTION("""COMPUTED_VALUE"""),15719266)</f>
        <v>15719266</v>
      </c>
    </row>
    <row r="1093" spans="1:6" x14ac:dyDescent="0.2">
      <c r="A1093" s="2">
        <f ca="1">IFERROR(__xludf.DUMMYFUNCTION("""COMPUTED_VALUE"""),43864.6666666666)</f>
        <v>43864.666666666599</v>
      </c>
      <c r="B1093" s="1">
        <f ca="1">IFERROR(__xludf.DUMMYFUNCTION("""COMPUTED_VALUE"""),44.91)</f>
        <v>44.91</v>
      </c>
      <c r="C1093" s="1">
        <f ca="1">IFERROR(__xludf.DUMMYFUNCTION("""COMPUTED_VALUE"""),52.41)</f>
        <v>52.41</v>
      </c>
      <c r="D1093" s="1">
        <f ca="1">IFERROR(__xludf.DUMMYFUNCTION("""COMPUTED_VALUE"""),44.9)</f>
        <v>44.9</v>
      </c>
      <c r="E1093" s="1">
        <f ca="1">IFERROR(__xludf.DUMMYFUNCTION("""COMPUTED_VALUE"""),52)</f>
        <v>52</v>
      </c>
      <c r="F1093" s="1">
        <f ca="1">IFERROR(__xludf.DUMMYFUNCTION("""COMPUTED_VALUE"""),47233495)</f>
        <v>47233495</v>
      </c>
    </row>
    <row r="1094" spans="1:6" x14ac:dyDescent="0.2">
      <c r="A1094" s="2">
        <f ca="1">IFERROR(__xludf.DUMMYFUNCTION("""COMPUTED_VALUE"""),43865.6666666666)</f>
        <v>43865.666666666599</v>
      </c>
      <c r="B1094" s="1">
        <f ca="1">IFERROR(__xludf.DUMMYFUNCTION("""COMPUTED_VALUE"""),58.86)</f>
        <v>58.86</v>
      </c>
      <c r="C1094" s="1">
        <f ca="1">IFERROR(__xludf.DUMMYFUNCTION("""COMPUTED_VALUE"""),64.6)</f>
        <v>64.599999999999994</v>
      </c>
      <c r="D1094" s="1">
        <f ca="1">IFERROR(__xludf.DUMMYFUNCTION("""COMPUTED_VALUE"""),55.59)</f>
        <v>55.59</v>
      </c>
      <c r="E1094" s="1">
        <f ca="1">IFERROR(__xludf.DUMMYFUNCTION("""COMPUTED_VALUE"""),59.14)</f>
        <v>59.14</v>
      </c>
      <c r="F1094" s="1">
        <f ca="1">IFERROR(__xludf.DUMMYFUNCTION("""COMPUTED_VALUE"""),60938758)</f>
        <v>60938758</v>
      </c>
    </row>
    <row r="1095" spans="1:6" x14ac:dyDescent="0.2">
      <c r="A1095" s="2">
        <f ca="1">IFERROR(__xludf.DUMMYFUNCTION("""COMPUTED_VALUE"""),43866.6666666666)</f>
        <v>43866.666666666599</v>
      </c>
      <c r="B1095" s="1">
        <f ca="1">IFERROR(__xludf.DUMMYFUNCTION("""COMPUTED_VALUE"""),54.88)</f>
        <v>54.88</v>
      </c>
      <c r="C1095" s="1">
        <f ca="1">IFERROR(__xludf.DUMMYFUNCTION("""COMPUTED_VALUE"""),56.4)</f>
        <v>56.4</v>
      </c>
      <c r="D1095" s="1">
        <f ca="1">IFERROR(__xludf.DUMMYFUNCTION("""COMPUTED_VALUE"""),46.94)</f>
        <v>46.94</v>
      </c>
      <c r="E1095" s="1">
        <f ca="1">IFERROR(__xludf.DUMMYFUNCTION("""COMPUTED_VALUE"""),48.98)</f>
        <v>48.98</v>
      </c>
      <c r="F1095" s="1">
        <f ca="1">IFERROR(__xludf.DUMMYFUNCTION("""COMPUTED_VALUE"""),48423837)</f>
        <v>48423837</v>
      </c>
    </row>
    <row r="1096" spans="1:6" x14ac:dyDescent="0.2">
      <c r="A1096" s="2">
        <f ca="1">IFERROR(__xludf.DUMMYFUNCTION("""COMPUTED_VALUE"""),43867.6666666666)</f>
        <v>43867.666666666599</v>
      </c>
      <c r="B1096" s="1">
        <f ca="1">IFERROR(__xludf.DUMMYFUNCTION("""COMPUTED_VALUE"""),46.66)</f>
        <v>46.66</v>
      </c>
      <c r="C1096" s="1">
        <f ca="1">IFERROR(__xludf.DUMMYFUNCTION("""COMPUTED_VALUE"""),53.06)</f>
        <v>53.06</v>
      </c>
      <c r="D1096" s="1">
        <f ca="1">IFERROR(__xludf.DUMMYFUNCTION("""COMPUTED_VALUE"""),45.8)</f>
        <v>45.8</v>
      </c>
      <c r="E1096" s="1">
        <f ca="1">IFERROR(__xludf.DUMMYFUNCTION("""COMPUTED_VALUE"""),49.93)</f>
        <v>49.93</v>
      </c>
      <c r="F1096" s="1">
        <f ca="1">IFERROR(__xludf.DUMMYFUNCTION("""COMPUTED_VALUE"""),39880752)</f>
        <v>39880752</v>
      </c>
    </row>
    <row r="1097" spans="1:6" x14ac:dyDescent="0.2">
      <c r="A1097" s="2">
        <f ca="1">IFERROR(__xludf.DUMMYFUNCTION("""COMPUTED_VALUE"""),43868.6666666666)</f>
        <v>43868.666666666599</v>
      </c>
      <c r="B1097" s="1">
        <f ca="1">IFERROR(__xludf.DUMMYFUNCTION("""COMPUTED_VALUE"""),48.7)</f>
        <v>48.7</v>
      </c>
      <c r="C1097" s="1">
        <f ca="1">IFERROR(__xludf.DUMMYFUNCTION("""COMPUTED_VALUE"""),51.32)</f>
        <v>51.32</v>
      </c>
      <c r="D1097" s="1">
        <f ca="1">IFERROR(__xludf.DUMMYFUNCTION("""COMPUTED_VALUE"""),48.67)</f>
        <v>48.67</v>
      </c>
      <c r="E1097" s="1">
        <f ca="1">IFERROR(__xludf.DUMMYFUNCTION("""COMPUTED_VALUE"""),49.87)</f>
        <v>49.87</v>
      </c>
      <c r="F1097" s="1">
        <f ca="1">IFERROR(__xludf.DUMMYFUNCTION("""COMPUTED_VALUE"""),17063521)</f>
        <v>17063521</v>
      </c>
    </row>
    <row r="1098" spans="1:6" x14ac:dyDescent="0.2">
      <c r="A1098" s="2">
        <f ca="1">IFERROR(__xludf.DUMMYFUNCTION("""COMPUTED_VALUE"""),43871.6666666666)</f>
        <v>43871.666666666599</v>
      </c>
      <c r="B1098" s="1">
        <f ca="1">IFERROR(__xludf.DUMMYFUNCTION("""COMPUTED_VALUE"""),53.33)</f>
        <v>53.33</v>
      </c>
      <c r="C1098" s="1">
        <f ca="1">IFERROR(__xludf.DUMMYFUNCTION("""COMPUTED_VALUE"""),54.67)</f>
        <v>54.67</v>
      </c>
      <c r="D1098" s="1">
        <f ca="1">IFERROR(__xludf.DUMMYFUNCTION("""COMPUTED_VALUE"""),50.16)</f>
        <v>50.16</v>
      </c>
      <c r="E1098" s="1">
        <f ca="1">IFERROR(__xludf.DUMMYFUNCTION("""COMPUTED_VALUE"""),51.42)</f>
        <v>51.42</v>
      </c>
      <c r="F1098" s="1">
        <f ca="1">IFERROR(__xludf.DUMMYFUNCTION("""COMPUTED_VALUE"""),24689163)</f>
        <v>24689163</v>
      </c>
    </row>
    <row r="1099" spans="1:6" x14ac:dyDescent="0.2">
      <c r="A1099" s="2">
        <f ca="1">IFERROR(__xludf.DUMMYFUNCTION("""COMPUTED_VALUE"""),43872.6666666666)</f>
        <v>43872.666666666599</v>
      </c>
      <c r="B1099" s="1">
        <f ca="1">IFERROR(__xludf.DUMMYFUNCTION("""COMPUTED_VALUE"""),51.25)</f>
        <v>51.25</v>
      </c>
      <c r="C1099" s="1">
        <f ca="1">IFERROR(__xludf.DUMMYFUNCTION("""COMPUTED_VALUE"""),52.23)</f>
        <v>52.23</v>
      </c>
      <c r="D1099" s="1">
        <f ca="1">IFERROR(__xludf.DUMMYFUNCTION("""COMPUTED_VALUE"""),50.53)</f>
        <v>50.53</v>
      </c>
      <c r="E1099" s="1">
        <f ca="1">IFERROR(__xludf.DUMMYFUNCTION("""COMPUTED_VALUE"""),51.63)</f>
        <v>51.63</v>
      </c>
      <c r="F1099" s="1">
        <f ca="1">IFERROR(__xludf.DUMMYFUNCTION("""COMPUTED_VALUE"""),11697473)</f>
        <v>11697473</v>
      </c>
    </row>
    <row r="1100" spans="1:6" x14ac:dyDescent="0.2">
      <c r="A1100" s="2">
        <f ca="1">IFERROR(__xludf.DUMMYFUNCTION("""COMPUTED_VALUE"""),43873.6666666666)</f>
        <v>43873.666666666599</v>
      </c>
      <c r="B1100" s="1">
        <f ca="1">IFERROR(__xludf.DUMMYFUNCTION("""COMPUTED_VALUE"""),51.86)</f>
        <v>51.86</v>
      </c>
      <c r="C1100" s="1">
        <f ca="1">IFERROR(__xludf.DUMMYFUNCTION("""COMPUTED_VALUE"""),52.65)</f>
        <v>52.65</v>
      </c>
      <c r="D1100" s="1">
        <f ca="1">IFERROR(__xludf.DUMMYFUNCTION("""COMPUTED_VALUE"""),50.89)</f>
        <v>50.89</v>
      </c>
      <c r="E1100" s="1">
        <f ca="1">IFERROR(__xludf.DUMMYFUNCTION("""COMPUTED_VALUE"""),51.15)</f>
        <v>51.15</v>
      </c>
      <c r="F1100" s="1">
        <f ca="1">IFERROR(__xludf.DUMMYFUNCTION("""COMPUTED_VALUE"""),12022470)</f>
        <v>12022470</v>
      </c>
    </row>
    <row r="1101" spans="1:6" x14ac:dyDescent="0.2">
      <c r="A1101" s="2">
        <f ca="1">IFERROR(__xludf.DUMMYFUNCTION("""COMPUTED_VALUE"""),43874.6666666666)</f>
        <v>43874.666666666599</v>
      </c>
      <c r="B1101" s="1">
        <f ca="1">IFERROR(__xludf.DUMMYFUNCTION("""COMPUTED_VALUE"""),49.46)</f>
        <v>49.46</v>
      </c>
      <c r="C1101" s="1">
        <f ca="1">IFERROR(__xludf.DUMMYFUNCTION("""COMPUTED_VALUE"""),54.53)</f>
        <v>54.53</v>
      </c>
      <c r="D1101" s="1">
        <f ca="1">IFERROR(__xludf.DUMMYFUNCTION("""COMPUTED_VALUE"""),49)</f>
        <v>49</v>
      </c>
      <c r="E1101" s="1">
        <f ca="1">IFERROR(__xludf.DUMMYFUNCTION("""COMPUTED_VALUE"""),53.6)</f>
        <v>53.6</v>
      </c>
      <c r="F1101" s="1">
        <f ca="1">IFERROR(__xludf.DUMMYFUNCTION("""COMPUTED_VALUE"""),26289348)</f>
        <v>26289348</v>
      </c>
    </row>
    <row r="1102" spans="1:6" x14ac:dyDescent="0.2">
      <c r="A1102" s="2">
        <f ca="1">IFERROR(__xludf.DUMMYFUNCTION("""COMPUTED_VALUE"""),43875.6666666666)</f>
        <v>43875.666666666599</v>
      </c>
      <c r="B1102" s="1">
        <f ca="1">IFERROR(__xludf.DUMMYFUNCTION("""COMPUTED_VALUE"""),52.48)</f>
        <v>52.48</v>
      </c>
      <c r="C1102" s="1">
        <f ca="1">IFERROR(__xludf.DUMMYFUNCTION("""COMPUTED_VALUE"""),54.2)</f>
        <v>54.2</v>
      </c>
      <c r="D1102" s="1">
        <f ca="1">IFERROR(__xludf.DUMMYFUNCTION("""COMPUTED_VALUE"""),52.37)</f>
        <v>52.37</v>
      </c>
      <c r="E1102" s="1">
        <f ca="1">IFERROR(__xludf.DUMMYFUNCTION("""COMPUTED_VALUE"""),53.34)</f>
        <v>53.34</v>
      </c>
      <c r="F1102" s="1">
        <f ca="1">IFERROR(__xludf.DUMMYFUNCTION("""COMPUTED_VALUE"""),15693711)</f>
        <v>15693711</v>
      </c>
    </row>
    <row r="1103" spans="1:6" x14ac:dyDescent="0.2">
      <c r="A1103" s="2">
        <f ca="1">IFERROR(__xludf.DUMMYFUNCTION("""COMPUTED_VALUE"""),43879.6666666666)</f>
        <v>43879.666666666599</v>
      </c>
      <c r="B1103" s="1">
        <f ca="1">IFERROR(__xludf.DUMMYFUNCTION("""COMPUTED_VALUE"""),56.11)</f>
        <v>56.11</v>
      </c>
      <c r="C1103" s="1">
        <f ca="1">IFERROR(__xludf.DUMMYFUNCTION("""COMPUTED_VALUE"""),57.33)</f>
        <v>57.33</v>
      </c>
      <c r="D1103" s="1">
        <f ca="1">IFERROR(__xludf.DUMMYFUNCTION("""COMPUTED_VALUE"""),55.49)</f>
        <v>55.49</v>
      </c>
      <c r="E1103" s="1">
        <f ca="1">IFERROR(__xludf.DUMMYFUNCTION("""COMPUTED_VALUE"""),57.23)</f>
        <v>57.23</v>
      </c>
      <c r="F1103" s="1">
        <f ca="1">IFERROR(__xludf.DUMMYFUNCTION("""COMPUTED_VALUE"""),16698369)</f>
        <v>16698369</v>
      </c>
    </row>
    <row r="1104" spans="1:6" x14ac:dyDescent="0.2">
      <c r="A1104" s="2">
        <f ca="1">IFERROR(__xludf.DUMMYFUNCTION("""COMPUTED_VALUE"""),43880.6666666666)</f>
        <v>43880.666666666599</v>
      </c>
      <c r="B1104" s="1">
        <f ca="1">IFERROR(__xludf.DUMMYFUNCTION("""COMPUTED_VALUE"""),61.57)</f>
        <v>61.57</v>
      </c>
      <c r="C1104" s="1">
        <f ca="1">IFERROR(__xludf.DUMMYFUNCTION("""COMPUTED_VALUE"""),62.99)</f>
        <v>62.99</v>
      </c>
      <c r="D1104" s="1">
        <f ca="1">IFERROR(__xludf.DUMMYFUNCTION("""COMPUTED_VALUE"""),60.07)</f>
        <v>60.07</v>
      </c>
      <c r="E1104" s="1">
        <f ca="1">IFERROR(__xludf.DUMMYFUNCTION("""COMPUTED_VALUE"""),61.16)</f>
        <v>61.16</v>
      </c>
      <c r="F1104" s="1">
        <f ca="1">IFERROR(__xludf.DUMMYFUNCTION("""COMPUTED_VALUE"""),25422958)</f>
        <v>25422958</v>
      </c>
    </row>
    <row r="1105" spans="1:6" x14ac:dyDescent="0.2">
      <c r="A1105" s="2">
        <f ca="1">IFERROR(__xludf.DUMMYFUNCTION("""COMPUTED_VALUE"""),43881.6666666666)</f>
        <v>43881.666666666599</v>
      </c>
      <c r="B1105" s="1">
        <f ca="1">IFERROR(__xludf.DUMMYFUNCTION("""COMPUTED_VALUE"""),60.8)</f>
        <v>60.8</v>
      </c>
      <c r="C1105" s="1">
        <f ca="1">IFERROR(__xludf.DUMMYFUNCTION("""COMPUTED_VALUE"""),60.8)</f>
        <v>60.8</v>
      </c>
      <c r="D1105" s="1">
        <f ca="1">IFERROR(__xludf.DUMMYFUNCTION("""COMPUTED_VALUE"""),57.33)</f>
        <v>57.33</v>
      </c>
      <c r="E1105" s="1">
        <f ca="1">IFERROR(__xludf.DUMMYFUNCTION("""COMPUTED_VALUE"""),59.96)</f>
        <v>59.96</v>
      </c>
      <c r="F1105" s="1">
        <f ca="1">IFERROR(__xludf.DUMMYFUNCTION("""COMPUTED_VALUE"""),17634893)</f>
        <v>17634893</v>
      </c>
    </row>
    <row r="1106" spans="1:6" x14ac:dyDescent="0.2">
      <c r="A1106" s="2">
        <f ca="1">IFERROR(__xludf.DUMMYFUNCTION("""COMPUTED_VALUE"""),43882.6666666666)</f>
        <v>43882.666666666599</v>
      </c>
      <c r="B1106" s="1">
        <f ca="1">IFERROR(__xludf.DUMMYFUNCTION("""COMPUTED_VALUE"""),60.47)</f>
        <v>60.47</v>
      </c>
      <c r="C1106" s="1">
        <f ca="1">IFERROR(__xludf.DUMMYFUNCTION("""COMPUTED_VALUE"""),60.87)</f>
        <v>60.87</v>
      </c>
      <c r="D1106" s="1">
        <f ca="1">IFERROR(__xludf.DUMMYFUNCTION("""COMPUTED_VALUE"""),58.7)</f>
        <v>58.7</v>
      </c>
      <c r="E1106" s="1">
        <f ca="1">IFERROR(__xludf.DUMMYFUNCTION("""COMPUTED_VALUE"""),60.07)</f>
        <v>60.07</v>
      </c>
      <c r="F1106" s="1">
        <f ca="1">IFERROR(__xludf.DUMMYFUNCTION("""COMPUTED_VALUE"""),14339446)</f>
        <v>14339446</v>
      </c>
    </row>
    <row r="1107" spans="1:6" x14ac:dyDescent="0.2">
      <c r="A1107" s="2">
        <f ca="1">IFERROR(__xludf.DUMMYFUNCTION("""COMPUTED_VALUE"""),43885.6666666666)</f>
        <v>43885.666666666599</v>
      </c>
      <c r="B1107" s="1">
        <f ca="1">IFERROR(__xludf.DUMMYFUNCTION("""COMPUTED_VALUE"""),55.93)</f>
        <v>55.93</v>
      </c>
      <c r="C1107" s="1">
        <f ca="1">IFERROR(__xludf.DUMMYFUNCTION("""COMPUTED_VALUE"""),57.57)</f>
        <v>57.57</v>
      </c>
      <c r="D1107" s="1">
        <f ca="1">IFERROR(__xludf.DUMMYFUNCTION("""COMPUTED_VALUE"""),54.81)</f>
        <v>54.81</v>
      </c>
      <c r="E1107" s="1">
        <f ca="1">IFERROR(__xludf.DUMMYFUNCTION("""COMPUTED_VALUE"""),55.59)</f>
        <v>55.59</v>
      </c>
      <c r="F1107" s="1">
        <f ca="1">IFERROR(__xludf.DUMMYFUNCTION("""COMPUTED_VALUE"""),15192163)</f>
        <v>15192163</v>
      </c>
    </row>
    <row r="1108" spans="1:6" x14ac:dyDescent="0.2">
      <c r="A1108" s="2">
        <f ca="1">IFERROR(__xludf.DUMMYFUNCTION("""COMPUTED_VALUE"""),43886.6666666666)</f>
        <v>43886.666666666599</v>
      </c>
      <c r="B1108" s="1">
        <f ca="1">IFERROR(__xludf.DUMMYFUNCTION("""COMPUTED_VALUE"""),56.6)</f>
        <v>56.6</v>
      </c>
      <c r="C1108" s="1">
        <f ca="1">IFERROR(__xludf.DUMMYFUNCTION("""COMPUTED_VALUE"""),57.11)</f>
        <v>57.11</v>
      </c>
      <c r="D1108" s="1">
        <f ca="1">IFERROR(__xludf.DUMMYFUNCTION("""COMPUTED_VALUE"""),52.47)</f>
        <v>52.47</v>
      </c>
      <c r="E1108" s="1">
        <f ca="1">IFERROR(__xludf.DUMMYFUNCTION("""COMPUTED_VALUE"""),53.33)</f>
        <v>53.33</v>
      </c>
      <c r="F1108" s="1">
        <f ca="1">IFERROR(__xludf.DUMMYFUNCTION("""COMPUTED_VALUE"""),17290481)</f>
        <v>17290481</v>
      </c>
    </row>
    <row r="1109" spans="1:6" x14ac:dyDescent="0.2">
      <c r="A1109" s="2">
        <f ca="1">IFERROR(__xludf.DUMMYFUNCTION("""COMPUTED_VALUE"""),43887.6666666666)</f>
        <v>43887.666666666599</v>
      </c>
      <c r="B1109" s="1">
        <f ca="1">IFERROR(__xludf.DUMMYFUNCTION("""COMPUTED_VALUE"""),52.17)</f>
        <v>52.17</v>
      </c>
      <c r="C1109" s="1">
        <f ca="1">IFERROR(__xludf.DUMMYFUNCTION("""COMPUTED_VALUE"""),54.22)</f>
        <v>54.22</v>
      </c>
      <c r="D1109" s="1">
        <f ca="1">IFERROR(__xludf.DUMMYFUNCTION("""COMPUTED_VALUE"""),51.74)</f>
        <v>51.74</v>
      </c>
      <c r="E1109" s="1">
        <f ca="1">IFERROR(__xludf.DUMMYFUNCTION("""COMPUTED_VALUE"""),51.92)</f>
        <v>51.92</v>
      </c>
      <c r="F1109" s="1">
        <f ca="1">IFERROR(__xludf.DUMMYFUNCTION("""COMPUTED_VALUE"""),14153843)</f>
        <v>14153843</v>
      </c>
    </row>
    <row r="1110" spans="1:6" x14ac:dyDescent="0.2">
      <c r="A1110" s="2">
        <f ca="1">IFERROR(__xludf.DUMMYFUNCTION("""COMPUTED_VALUE"""),43888.6666666666)</f>
        <v>43888.666666666599</v>
      </c>
      <c r="B1110" s="1">
        <f ca="1">IFERROR(__xludf.DUMMYFUNCTION("""COMPUTED_VALUE"""),48.67)</f>
        <v>48.67</v>
      </c>
      <c r="C1110" s="1">
        <f ca="1">IFERROR(__xludf.DUMMYFUNCTION("""COMPUTED_VALUE"""),49.32)</f>
        <v>49.32</v>
      </c>
      <c r="D1110" s="1">
        <f ca="1">IFERROR(__xludf.DUMMYFUNCTION("""COMPUTED_VALUE"""),44.6)</f>
        <v>44.6</v>
      </c>
      <c r="E1110" s="1">
        <f ca="1">IFERROR(__xludf.DUMMYFUNCTION("""COMPUTED_VALUE"""),45.27)</f>
        <v>45.27</v>
      </c>
      <c r="F1110" s="1">
        <f ca="1">IFERROR(__xludf.DUMMYFUNCTION("""COMPUTED_VALUE"""),24277160)</f>
        <v>24277160</v>
      </c>
    </row>
    <row r="1111" spans="1:6" x14ac:dyDescent="0.2">
      <c r="A1111" s="2">
        <f ca="1">IFERROR(__xludf.DUMMYFUNCTION("""COMPUTED_VALUE"""),43889.6666666666)</f>
        <v>43889.666666666599</v>
      </c>
      <c r="B1111" s="1">
        <f ca="1">IFERROR(__xludf.DUMMYFUNCTION("""COMPUTED_VALUE"""),41.98)</f>
        <v>41.98</v>
      </c>
      <c r="C1111" s="1">
        <f ca="1">IFERROR(__xludf.DUMMYFUNCTION("""COMPUTED_VALUE"""),46.03)</f>
        <v>46.03</v>
      </c>
      <c r="D1111" s="1">
        <f ca="1">IFERROR(__xludf.DUMMYFUNCTION("""COMPUTED_VALUE"""),40.77)</f>
        <v>40.770000000000003</v>
      </c>
      <c r="E1111" s="1">
        <f ca="1">IFERROR(__xludf.DUMMYFUNCTION("""COMPUTED_VALUE"""),44.53)</f>
        <v>44.53</v>
      </c>
      <c r="F1111" s="1">
        <f ca="1">IFERROR(__xludf.DUMMYFUNCTION("""COMPUTED_VALUE"""),24564171)</f>
        <v>24564171</v>
      </c>
    </row>
    <row r="1112" spans="1:6" x14ac:dyDescent="0.2">
      <c r="A1112" s="2">
        <f ca="1">IFERROR(__xludf.DUMMYFUNCTION("""COMPUTED_VALUE"""),43892.6666666666)</f>
        <v>43892.666666666599</v>
      </c>
      <c r="B1112" s="1">
        <f ca="1">IFERROR(__xludf.DUMMYFUNCTION("""COMPUTED_VALUE"""),47.42)</f>
        <v>47.42</v>
      </c>
      <c r="C1112" s="1">
        <f ca="1">IFERROR(__xludf.DUMMYFUNCTION("""COMPUTED_VALUE"""),49.58)</f>
        <v>49.58</v>
      </c>
      <c r="D1112" s="1">
        <f ca="1">IFERROR(__xludf.DUMMYFUNCTION("""COMPUTED_VALUE"""),45.78)</f>
        <v>45.78</v>
      </c>
      <c r="E1112" s="1">
        <f ca="1">IFERROR(__xludf.DUMMYFUNCTION("""COMPUTED_VALUE"""),49.57)</f>
        <v>49.57</v>
      </c>
      <c r="F1112" s="1">
        <f ca="1">IFERROR(__xludf.DUMMYFUNCTION("""COMPUTED_VALUE"""),20194991)</f>
        <v>20194991</v>
      </c>
    </row>
    <row r="1113" spans="1:6" x14ac:dyDescent="0.2">
      <c r="A1113" s="2">
        <f ca="1">IFERROR(__xludf.DUMMYFUNCTION("""COMPUTED_VALUE"""),43893.6666666666)</f>
        <v>43893.666666666599</v>
      </c>
      <c r="B1113" s="1">
        <f ca="1">IFERROR(__xludf.DUMMYFUNCTION("""COMPUTED_VALUE"""),53.67)</f>
        <v>53.67</v>
      </c>
      <c r="C1113" s="1">
        <f ca="1">IFERROR(__xludf.DUMMYFUNCTION("""COMPUTED_VALUE"""),53.8)</f>
        <v>53.8</v>
      </c>
      <c r="D1113" s="1">
        <f ca="1">IFERROR(__xludf.DUMMYFUNCTION("""COMPUTED_VALUE"""),47.74)</f>
        <v>47.74</v>
      </c>
      <c r="E1113" s="1">
        <f ca="1">IFERROR(__xludf.DUMMYFUNCTION("""COMPUTED_VALUE"""),49.7)</f>
        <v>49.7</v>
      </c>
      <c r="F1113" s="1">
        <f ca="1">IFERROR(__xludf.DUMMYFUNCTION("""COMPUTED_VALUE"""),25784003)</f>
        <v>25784003</v>
      </c>
    </row>
    <row r="1114" spans="1:6" x14ac:dyDescent="0.2">
      <c r="A1114" s="2">
        <f ca="1">IFERROR(__xludf.DUMMYFUNCTION("""COMPUTED_VALUE"""),43894.6666666666)</f>
        <v>43894.666666666599</v>
      </c>
      <c r="B1114" s="1">
        <f ca="1">IFERROR(__xludf.DUMMYFUNCTION("""COMPUTED_VALUE"""),50.93)</f>
        <v>50.93</v>
      </c>
      <c r="C1114" s="1">
        <f ca="1">IFERROR(__xludf.DUMMYFUNCTION("""COMPUTED_VALUE"""),51.1)</f>
        <v>51.1</v>
      </c>
      <c r="D1114" s="1">
        <f ca="1">IFERROR(__xludf.DUMMYFUNCTION("""COMPUTED_VALUE"""),48.32)</f>
        <v>48.32</v>
      </c>
      <c r="E1114" s="1">
        <f ca="1">IFERROR(__xludf.DUMMYFUNCTION("""COMPUTED_VALUE"""),49.97)</f>
        <v>49.97</v>
      </c>
      <c r="F1114" s="1">
        <f ca="1">IFERROR(__xludf.DUMMYFUNCTION("""COMPUTED_VALUE"""),15048977)</f>
        <v>15048977</v>
      </c>
    </row>
    <row r="1115" spans="1:6" x14ac:dyDescent="0.2">
      <c r="A1115" s="2">
        <f ca="1">IFERROR(__xludf.DUMMYFUNCTION("""COMPUTED_VALUE"""),43895.6666666666)</f>
        <v>43895.666666666599</v>
      </c>
      <c r="B1115" s="1">
        <f ca="1">IFERROR(__xludf.DUMMYFUNCTION("""COMPUTED_VALUE"""),48.25)</f>
        <v>48.25</v>
      </c>
      <c r="C1115" s="1">
        <f ca="1">IFERROR(__xludf.DUMMYFUNCTION("""COMPUTED_VALUE"""),49.72)</f>
        <v>49.72</v>
      </c>
      <c r="D1115" s="1">
        <f ca="1">IFERROR(__xludf.DUMMYFUNCTION("""COMPUTED_VALUE"""),47.87)</f>
        <v>47.87</v>
      </c>
      <c r="E1115" s="1">
        <f ca="1">IFERROR(__xludf.DUMMYFUNCTION("""COMPUTED_VALUE"""),48.3)</f>
        <v>48.3</v>
      </c>
      <c r="F1115" s="1">
        <f ca="1">IFERROR(__xludf.DUMMYFUNCTION("""COMPUTED_VALUE"""),10852657)</f>
        <v>10852657</v>
      </c>
    </row>
    <row r="1116" spans="1:6" x14ac:dyDescent="0.2">
      <c r="A1116" s="2">
        <f ca="1">IFERROR(__xludf.DUMMYFUNCTION("""COMPUTED_VALUE"""),43896.6666666666)</f>
        <v>43896.666666666599</v>
      </c>
      <c r="B1116" s="1">
        <f ca="1">IFERROR(__xludf.DUMMYFUNCTION("""COMPUTED_VALUE"""),46)</f>
        <v>46</v>
      </c>
      <c r="C1116" s="1">
        <f ca="1">IFERROR(__xludf.DUMMYFUNCTION("""COMPUTED_VALUE"""),47.13)</f>
        <v>47.13</v>
      </c>
      <c r="D1116" s="1">
        <f ca="1">IFERROR(__xludf.DUMMYFUNCTION("""COMPUTED_VALUE"""),45.62)</f>
        <v>45.62</v>
      </c>
      <c r="E1116" s="1">
        <f ca="1">IFERROR(__xludf.DUMMYFUNCTION("""COMPUTED_VALUE"""),46.9)</f>
        <v>46.9</v>
      </c>
      <c r="F1116" s="1">
        <f ca="1">IFERROR(__xludf.DUMMYFUNCTION("""COMPUTED_VALUE"""),12662918)</f>
        <v>12662918</v>
      </c>
    </row>
    <row r="1117" spans="1:6" x14ac:dyDescent="0.2">
      <c r="A1117" s="2">
        <f ca="1">IFERROR(__xludf.DUMMYFUNCTION("""COMPUTED_VALUE"""),43899.6666666666)</f>
        <v>43899.666666666599</v>
      </c>
      <c r="B1117" s="1">
        <f ca="1">IFERROR(__xludf.DUMMYFUNCTION("""COMPUTED_VALUE"""),40.36)</f>
        <v>40.36</v>
      </c>
      <c r="C1117" s="1">
        <f ca="1">IFERROR(__xludf.DUMMYFUNCTION("""COMPUTED_VALUE"""),44.2)</f>
        <v>44.2</v>
      </c>
      <c r="D1117" s="1">
        <f ca="1">IFERROR(__xludf.DUMMYFUNCTION("""COMPUTED_VALUE"""),40.33)</f>
        <v>40.33</v>
      </c>
      <c r="E1117" s="1">
        <f ca="1">IFERROR(__xludf.DUMMYFUNCTION("""COMPUTED_VALUE"""),40.53)</f>
        <v>40.53</v>
      </c>
      <c r="F1117" s="1">
        <f ca="1">IFERROR(__xludf.DUMMYFUNCTION("""COMPUTED_VALUE"""),17073740)</f>
        <v>17073740</v>
      </c>
    </row>
    <row r="1118" spans="1:6" x14ac:dyDescent="0.2">
      <c r="A1118" s="2">
        <f ca="1">IFERROR(__xludf.DUMMYFUNCTION("""COMPUTED_VALUE"""),43900.6666666666)</f>
        <v>43900.666666666599</v>
      </c>
      <c r="B1118" s="1">
        <f ca="1">IFERROR(__xludf.DUMMYFUNCTION("""COMPUTED_VALUE"""),43.96)</f>
        <v>43.96</v>
      </c>
      <c r="C1118" s="1">
        <f ca="1">IFERROR(__xludf.DUMMYFUNCTION("""COMPUTED_VALUE"""),44.53)</f>
        <v>44.53</v>
      </c>
      <c r="D1118" s="1">
        <f ca="1">IFERROR(__xludf.DUMMYFUNCTION("""COMPUTED_VALUE"""),40.53)</f>
        <v>40.53</v>
      </c>
      <c r="E1118" s="1">
        <f ca="1">IFERROR(__xludf.DUMMYFUNCTION("""COMPUTED_VALUE"""),43.02)</f>
        <v>43.02</v>
      </c>
      <c r="F1118" s="1">
        <f ca="1">IFERROR(__xludf.DUMMYFUNCTION("""COMPUTED_VALUE"""),15594443)</f>
        <v>15594443</v>
      </c>
    </row>
    <row r="1119" spans="1:6" x14ac:dyDescent="0.2">
      <c r="A1119" s="2">
        <f ca="1">IFERROR(__xludf.DUMMYFUNCTION("""COMPUTED_VALUE"""),43901.6666666666)</f>
        <v>43901.666666666599</v>
      </c>
      <c r="B1119" s="1">
        <f ca="1">IFERROR(__xludf.DUMMYFUNCTION("""COMPUTED_VALUE"""),42.68)</f>
        <v>42.68</v>
      </c>
      <c r="C1119" s="1">
        <f ca="1">IFERROR(__xludf.DUMMYFUNCTION("""COMPUTED_VALUE"""),43.57)</f>
        <v>43.57</v>
      </c>
      <c r="D1119" s="1">
        <f ca="1">IFERROR(__xludf.DUMMYFUNCTION("""COMPUTED_VALUE"""),40.87)</f>
        <v>40.869999999999997</v>
      </c>
      <c r="E1119" s="1">
        <f ca="1">IFERROR(__xludf.DUMMYFUNCTION("""COMPUTED_VALUE"""),42.28)</f>
        <v>42.28</v>
      </c>
      <c r="F1119" s="1">
        <f ca="1">IFERROR(__xludf.DUMMYFUNCTION("""COMPUTED_VALUE"""),13413587)</f>
        <v>13413587</v>
      </c>
    </row>
    <row r="1120" spans="1:6" x14ac:dyDescent="0.2">
      <c r="A1120" s="2">
        <f ca="1">IFERROR(__xludf.DUMMYFUNCTION("""COMPUTED_VALUE"""),43902.6666666666)</f>
        <v>43902.666666666599</v>
      </c>
      <c r="B1120" s="1">
        <f ca="1">IFERROR(__xludf.DUMMYFUNCTION("""COMPUTED_VALUE"""),38.73)</f>
        <v>38.729999999999997</v>
      </c>
      <c r="C1120" s="1">
        <f ca="1">IFERROR(__xludf.DUMMYFUNCTION("""COMPUTED_VALUE"""),39.63)</f>
        <v>39.630000000000003</v>
      </c>
      <c r="D1120" s="1">
        <f ca="1">IFERROR(__xludf.DUMMYFUNCTION("""COMPUTED_VALUE"""),36.42)</f>
        <v>36.42</v>
      </c>
      <c r="E1120" s="1">
        <f ca="1">IFERROR(__xludf.DUMMYFUNCTION("""COMPUTED_VALUE"""),37.37)</f>
        <v>37.369999999999997</v>
      </c>
      <c r="F1120" s="1">
        <f ca="1">IFERROR(__xludf.DUMMYFUNCTION("""COMPUTED_VALUE"""),18909052)</f>
        <v>18909052</v>
      </c>
    </row>
    <row r="1121" spans="1:6" x14ac:dyDescent="0.2">
      <c r="A1121" s="2">
        <f ca="1">IFERROR(__xludf.DUMMYFUNCTION("""COMPUTED_VALUE"""),43903.6666666666)</f>
        <v>43903.666666666599</v>
      </c>
      <c r="B1121" s="1">
        <f ca="1">IFERROR(__xludf.DUMMYFUNCTION("""COMPUTED_VALUE"""),39.67)</f>
        <v>39.67</v>
      </c>
      <c r="C1121" s="1">
        <f ca="1">IFERROR(__xludf.DUMMYFUNCTION("""COMPUTED_VALUE"""),40.5)</f>
        <v>40.5</v>
      </c>
      <c r="D1121" s="1">
        <f ca="1">IFERROR(__xludf.DUMMYFUNCTION("""COMPUTED_VALUE"""),33.47)</f>
        <v>33.47</v>
      </c>
      <c r="E1121" s="1">
        <f ca="1">IFERROR(__xludf.DUMMYFUNCTION("""COMPUTED_VALUE"""),36.44)</f>
        <v>36.44</v>
      </c>
      <c r="F1121" s="1">
        <f ca="1">IFERROR(__xludf.DUMMYFUNCTION("""COMPUTED_VALUE"""),22640254)</f>
        <v>22640254</v>
      </c>
    </row>
    <row r="1122" spans="1:6" x14ac:dyDescent="0.2">
      <c r="A1122" s="2">
        <f ca="1">IFERROR(__xludf.DUMMYFUNCTION("""COMPUTED_VALUE"""),43906.6666666666)</f>
        <v>43906.666666666599</v>
      </c>
      <c r="B1122" s="1">
        <f ca="1">IFERROR(__xludf.DUMMYFUNCTION("""COMPUTED_VALUE"""),31.3)</f>
        <v>31.3</v>
      </c>
      <c r="C1122" s="1">
        <f ca="1">IFERROR(__xludf.DUMMYFUNCTION("""COMPUTED_VALUE"""),32.99)</f>
        <v>32.99</v>
      </c>
      <c r="D1122" s="1">
        <f ca="1">IFERROR(__xludf.DUMMYFUNCTION("""COMPUTED_VALUE"""),29.48)</f>
        <v>29.48</v>
      </c>
      <c r="E1122" s="1">
        <f ca="1">IFERROR(__xludf.DUMMYFUNCTION("""COMPUTED_VALUE"""),29.67)</f>
        <v>29.67</v>
      </c>
      <c r="F1122" s="1">
        <f ca="1">IFERROR(__xludf.DUMMYFUNCTION("""COMPUTED_VALUE"""),20489464)</f>
        <v>20489464</v>
      </c>
    </row>
    <row r="1123" spans="1:6" x14ac:dyDescent="0.2">
      <c r="A1123" s="2">
        <f ca="1">IFERROR(__xludf.DUMMYFUNCTION("""COMPUTED_VALUE"""),43907.6666666666)</f>
        <v>43907.666666666599</v>
      </c>
      <c r="B1123" s="1">
        <f ca="1">IFERROR(__xludf.DUMMYFUNCTION("""COMPUTED_VALUE"""),29.33)</f>
        <v>29.33</v>
      </c>
      <c r="C1123" s="1">
        <f ca="1">IFERROR(__xludf.DUMMYFUNCTION("""COMPUTED_VALUE"""),31.46)</f>
        <v>31.46</v>
      </c>
      <c r="D1123" s="1">
        <f ca="1">IFERROR(__xludf.DUMMYFUNCTION("""COMPUTED_VALUE"""),26.4)</f>
        <v>26.4</v>
      </c>
      <c r="E1123" s="1">
        <f ca="1">IFERROR(__xludf.DUMMYFUNCTION("""COMPUTED_VALUE"""),28.68)</f>
        <v>28.68</v>
      </c>
      <c r="F1123" s="1">
        <f ca="1">IFERROR(__xludf.DUMMYFUNCTION("""COMPUTED_VALUE"""),23994580)</f>
        <v>23994580</v>
      </c>
    </row>
    <row r="1124" spans="1:6" x14ac:dyDescent="0.2">
      <c r="A1124" s="2">
        <f ca="1">IFERROR(__xludf.DUMMYFUNCTION("""COMPUTED_VALUE"""),43908.6666666666)</f>
        <v>43908.666666666599</v>
      </c>
      <c r="B1124" s="1">
        <f ca="1">IFERROR(__xludf.DUMMYFUNCTION("""COMPUTED_VALUE"""),25.93)</f>
        <v>25.93</v>
      </c>
      <c r="C1124" s="1">
        <f ca="1">IFERROR(__xludf.DUMMYFUNCTION("""COMPUTED_VALUE"""),26.99)</f>
        <v>26.99</v>
      </c>
      <c r="D1124" s="1">
        <f ca="1">IFERROR(__xludf.DUMMYFUNCTION("""COMPUTED_VALUE"""),23.37)</f>
        <v>23.37</v>
      </c>
      <c r="E1124" s="1">
        <f ca="1">IFERROR(__xludf.DUMMYFUNCTION("""COMPUTED_VALUE"""),24.08)</f>
        <v>24.08</v>
      </c>
      <c r="F1124" s="1">
        <f ca="1">IFERROR(__xludf.DUMMYFUNCTION("""COMPUTED_VALUE"""),23786162)</f>
        <v>23786162</v>
      </c>
    </row>
    <row r="1125" spans="1:6" x14ac:dyDescent="0.2">
      <c r="A1125" s="2">
        <f ca="1">IFERROR(__xludf.DUMMYFUNCTION("""COMPUTED_VALUE"""),43909.6666666666)</f>
        <v>43909.666666666599</v>
      </c>
      <c r="B1125" s="1">
        <f ca="1">IFERROR(__xludf.DUMMYFUNCTION("""COMPUTED_VALUE"""),24.98)</f>
        <v>24.98</v>
      </c>
      <c r="C1125" s="1">
        <f ca="1">IFERROR(__xludf.DUMMYFUNCTION("""COMPUTED_VALUE"""),30.13)</f>
        <v>30.13</v>
      </c>
      <c r="D1125" s="1">
        <f ca="1">IFERROR(__xludf.DUMMYFUNCTION("""COMPUTED_VALUE"""),23.9)</f>
        <v>23.9</v>
      </c>
      <c r="E1125" s="1">
        <f ca="1">IFERROR(__xludf.DUMMYFUNCTION("""COMPUTED_VALUE"""),28.51)</f>
        <v>28.51</v>
      </c>
      <c r="F1125" s="1">
        <f ca="1">IFERROR(__xludf.DUMMYFUNCTION("""COMPUTED_VALUE"""),30195460)</f>
        <v>30195460</v>
      </c>
    </row>
    <row r="1126" spans="1:6" x14ac:dyDescent="0.2">
      <c r="A1126" s="2">
        <f ca="1">IFERROR(__xludf.DUMMYFUNCTION("""COMPUTED_VALUE"""),43910.6666666666)</f>
        <v>43910.666666666599</v>
      </c>
      <c r="B1126" s="1">
        <f ca="1">IFERROR(__xludf.DUMMYFUNCTION("""COMPUTED_VALUE"""),29.21)</f>
        <v>29.21</v>
      </c>
      <c r="C1126" s="1">
        <f ca="1">IFERROR(__xludf.DUMMYFUNCTION("""COMPUTED_VALUE"""),31.8)</f>
        <v>31.8</v>
      </c>
      <c r="D1126" s="1">
        <f ca="1">IFERROR(__xludf.DUMMYFUNCTION("""COMPUTED_VALUE"""),28.39)</f>
        <v>28.39</v>
      </c>
      <c r="E1126" s="1">
        <f ca="1">IFERROR(__xludf.DUMMYFUNCTION("""COMPUTED_VALUE"""),28.5)</f>
        <v>28.5</v>
      </c>
      <c r="F1126" s="1">
        <f ca="1">IFERROR(__xludf.DUMMYFUNCTION("""COMPUTED_VALUE"""),28285502)</f>
        <v>28285502</v>
      </c>
    </row>
    <row r="1127" spans="1:6" x14ac:dyDescent="0.2">
      <c r="A1127" s="2">
        <f ca="1">IFERROR(__xludf.DUMMYFUNCTION("""COMPUTED_VALUE"""),43913.6666666666)</f>
        <v>43913.666666666599</v>
      </c>
      <c r="B1127" s="1">
        <f ca="1">IFERROR(__xludf.DUMMYFUNCTION("""COMPUTED_VALUE"""),28.91)</f>
        <v>28.91</v>
      </c>
      <c r="C1127" s="1">
        <f ca="1">IFERROR(__xludf.DUMMYFUNCTION("""COMPUTED_VALUE"""),29.47)</f>
        <v>29.47</v>
      </c>
      <c r="D1127" s="1">
        <f ca="1">IFERROR(__xludf.DUMMYFUNCTION("""COMPUTED_VALUE"""),27.37)</f>
        <v>27.37</v>
      </c>
      <c r="E1127" s="1">
        <f ca="1">IFERROR(__xludf.DUMMYFUNCTION("""COMPUTED_VALUE"""),28.95)</f>
        <v>28.95</v>
      </c>
      <c r="F1127" s="1">
        <f ca="1">IFERROR(__xludf.DUMMYFUNCTION("""COMPUTED_VALUE"""),16454549)</f>
        <v>16454549</v>
      </c>
    </row>
    <row r="1128" spans="1:6" x14ac:dyDescent="0.2">
      <c r="A1128" s="2">
        <f ca="1">IFERROR(__xludf.DUMMYFUNCTION("""COMPUTED_VALUE"""),43914.6666666666)</f>
        <v>43914.666666666599</v>
      </c>
      <c r="B1128" s="1">
        <f ca="1">IFERROR(__xludf.DUMMYFUNCTION("""COMPUTED_VALUE"""),31.82)</f>
        <v>31.82</v>
      </c>
      <c r="C1128" s="1">
        <f ca="1">IFERROR(__xludf.DUMMYFUNCTION("""COMPUTED_VALUE"""),34.25)</f>
        <v>34.25</v>
      </c>
      <c r="D1128" s="1">
        <f ca="1">IFERROR(__xludf.DUMMYFUNCTION("""COMPUTED_VALUE"""),31.6)</f>
        <v>31.6</v>
      </c>
      <c r="E1128" s="1">
        <f ca="1">IFERROR(__xludf.DUMMYFUNCTION("""COMPUTED_VALUE"""),33.67)</f>
        <v>33.67</v>
      </c>
      <c r="F1128" s="1">
        <f ca="1">IFERROR(__xludf.DUMMYFUNCTION("""COMPUTED_VALUE"""),22895170)</f>
        <v>22895170</v>
      </c>
    </row>
    <row r="1129" spans="1:6" x14ac:dyDescent="0.2">
      <c r="A1129" s="2">
        <f ca="1">IFERROR(__xludf.DUMMYFUNCTION("""COMPUTED_VALUE"""),43915.6666666666)</f>
        <v>43915.666666666599</v>
      </c>
      <c r="B1129" s="1">
        <f ca="1">IFERROR(__xludf.DUMMYFUNCTION("""COMPUTED_VALUE"""),36.35)</f>
        <v>36.35</v>
      </c>
      <c r="C1129" s="1">
        <f ca="1">IFERROR(__xludf.DUMMYFUNCTION("""COMPUTED_VALUE"""),37.13)</f>
        <v>37.130000000000003</v>
      </c>
      <c r="D1129" s="1">
        <f ca="1">IFERROR(__xludf.DUMMYFUNCTION("""COMPUTED_VALUE"""),34.07)</f>
        <v>34.07</v>
      </c>
      <c r="E1129" s="1">
        <f ca="1">IFERROR(__xludf.DUMMYFUNCTION("""COMPUTED_VALUE"""),35.95)</f>
        <v>35.950000000000003</v>
      </c>
      <c r="F1129" s="1">
        <f ca="1">IFERROR(__xludf.DUMMYFUNCTION("""COMPUTED_VALUE"""),21222745)</f>
        <v>21222745</v>
      </c>
    </row>
    <row r="1130" spans="1:6" x14ac:dyDescent="0.2">
      <c r="A1130" s="2">
        <f ca="1">IFERROR(__xludf.DUMMYFUNCTION("""COMPUTED_VALUE"""),43916.6666666666)</f>
        <v>43916.666666666599</v>
      </c>
      <c r="B1130" s="1">
        <f ca="1">IFERROR(__xludf.DUMMYFUNCTION("""COMPUTED_VALUE"""),36.49)</f>
        <v>36.49</v>
      </c>
      <c r="C1130" s="1">
        <f ca="1">IFERROR(__xludf.DUMMYFUNCTION("""COMPUTED_VALUE"""),37.33)</f>
        <v>37.33</v>
      </c>
      <c r="D1130" s="1">
        <f ca="1">IFERROR(__xludf.DUMMYFUNCTION("""COMPUTED_VALUE"""),34.15)</f>
        <v>34.15</v>
      </c>
      <c r="E1130" s="1">
        <f ca="1">IFERROR(__xludf.DUMMYFUNCTION("""COMPUTED_VALUE"""),35.21)</f>
        <v>35.21</v>
      </c>
      <c r="F1130" s="1">
        <f ca="1">IFERROR(__xludf.DUMMYFUNCTION("""COMPUTED_VALUE"""),17422082)</f>
        <v>17422082</v>
      </c>
    </row>
    <row r="1131" spans="1:6" x14ac:dyDescent="0.2">
      <c r="A1131" s="2">
        <f ca="1">IFERROR(__xludf.DUMMYFUNCTION("""COMPUTED_VALUE"""),43917.6666666666)</f>
        <v>43917.666666666599</v>
      </c>
      <c r="B1131" s="1">
        <f ca="1">IFERROR(__xludf.DUMMYFUNCTION("""COMPUTED_VALUE"""),33.67)</f>
        <v>33.67</v>
      </c>
      <c r="C1131" s="1">
        <f ca="1">IFERROR(__xludf.DUMMYFUNCTION("""COMPUTED_VALUE"""),35.05)</f>
        <v>35.049999999999997</v>
      </c>
      <c r="D1131" s="1">
        <f ca="1">IFERROR(__xludf.DUMMYFUNCTION("""COMPUTED_VALUE"""),32.94)</f>
        <v>32.94</v>
      </c>
      <c r="E1131" s="1">
        <f ca="1">IFERROR(__xludf.DUMMYFUNCTION("""COMPUTED_VALUE"""),34.29)</f>
        <v>34.29</v>
      </c>
      <c r="F1131" s="1">
        <f ca="1">IFERROR(__xludf.DUMMYFUNCTION("""COMPUTED_VALUE"""),14377408)</f>
        <v>14377408</v>
      </c>
    </row>
    <row r="1132" spans="1:6" x14ac:dyDescent="0.2">
      <c r="A1132" s="2">
        <f ca="1">IFERROR(__xludf.DUMMYFUNCTION("""COMPUTED_VALUE"""),43920.6666666666)</f>
        <v>43920.666666666599</v>
      </c>
      <c r="B1132" s="1">
        <f ca="1">IFERROR(__xludf.DUMMYFUNCTION("""COMPUTED_VALUE"""),34.02)</f>
        <v>34.020000000000003</v>
      </c>
      <c r="C1132" s="1">
        <f ca="1">IFERROR(__xludf.DUMMYFUNCTION("""COMPUTED_VALUE"""),34.44)</f>
        <v>34.44</v>
      </c>
      <c r="D1132" s="1">
        <f ca="1">IFERROR(__xludf.DUMMYFUNCTION("""COMPUTED_VALUE"""),32.75)</f>
        <v>32.75</v>
      </c>
      <c r="E1132" s="1">
        <f ca="1">IFERROR(__xludf.DUMMYFUNCTION("""COMPUTED_VALUE"""),33.48)</f>
        <v>33.479999999999997</v>
      </c>
      <c r="F1132" s="1">
        <f ca="1">IFERROR(__xludf.DUMMYFUNCTION("""COMPUTED_VALUE"""),11998067)</f>
        <v>11998067</v>
      </c>
    </row>
    <row r="1133" spans="1:6" x14ac:dyDescent="0.2">
      <c r="A1133" s="2">
        <f ca="1">IFERROR(__xludf.DUMMYFUNCTION("""COMPUTED_VALUE"""),43921.6666666666)</f>
        <v>43921.666666666599</v>
      </c>
      <c r="B1133" s="1">
        <f ca="1">IFERROR(__xludf.DUMMYFUNCTION("""COMPUTED_VALUE"""),33.42)</f>
        <v>33.42</v>
      </c>
      <c r="C1133" s="1">
        <f ca="1">IFERROR(__xludf.DUMMYFUNCTION("""COMPUTED_VALUE"""),36.2)</f>
        <v>36.200000000000003</v>
      </c>
      <c r="D1133" s="1">
        <f ca="1">IFERROR(__xludf.DUMMYFUNCTION("""COMPUTED_VALUE"""),33.13)</f>
        <v>33.130000000000003</v>
      </c>
      <c r="E1133" s="1">
        <f ca="1">IFERROR(__xludf.DUMMYFUNCTION("""COMPUTED_VALUE"""),34.93)</f>
        <v>34.93</v>
      </c>
      <c r="F1133" s="1">
        <f ca="1">IFERROR(__xludf.DUMMYFUNCTION("""COMPUTED_VALUE"""),17771485)</f>
        <v>17771485</v>
      </c>
    </row>
    <row r="1134" spans="1:6" x14ac:dyDescent="0.2">
      <c r="A1134" s="2">
        <f ca="1">IFERROR(__xludf.DUMMYFUNCTION("""COMPUTED_VALUE"""),43922.6666666666)</f>
        <v>43922.666666666599</v>
      </c>
      <c r="B1134" s="1">
        <f ca="1">IFERROR(__xludf.DUMMYFUNCTION("""COMPUTED_VALUE"""),33.6)</f>
        <v>33.6</v>
      </c>
      <c r="C1134" s="1">
        <f ca="1">IFERROR(__xludf.DUMMYFUNCTION("""COMPUTED_VALUE"""),34.26)</f>
        <v>34.26</v>
      </c>
      <c r="D1134" s="1">
        <f ca="1">IFERROR(__xludf.DUMMYFUNCTION("""COMPUTED_VALUE"""),31.67)</f>
        <v>31.67</v>
      </c>
      <c r="E1134" s="1">
        <f ca="1">IFERROR(__xludf.DUMMYFUNCTION("""COMPUTED_VALUE"""),32.1)</f>
        <v>32.1</v>
      </c>
      <c r="F1134" s="1">
        <f ca="1">IFERROR(__xludf.DUMMYFUNCTION("""COMPUTED_VALUE"""),13353180)</f>
        <v>13353180</v>
      </c>
    </row>
    <row r="1135" spans="1:6" x14ac:dyDescent="0.2">
      <c r="A1135" s="2">
        <f ca="1">IFERROR(__xludf.DUMMYFUNCTION("""COMPUTED_VALUE"""),43923.6666666666)</f>
        <v>43923.666666666599</v>
      </c>
      <c r="B1135" s="1">
        <f ca="1">IFERROR(__xludf.DUMMYFUNCTION("""COMPUTED_VALUE"""),32.07)</f>
        <v>32.07</v>
      </c>
      <c r="C1135" s="1">
        <f ca="1">IFERROR(__xludf.DUMMYFUNCTION("""COMPUTED_VALUE"""),32.95)</f>
        <v>32.950000000000003</v>
      </c>
      <c r="D1135" s="1">
        <f ca="1">IFERROR(__xludf.DUMMYFUNCTION("""COMPUTED_VALUE"""),29.76)</f>
        <v>29.76</v>
      </c>
      <c r="E1135" s="1">
        <f ca="1">IFERROR(__xludf.DUMMYFUNCTION("""COMPUTED_VALUE"""),30.3)</f>
        <v>30.3</v>
      </c>
      <c r="F1135" s="1">
        <f ca="1">IFERROR(__xludf.DUMMYFUNCTION("""COMPUTED_VALUE"""),19858427)</f>
        <v>19858427</v>
      </c>
    </row>
    <row r="1136" spans="1:6" x14ac:dyDescent="0.2">
      <c r="A1136" s="2">
        <f ca="1">IFERROR(__xludf.DUMMYFUNCTION("""COMPUTED_VALUE"""),43924.6666666666)</f>
        <v>43924.666666666599</v>
      </c>
      <c r="B1136" s="1">
        <f ca="1">IFERROR(__xludf.DUMMYFUNCTION("""COMPUTED_VALUE"""),33.97)</f>
        <v>33.97</v>
      </c>
      <c r="C1136" s="1">
        <f ca="1">IFERROR(__xludf.DUMMYFUNCTION("""COMPUTED_VALUE"""),34.37)</f>
        <v>34.369999999999997</v>
      </c>
      <c r="D1136" s="1">
        <f ca="1">IFERROR(__xludf.DUMMYFUNCTION("""COMPUTED_VALUE"""),31.23)</f>
        <v>31.23</v>
      </c>
      <c r="E1136" s="1">
        <f ca="1">IFERROR(__xludf.DUMMYFUNCTION("""COMPUTED_VALUE"""),32)</f>
        <v>32</v>
      </c>
      <c r="F1136" s="1">
        <f ca="1">IFERROR(__xludf.DUMMYFUNCTION("""COMPUTED_VALUE"""),22562076)</f>
        <v>22562076</v>
      </c>
    </row>
    <row r="1137" spans="1:6" x14ac:dyDescent="0.2">
      <c r="A1137" s="2">
        <f ca="1">IFERROR(__xludf.DUMMYFUNCTION("""COMPUTED_VALUE"""),43927.6666666666)</f>
        <v>43927.666666666599</v>
      </c>
      <c r="B1137" s="1">
        <f ca="1">IFERROR(__xludf.DUMMYFUNCTION("""COMPUTED_VALUE"""),34.08)</f>
        <v>34.08</v>
      </c>
      <c r="C1137" s="1">
        <f ca="1">IFERROR(__xludf.DUMMYFUNCTION("""COMPUTED_VALUE"""),34.73)</f>
        <v>34.729999999999997</v>
      </c>
      <c r="D1137" s="1">
        <f ca="1">IFERROR(__xludf.DUMMYFUNCTION("""COMPUTED_VALUE"""),33.2)</f>
        <v>33.200000000000003</v>
      </c>
      <c r="E1137" s="1">
        <f ca="1">IFERROR(__xludf.DUMMYFUNCTION("""COMPUTED_VALUE"""),34.42)</f>
        <v>34.42</v>
      </c>
      <c r="F1137" s="1">
        <f ca="1">IFERROR(__xludf.DUMMYFUNCTION("""COMPUTED_VALUE"""),14901836)</f>
        <v>14901836</v>
      </c>
    </row>
    <row r="1138" spans="1:6" x14ac:dyDescent="0.2">
      <c r="A1138" s="2">
        <f ca="1">IFERROR(__xludf.DUMMYFUNCTION("""COMPUTED_VALUE"""),43928.6666666666)</f>
        <v>43928.666666666599</v>
      </c>
      <c r="B1138" s="1">
        <f ca="1">IFERROR(__xludf.DUMMYFUNCTION("""COMPUTED_VALUE"""),36.33)</f>
        <v>36.33</v>
      </c>
      <c r="C1138" s="1">
        <f ca="1">IFERROR(__xludf.DUMMYFUNCTION("""COMPUTED_VALUE"""),37.67)</f>
        <v>37.67</v>
      </c>
      <c r="D1138" s="1">
        <f ca="1">IFERROR(__xludf.DUMMYFUNCTION("""COMPUTED_VALUE"""),35.49)</f>
        <v>35.49</v>
      </c>
      <c r="E1138" s="1">
        <f ca="1">IFERROR(__xludf.DUMMYFUNCTION("""COMPUTED_VALUE"""),36.36)</f>
        <v>36.36</v>
      </c>
      <c r="F1138" s="1">
        <f ca="1">IFERROR(__xludf.DUMMYFUNCTION("""COMPUTED_VALUE"""),17919784)</f>
        <v>17919784</v>
      </c>
    </row>
    <row r="1139" spans="1:6" x14ac:dyDescent="0.2">
      <c r="A1139" s="2">
        <f ca="1">IFERROR(__xludf.DUMMYFUNCTION("""COMPUTED_VALUE"""),43929.6666666666)</f>
        <v>43929.666666666599</v>
      </c>
      <c r="B1139" s="1">
        <f ca="1">IFERROR(__xludf.DUMMYFUNCTION("""COMPUTED_VALUE"""),36.95)</f>
        <v>36.950000000000003</v>
      </c>
      <c r="C1139" s="1">
        <f ca="1">IFERROR(__xludf.DUMMYFUNCTION("""COMPUTED_VALUE"""),37.15)</f>
        <v>37.15</v>
      </c>
      <c r="D1139" s="1">
        <f ca="1">IFERROR(__xludf.DUMMYFUNCTION("""COMPUTED_VALUE"""),35.56)</f>
        <v>35.56</v>
      </c>
      <c r="E1139" s="1">
        <f ca="1">IFERROR(__xludf.DUMMYFUNCTION("""COMPUTED_VALUE"""),36.59)</f>
        <v>36.590000000000003</v>
      </c>
      <c r="F1139" s="1">
        <f ca="1">IFERROR(__xludf.DUMMYFUNCTION("""COMPUTED_VALUE"""),12656024)</f>
        <v>12656024</v>
      </c>
    </row>
    <row r="1140" spans="1:6" x14ac:dyDescent="0.2">
      <c r="A1140" s="2">
        <f ca="1">IFERROR(__xludf.DUMMYFUNCTION("""COMPUTED_VALUE"""),43930.6666666666)</f>
        <v>43930.666666666599</v>
      </c>
      <c r="B1140" s="1">
        <f ca="1">IFERROR(__xludf.DUMMYFUNCTION("""COMPUTED_VALUE"""),37.47)</f>
        <v>37.47</v>
      </c>
      <c r="C1140" s="1">
        <f ca="1">IFERROR(__xludf.DUMMYFUNCTION("""COMPUTED_VALUE"""),38.35)</f>
        <v>38.35</v>
      </c>
      <c r="D1140" s="1">
        <f ca="1">IFERROR(__xludf.DUMMYFUNCTION("""COMPUTED_VALUE"""),37.14)</f>
        <v>37.14</v>
      </c>
      <c r="E1140" s="1">
        <f ca="1">IFERROR(__xludf.DUMMYFUNCTION("""COMPUTED_VALUE"""),38.2)</f>
        <v>38.200000000000003</v>
      </c>
      <c r="F1140" s="1">
        <f ca="1">IFERROR(__xludf.DUMMYFUNCTION("""COMPUTED_VALUE"""),13650000)</f>
        <v>13650000</v>
      </c>
    </row>
    <row r="1141" spans="1:6" x14ac:dyDescent="0.2">
      <c r="A1141" s="2">
        <f ca="1">IFERROR(__xludf.DUMMYFUNCTION("""COMPUTED_VALUE"""),43934.6666666666)</f>
        <v>43934.666666666599</v>
      </c>
      <c r="B1141" s="1">
        <f ca="1">IFERROR(__xludf.DUMMYFUNCTION("""COMPUTED_VALUE"""),39.34)</f>
        <v>39.340000000000003</v>
      </c>
      <c r="C1141" s="1">
        <f ca="1">IFERROR(__xludf.DUMMYFUNCTION("""COMPUTED_VALUE"""),43.47)</f>
        <v>43.47</v>
      </c>
      <c r="D1141" s="1">
        <f ca="1">IFERROR(__xludf.DUMMYFUNCTION("""COMPUTED_VALUE"""),38.7)</f>
        <v>38.700000000000003</v>
      </c>
      <c r="E1141" s="1">
        <f ca="1">IFERROR(__xludf.DUMMYFUNCTION("""COMPUTED_VALUE"""),43.4)</f>
        <v>43.4</v>
      </c>
      <c r="F1141" s="1">
        <f ca="1">IFERROR(__xludf.DUMMYFUNCTION("""COMPUTED_VALUE"""),22475421)</f>
        <v>22475421</v>
      </c>
    </row>
    <row r="1142" spans="1:6" x14ac:dyDescent="0.2">
      <c r="A1142" s="2">
        <f ca="1">IFERROR(__xludf.DUMMYFUNCTION("""COMPUTED_VALUE"""),43935.6666666666)</f>
        <v>43935.666666666599</v>
      </c>
      <c r="B1142" s="1">
        <f ca="1">IFERROR(__xludf.DUMMYFUNCTION("""COMPUTED_VALUE"""),46.6)</f>
        <v>46.6</v>
      </c>
      <c r="C1142" s="1">
        <f ca="1">IFERROR(__xludf.DUMMYFUNCTION("""COMPUTED_VALUE"""),49.46)</f>
        <v>49.46</v>
      </c>
      <c r="D1142" s="1">
        <f ca="1">IFERROR(__xludf.DUMMYFUNCTION("""COMPUTED_VALUE"""),46.16)</f>
        <v>46.16</v>
      </c>
      <c r="E1142" s="1">
        <f ca="1">IFERROR(__xludf.DUMMYFUNCTION("""COMPUTED_VALUE"""),47.33)</f>
        <v>47.33</v>
      </c>
      <c r="F1142" s="1">
        <f ca="1">IFERROR(__xludf.DUMMYFUNCTION("""COMPUTED_VALUE"""),30576511)</f>
        <v>30576511</v>
      </c>
    </row>
    <row r="1143" spans="1:6" x14ac:dyDescent="0.2">
      <c r="A1143" s="2">
        <f ca="1">IFERROR(__xludf.DUMMYFUNCTION("""COMPUTED_VALUE"""),43936.6666666666)</f>
        <v>43936.666666666599</v>
      </c>
      <c r="B1143" s="1">
        <f ca="1">IFERROR(__xludf.DUMMYFUNCTION("""COMPUTED_VALUE"""),49.47)</f>
        <v>49.47</v>
      </c>
      <c r="C1143" s="1">
        <f ca="1">IFERROR(__xludf.DUMMYFUNCTION("""COMPUTED_VALUE"""),50.21)</f>
        <v>50.21</v>
      </c>
      <c r="D1143" s="1">
        <f ca="1">IFERROR(__xludf.DUMMYFUNCTION("""COMPUTED_VALUE"""),47.33)</f>
        <v>47.33</v>
      </c>
      <c r="E1143" s="1">
        <f ca="1">IFERROR(__xludf.DUMMYFUNCTION("""COMPUTED_VALUE"""),48.66)</f>
        <v>48.66</v>
      </c>
      <c r="F1143" s="1">
        <f ca="1">IFERROR(__xludf.DUMMYFUNCTION("""COMPUTED_VALUE"""),23577001)</f>
        <v>23577001</v>
      </c>
    </row>
    <row r="1144" spans="1:6" x14ac:dyDescent="0.2">
      <c r="A1144" s="2">
        <f ca="1">IFERROR(__xludf.DUMMYFUNCTION("""COMPUTED_VALUE"""),43937.6666666666)</f>
        <v>43937.666666666599</v>
      </c>
      <c r="B1144" s="1">
        <f ca="1">IFERROR(__xludf.DUMMYFUNCTION("""COMPUTED_VALUE"""),47.8)</f>
        <v>47.8</v>
      </c>
      <c r="C1144" s="1">
        <f ca="1">IFERROR(__xludf.DUMMYFUNCTION("""COMPUTED_VALUE"""),50.63)</f>
        <v>50.63</v>
      </c>
      <c r="D1144" s="1">
        <f ca="1">IFERROR(__xludf.DUMMYFUNCTION("""COMPUTED_VALUE"""),47.11)</f>
        <v>47.11</v>
      </c>
      <c r="E1144" s="1">
        <f ca="1">IFERROR(__xludf.DUMMYFUNCTION("""COMPUTED_VALUE"""),49.68)</f>
        <v>49.68</v>
      </c>
      <c r="F1144" s="1">
        <f ca="1">IFERROR(__xludf.DUMMYFUNCTION("""COMPUTED_VALUE"""),20657862)</f>
        <v>20657862</v>
      </c>
    </row>
    <row r="1145" spans="1:6" x14ac:dyDescent="0.2">
      <c r="A1145" s="2">
        <f ca="1">IFERROR(__xludf.DUMMYFUNCTION("""COMPUTED_VALUE"""),43938.6666666666)</f>
        <v>43938.666666666599</v>
      </c>
      <c r="B1145" s="1">
        <f ca="1">IFERROR(__xludf.DUMMYFUNCTION("""COMPUTED_VALUE"""),51.49)</f>
        <v>51.49</v>
      </c>
      <c r="C1145" s="1">
        <f ca="1">IFERROR(__xludf.DUMMYFUNCTION("""COMPUTED_VALUE"""),51.66)</f>
        <v>51.66</v>
      </c>
      <c r="D1145" s="1">
        <f ca="1">IFERROR(__xludf.DUMMYFUNCTION("""COMPUTED_VALUE"""),49.84)</f>
        <v>49.84</v>
      </c>
      <c r="E1145" s="1">
        <f ca="1">IFERROR(__xludf.DUMMYFUNCTION("""COMPUTED_VALUE"""),50.26)</f>
        <v>50.26</v>
      </c>
      <c r="F1145" s="1">
        <f ca="1">IFERROR(__xludf.DUMMYFUNCTION("""COMPUTED_VALUE"""),13128237)</f>
        <v>13128237</v>
      </c>
    </row>
    <row r="1146" spans="1:6" x14ac:dyDescent="0.2">
      <c r="A1146" s="2">
        <f ca="1">IFERROR(__xludf.DUMMYFUNCTION("""COMPUTED_VALUE"""),43941.6666666666)</f>
        <v>43941.666666666599</v>
      </c>
      <c r="B1146" s="1">
        <f ca="1">IFERROR(__xludf.DUMMYFUNCTION("""COMPUTED_VALUE"""),48.85)</f>
        <v>48.85</v>
      </c>
      <c r="C1146" s="1">
        <f ca="1">IFERROR(__xludf.DUMMYFUNCTION("""COMPUTED_VALUE"""),51.04)</f>
        <v>51.04</v>
      </c>
      <c r="D1146" s="1">
        <f ca="1">IFERROR(__xludf.DUMMYFUNCTION("""COMPUTED_VALUE"""),47.48)</f>
        <v>47.48</v>
      </c>
      <c r="E1146" s="1">
        <f ca="1">IFERROR(__xludf.DUMMYFUNCTION("""COMPUTED_VALUE"""),49.76)</f>
        <v>49.76</v>
      </c>
      <c r="F1146" s="1">
        <f ca="1">IFERROR(__xludf.DUMMYFUNCTION("""COMPUTED_VALUE"""),14746577)</f>
        <v>14746577</v>
      </c>
    </row>
    <row r="1147" spans="1:6" x14ac:dyDescent="0.2">
      <c r="A1147" s="2">
        <f ca="1">IFERROR(__xludf.DUMMYFUNCTION("""COMPUTED_VALUE"""),43942.6666666666)</f>
        <v>43942.666666666599</v>
      </c>
      <c r="B1147" s="1">
        <f ca="1">IFERROR(__xludf.DUMMYFUNCTION("""COMPUTED_VALUE"""),48.67)</f>
        <v>48.67</v>
      </c>
      <c r="C1147" s="1">
        <f ca="1">IFERROR(__xludf.DUMMYFUNCTION("""COMPUTED_VALUE"""),50.22)</f>
        <v>50.22</v>
      </c>
      <c r="D1147" s="1">
        <f ca="1">IFERROR(__xludf.DUMMYFUNCTION("""COMPUTED_VALUE"""),44.92)</f>
        <v>44.92</v>
      </c>
      <c r="E1147" s="1">
        <f ca="1">IFERROR(__xludf.DUMMYFUNCTION("""COMPUTED_VALUE"""),45.78)</f>
        <v>45.78</v>
      </c>
      <c r="F1147" s="1">
        <f ca="1">IFERROR(__xludf.DUMMYFUNCTION("""COMPUTED_VALUE"""),20209093)</f>
        <v>20209093</v>
      </c>
    </row>
    <row r="1148" spans="1:6" x14ac:dyDescent="0.2">
      <c r="A1148" s="2">
        <f ca="1">IFERROR(__xludf.DUMMYFUNCTION("""COMPUTED_VALUE"""),43943.6666666666)</f>
        <v>43943.666666666599</v>
      </c>
      <c r="B1148" s="1">
        <f ca="1">IFERROR(__xludf.DUMMYFUNCTION("""COMPUTED_VALUE"""),46.93)</f>
        <v>46.93</v>
      </c>
      <c r="C1148" s="1">
        <f ca="1">IFERROR(__xludf.DUMMYFUNCTION("""COMPUTED_VALUE"""),48.93)</f>
        <v>48.93</v>
      </c>
      <c r="D1148" s="1">
        <f ca="1">IFERROR(__xludf.DUMMYFUNCTION("""COMPUTED_VALUE"""),45.91)</f>
        <v>45.91</v>
      </c>
      <c r="E1148" s="1">
        <f ca="1">IFERROR(__xludf.DUMMYFUNCTION("""COMPUTED_VALUE"""),48.81)</f>
        <v>48.81</v>
      </c>
      <c r="F1148" s="1">
        <f ca="1">IFERROR(__xludf.DUMMYFUNCTION("""COMPUTED_VALUE"""),14224831)</f>
        <v>14224831</v>
      </c>
    </row>
    <row r="1149" spans="1:6" x14ac:dyDescent="0.2">
      <c r="A1149" s="2">
        <f ca="1">IFERROR(__xludf.DUMMYFUNCTION("""COMPUTED_VALUE"""),43944.6666666666)</f>
        <v>43944.666666666599</v>
      </c>
      <c r="B1149" s="1">
        <f ca="1">IFERROR(__xludf.DUMMYFUNCTION("""COMPUTED_VALUE"""),48.51)</f>
        <v>48.51</v>
      </c>
      <c r="C1149" s="1">
        <f ca="1">IFERROR(__xludf.DUMMYFUNCTION("""COMPUTED_VALUE"""),48.93)</f>
        <v>48.93</v>
      </c>
      <c r="D1149" s="1">
        <f ca="1">IFERROR(__xludf.DUMMYFUNCTION("""COMPUTED_VALUE"""),46.88)</f>
        <v>46.88</v>
      </c>
      <c r="E1149" s="1">
        <f ca="1">IFERROR(__xludf.DUMMYFUNCTION("""COMPUTED_VALUE"""),47.04)</f>
        <v>47.04</v>
      </c>
      <c r="F1149" s="1">
        <f ca="1">IFERROR(__xludf.DUMMYFUNCTION("""COMPUTED_VALUE"""),13236697)</f>
        <v>13236697</v>
      </c>
    </row>
    <row r="1150" spans="1:6" x14ac:dyDescent="0.2">
      <c r="A1150" s="2">
        <f ca="1">IFERROR(__xludf.DUMMYFUNCTION("""COMPUTED_VALUE"""),43945.6666666666)</f>
        <v>43945.666666666599</v>
      </c>
      <c r="B1150" s="1">
        <f ca="1">IFERROR(__xludf.DUMMYFUNCTION("""COMPUTED_VALUE"""),47.39)</f>
        <v>47.39</v>
      </c>
      <c r="C1150" s="1">
        <f ca="1">IFERROR(__xludf.DUMMYFUNCTION("""COMPUTED_VALUE"""),48.72)</f>
        <v>48.72</v>
      </c>
      <c r="D1150" s="1">
        <f ca="1">IFERROR(__xludf.DUMMYFUNCTION("""COMPUTED_VALUE"""),46.55)</f>
        <v>46.55</v>
      </c>
      <c r="E1150" s="1">
        <f ca="1">IFERROR(__xludf.DUMMYFUNCTION("""COMPUTED_VALUE"""),48.34)</f>
        <v>48.34</v>
      </c>
      <c r="F1150" s="1">
        <f ca="1">IFERROR(__xludf.DUMMYFUNCTION("""COMPUTED_VALUE"""),13237612)</f>
        <v>13237612</v>
      </c>
    </row>
    <row r="1151" spans="1:6" x14ac:dyDescent="0.2">
      <c r="A1151" s="2">
        <f ca="1">IFERROR(__xludf.DUMMYFUNCTION("""COMPUTED_VALUE"""),43948.6666666666)</f>
        <v>43948.666666666599</v>
      </c>
      <c r="B1151" s="1">
        <f ca="1">IFERROR(__xludf.DUMMYFUNCTION("""COMPUTED_VALUE"""),49.17)</f>
        <v>49.17</v>
      </c>
      <c r="C1151" s="1">
        <f ca="1">IFERROR(__xludf.DUMMYFUNCTION("""COMPUTED_VALUE"""),53.3)</f>
        <v>53.3</v>
      </c>
      <c r="D1151" s="1">
        <f ca="1">IFERROR(__xludf.DUMMYFUNCTION("""COMPUTED_VALUE"""),49)</f>
        <v>49</v>
      </c>
      <c r="E1151" s="1">
        <f ca="1">IFERROR(__xludf.DUMMYFUNCTION("""COMPUTED_VALUE"""),53.25)</f>
        <v>53.25</v>
      </c>
      <c r="F1151" s="1">
        <f ca="1">IFERROR(__xludf.DUMMYFUNCTION("""COMPUTED_VALUE"""),20681442)</f>
        <v>20681442</v>
      </c>
    </row>
    <row r="1152" spans="1:6" x14ac:dyDescent="0.2">
      <c r="A1152" s="2">
        <f ca="1">IFERROR(__xludf.DUMMYFUNCTION("""COMPUTED_VALUE"""),43949.6666666666)</f>
        <v>43949.666666666599</v>
      </c>
      <c r="B1152" s="1">
        <f ca="1">IFERROR(__xludf.DUMMYFUNCTION("""COMPUTED_VALUE"""),53.04)</f>
        <v>53.04</v>
      </c>
      <c r="C1152" s="1">
        <f ca="1">IFERROR(__xludf.DUMMYFUNCTION("""COMPUTED_VALUE"""),53.67)</f>
        <v>53.67</v>
      </c>
      <c r="D1152" s="1">
        <f ca="1">IFERROR(__xludf.DUMMYFUNCTION("""COMPUTED_VALUE"""),50.45)</f>
        <v>50.45</v>
      </c>
      <c r="E1152" s="1">
        <f ca="1">IFERROR(__xludf.DUMMYFUNCTION("""COMPUTED_VALUE"""),51.27)</f>
        <v>51.27</v>
      </c>
      <c r="F1152" s="1">
        <f ca="1">IFERROR(__xludf.DUMMYFUNCTION("""COMPUTED_VALUE"""),15221964)</f>
        <v>15221964</v>
      </c>
    </row>
    <row r="1153" spans="1:6" x14ac:dyDescent="0.2">
      <c r="A1153" s="2">
        <f ca="1">IFERROR(__xludf.DUMMYFUNCTION("""COMPUTED_VALUE"""),43950.6666666666)</f>
        <v>43950.666666666599</v>
      </c>
      <c r="B1153" s="1">
        <f ca="1">IFERROR(__xludf.DUMMYFUNCTION("""COMPUTED_VALUE"""),52.68)</f>
        <v>52.68</v>
      </c>
      <c r="C1153" s="1">
        <f ca="1">IFERROR(__xludf.DUMMYFUNCTION("""COMPUTED_VALUE"""),53.55)</f>
        <v>53.55</v>
      </c>
      <c r="D1153" s="1">
        <f ca="1">IFERROR(__xludf.DUMMYFUNCTION("""COMPUTED_VALUE"""),52.21)</f>
        <v>52.21</v>
      </c>
      <c r="E1153" s="1">
        <f ca="1">IFERROR(__xludf.DUMMYFUNCTION("""COMPUTED_VALUE"""),53.37)</f>
        <v>53.37</v>
      </c>
      <c r="F1153" s="1">
        <f ca="1">IFERROR(__xludf.DUMMYFUNCTION("""COMPUTED_VALUE"""),16215982)</f>
        <v>16215982</v>
      </c>
    </row>
    <row r="1154" spans="1:6" x14ac:dyDescent="0.2">
      <c r="A1154" s="2">
        <f ca="1">IFERROR(__xludf.DUMMYFUNCTION("""COMPUTED_VALUE"""),43951.6666666666)</f>
        <v>43951.666666666599</v>
      </c>
      <c r="B1154" s="1">
        <f ca="1">IFERROR(__xludf.DUMMYFUNCTION("""COMPUTED_VALUE"""),57.01)</f>
        <v>57.01</v>
      </c>
      <c r="C1154" s="1">
        <f ca="1">IFERROR(__xludf.DUMMYFUNCTION("""COMPUTED_VALUE"""),57.99)</f>
        <v>57.99</v>
      </c>
      <c r="D1154" s="1">
        <f ca="1">IFERROR(__xludf.DUMMYFUNCTION("""COMPUTED_VALUE"""),50.9)</f>
        <v>50.9</v>
      </c>
      <c r="E1154" s="1">
        <f ca="1">IFERROR(__xludf.DUMMYFUNCTION("""COMPUTED_VALUE"""),52.13)</f>
        <v>52.13</v>
      </c>
      <c r="F1154" s="1">
        <f ca="1">IFERROR(__xludf.DUMMYFUNCTION("""COMPUTED_VALUE"""),28471854)</f>
        <v>28471854</v>
      </c>
    </row>
    <row r="1155" spans="1:6" x14ac:dyDescent="0.2">
      <c r="A1155" s="2">
        <f ca="1">IFERROR(__xludf.DUMMYFUNCTION("""COMPUTED_VALUE"""),43952.6666666666)</f>
        <v>43952.666666666599</v>
      </c>
      <c r="B1155" s="1">
        <f ca="1">IFERROR(__xludf.DUMMYFUNCTION("""COMPUTED_VALUE"""),50.33)</f>
        <v>50.33</v>
      </c>
      <c r="C1155" s="1">
        <f ca="1">IFERROR(__xludf.DUMMYFUNCTION("""COMPUTED_VALUE"""),51.52)</f>
        <v>51.52</v>
      </c>
      <c r="D1155" s="1">
        <f ca="1">IFERROR(__xludf.DUMMYFUNCTION("""COMPUTED_VALUE"""),45.54)</f>
        <v>45.54</v>
      </c>
      <c r="E1155" s="1">
        <f ca="1">IFERROR(__xludf.DUMMYFUNCTION("""COMPUTED_VALUE"""),46.75)</f>
        <v>46.75</v>
      </c>
      <c r="F1155" s="1">
        <f ca="1">IFERROR(__xludf.DUMMYFUNCTION("""COMPUTED_VALUE"""),32531807)</f>
        <v>32531807</v>
      </c>
    </row>
    <row r="1156" spans="1:6" x14ac:dyDescent="0.2">
      <c r="A1156" s="2">
        <f ca="1">IFERROR(__xludf.DUMMYFUNCTION("""COMPUTED_VALUE"""),43955.6666666666)</f>
        <v>43955.666666666599</v>
      </c>
      <c r="B1156" s="1">
        <f ca="1">IFERROR(__xludf.DUMMYFUNCTION("""COMPUTED_VALUE"""),46.73)</f>
        <v>46.73</v>
      </c>
      <c r="C1156" s="1">
        <f ca="1">IFERROR(__xludf.DUMMYFUNCTION("""COMPUTED_VALUE"""),50.8)</f>
        <v>50.8</v>
      </c>
      <c r="D1156" s="1">
        <f ca="1">IFERROR(__xludf.DUMMYFUNCTION("""COMPUTED_VALUE"""),46.53)</f>
        <v>46.53</v>
      </c>
      <c r="E1156" s="1">
        <f ca="1">IFERROR(__xludf.DUMMYFUNCTION("""COMPUTED_VALUE"""),50.75)</f>
        <v>50.75</v>
      </c>
      <c r="F1156" s="1">
        <f ca="1">IFERROR(__xludf.DUMMYFUNCTION("""COMPUTED_VALUE"""),19237090)</f>
        <v>19237090</v>
      </c>
    </row>
    <row r="1157" spans="1:6" x14ac:dyDescent="0.2">
      <c r="A1157" s="2">
        <f ca="1">IFERROR(__xludf.DUMMYFUNCTION("""COMPUTED_VALUE"""),43956.6666666666)</f>
        <v>43956.666666666599</v>
      </c>
      <c r="B1157" s="1">
        <f ca="1">IFERROR(__xludf.DUMMYFUNCTION("""COMPUTED_VALUE"""),52.65)</f>
        <v>52.65</v>
      </c>
      <c r="C1157" s="1">
        <f ca="1">IFERROR(__xludf.DUMMYFUNCTION("""COMPUTED_VALUE"""),53.26)</f>
        <v>53.26</v>
      </c>
      <c r="D1157" s="1">
        <f ca="1">IFERROR(__xludf.DUMMYFUNCTION("""COMPUTED_VALUE"""),50.81)</f>
        <v>50.81</v>
      </c>
      <c r="E1157" s="1">
        <f ca="1">IFERROR(__xludf.DUMMYFUNCTION("""COMPUTED_VALUE"""),51.21)</f>
        <v>51.21</v>
      </c>
      <c r="F1157" s="1">
        <f ca="1">IFERROR(__xludf.DUMMYFUNCTION("""COMPUTED_VALUE"""),16991656)</f>
        <v>16991656</v>
      </c>
    </row>
    <row r="1158" spans="1:6" x14ac:dyDescent="0.2">
      <c r="A1158" s="2">
        <f ca="1">IFERROR(__xludf.DUMMYFUNCTION("""COMPUTED_VALUE"""),43957.6666666666)</f>
        <v>43957.666666666599</v>
      </c>
      <c r="B1158" s="1">
        <f ca="1">IFERROR(__xludf.DUMMYFUNCTION("""COMPUTED_VALUE"""),51.77)</f>
        <v>51.77</v>
      </c>
      <c r="C1158" s="1">
        <f ca="1">IFERROR(__xludf.DUMMYFUNCTION("""COMPUTED_VALUE"""),52.65)</f>
        <v>52.65</v>
      </c>
      <c r="D1158" s="1">
        <f ca="1">IFERROR(__xludf.DUMMYFUNCTION("""COMPUTED_VALUE"""),50.74)</f>
        <v>50.74</v>
      </c>
      <c r="E1158" s="1">
        <f ca="1">IFERROR(__xludf.DUMMYFUNCTION("""COMPUTED_VALUE"""),52.17)</f>
        <v>52.17</v>
      </c>
      <c r="F1158" s="1">
        <f ca="1">IFERROR(__xludf.DUMMYFUNCTION("""COMPUTED_VALUE"""),11123231)</f>
        <v>11123231</v>
      </c>
    </row>
    <row r="1159" spans="1:6" x14ac:dyDescent="0.2">
      <c r="A1159" s="2">
        <f ca="1">IFERROR(__xludf.DUMMYFUNCTION("""COMPUTED_VALUE"""),43958.6666666666)</f>
        <v>43958.666666666599</v>
      </c>
      <c r="B1159" s="1">
        <f ca="1">IFERROR(__xludf.DUMMYFUNCTION("""COMPUTED_VALUE"""),51.81)</f>
        <v>51.81</v>
      </c>
      <c r="C1159" s="1">
        <f ca="1">IFERROR(__xludf.DUMMYFUNCTION("""COMPUTED_VALUE"""),53.09)</f>
        <v>53.09</v>
      </c>
      <c r="D1159" s="1">
        <f ca="1">IFERROR(__xludf.DUMMYFUNCTION("""COMPUTED_VALUE"""),51.49)</f>
        <v>51.49</v>
      </c>
      <c r="E1159" s="1">
        <f ca="1">IFERROR(__xludf.DUMMYFUNCTION("""COMPUTED_VALUE"""),52)</f>
        <v>52</v>
      </c>
      <c r="F1159" s="1">
        <f ca="1">IFERROR(__xludf.DUMMYFUNCTION("""COMPUTED_VALUE"""),11527686)</f>
        <v>11527686</v>
      </c>
    </row>
    <row r="1160" spans="1:6" x14ac:dyDescent="0.2">
      <c r="A1160" s="2">
        <f ca="1">IFERROR(__xludf.DUMMYFUNCTION("""COMPUTED_VALUE"""),43959.6666666666)</f>
        <v>43959.666666666599</v>
      </c>
      <c r="B1160" s="1">
        <f ca="1">IFERROR(__xludf.DUMMYFUNCTION("""COMPUTED_VALUE"""),52.92)</f>
        <v>52.92</v>
      </c>
      <c r="C1160" s="1">
        <f ca="1">IFERROR(__xludf.DUMMYFUNCTION("""COMPUTED_VALUE"""),54.93)</f>
        <v>54.93</v>
      </c>
      <c r="D1160" s="1">
        <f ca="1">IFERROR(__xludf.DUMMYFUNCTION("""COMPUTED_VALUE"""),52.47)</f>
        <v>52.47</v>
      </c>
      <c r="E1160" s="1">
        <f ca="1">IFERROR(__xludf.DUMMYFUNCTION("""COMPUTED_VALUE"""),54.63)</f>
        <v>54.63</v>
      </c>
      <c r="F1160" s="1">
        <f ca="1">IFERROR(__xludf.DUMMYFUNCTION("""COMPUTED_VALUE"""),16130087)</f>
        <v>16130087</v>
      </c>
    </row>
    <row r="1161" spans="1:6" x14ac:dyDescent="0.2">
      <c r="A1161" s="2">
        <f ca="1">IFERROR(__xludf.DUMMYFUNCTION("""COMPUTED_VALUE"""),43962.6666666666)</f>
        <v>43962.666666666599</v>
      </c>
      <c r="B1161" s="1">
        <f ca="1">IFERROR(__xludf.DUMMYFUNCTION("""COMPUTED_VALUE"""),52.7)</f>
        <v>52.7</v>
      </c>
      <c r="C1161" s="1">
        <f ca="1">IFERROR(__xludf.DUMMYFUNCTION("""COMPUTED_VALUE"""),54.93)</f>
        <v>54.93</v>
      </c>
      <c r="D1161" s="1">
        <f ca="1">IFERROR(__xludf.DUMMYFUNCTION("""COMPUTED_VALUE"""),52.33)</f>
        <v>52.33</v>
      </c>
      <c r="E1161" s="1">
        <f ca="1">IFERROR(__xludf.DUMMYFUNCTION("""COMPUTED_VALUE"""),54.09)</f>
        <v>54.09</v>
      </c>
      <c r="F1161" s="1">
        <f ca="1">IFERROR(__xludf.DUMMYFUNCTION("""COMPUTED_VALUE"""),16519601)</f>
        <v>16519601</v>
      </c>
    </row>
    <row r="1162" spans="1:6" x14ac:dyDescent="0.2">
      <c r="A1162" s="2">
        <f ca="1">IFERROR(__xludf.DUMMYFUNCTION("""COMPUTED_VALUE"""),43963.6666666666)</f>
        <v>43963.666666666599</v>
      </c>
      <c r="B1162" s="1">
        <f ca="1">IFERROR(__xludf.DUMMYFUNCTION("""COMPUTED_VALUE"""),55.13)</f>
        <v>55.13</v>
      </c>
      <c r="C1162" s="1">
        <f ca="1">IFERROR(__xludf.DUMMYFUNCTION("""COMPUTED_VALUE"""),56.22)</f>
        <v>56.22</v>
      </c>
      <c r="D1162" s="1">
        <f ca="1">IFERROR(__xludf.DUMMYFUNCTION("""COMPUTED_VALUE"""),53.87)</f>
        <v>53.87</v>
      </c>
      <c r="E1162" s="1">
        <f ca="1">IFERROR(__xludf.DUMMYFUNCTION("""COMPUTED_VALUE"""),53.96)</f>
        <v>53.96</v>
      </c>
      <c r="F1162" s="1">
        <f ca="1">IFERROR(__xludf.DUMMYFUNCTION("""COMPUTED_VALUE"""),15906905)</f>
        <v>15906905</v>
      </c>
    </row>
    <row r="1163" spans="1:6" x14ac:dyDescent="0.2">
      <c r="A1163" s="2">
        <f ca="1">IFERROR(__xludf.DUMMYFUNCTION("""COMPUTED_VALUE"""),43964.6666666666)</f>
        <v>43964.666666666599</v>
      </c>
      <c r="B1163" s="1">
        <f ca="1">IFERROR(__xludf.DUMMYFUNCTION("""COMPUTED_VALUE"""),54.72)</f>
        <v>54.72</v>
      </c>
      <c r="C1163" s="1">
        <f ca="1">IFERROR(__xludf.DUMMYFUNCTION("""COMPUTED_VALUE"""),55.07)</f>
        <v>55.07</v>
      </c>
      <c r="D1163" s="1">
        <f ca="1">IFERROR(__xludf.DUMMYFUNCTION("""COMPUTED_VALUE"""),50.89)</f>
        <v>50.89</v>
      </c>
      <c r="E1163" s="1">
        <f ca="1">IFERROR(__xludf.DUMMYFUNCTION("""COMPUTED_VALUE"""),52.73)</f>
        <v>52.73</v>
      </c>
      <c r="F1163" s="1">
        <f ca="1">IFERROR(__xludf.DUMMYFUNCTION("""COMPUTED_VALUE"""),19065491)</f>
        <v>19065491</v>
      </c>
    </row>
    <row r="1164" spans="1:6" x14ac:dyDescent="0.2">
      <c r="A1164" s="2">
        <f ca="1">IFERROR(__xludf.DUMMYFUNCTION("""COMPUTED_VALUE"""),43965.6666666666)</f>
        <v>43965.666666666599</v>
      </c>
      <c r="B1164" s="1">
        <f ca="1">IFERROR(__xludf.DUMMYFUNCTION("""COMPUTED_VALUE"""),52)</f>
        <v>52</v>
      </c>
      <c r="C1164" s="1">
        <f ca="1">IFERROR(__xludf.DUMMYFUNCTION("""COMPUTED_VALUE"""),53.56)</f>
        <v>53.56</v>
      </c>
      <c r="D1164" s="1">
        <f ca="1">IFERROR(__xludf.DUMMYFUNCTION("""COMPUTED_VALUE"""),50.93)</f>
        <v>50.93</v>
      </c>
      <c r="E1164" s="1">
        <f ca="1">IFERROR(__xludf.DUMMYFUNCTION("""COMPUTED_VALUE"""),53.56)</f>
        <v>53.56</v>
      </c>
      <c r="F1164" s="1">
        <f ca="1">IFERROR(__xludf.DUMMYFUNCTION("""COMPUTED_VALUE"""),13682188)</f>
        <v>13682188</v>
      </c>
    </row>
    <row r="1165" spans="1:6" x14ac:dyDescent="0.2">
      <c r="A1165" s="2">
        <f ca="1">IFERROR(__xludf.DUMMYFUNCTION("""COMPUTED_VALUE"""),43966.6666666666)</f>
        <v>43966.666666666599</v>
      </c>
      <c r="B1165" s="1">
        <f ca="1">IFERROR(__xludf.DUMMYFUNCTION("""COMPUTED_VALUE"""),52.69)</f>
        <v>52.69</v>
      </c>
      <c r="C1165" s="1">
        <f ca="1">IFERROR(__xludf.DUMMYFUNCTION("""COMPUTED_VALUE"""),53.67)</f>
        <v>53.67</v>
      </c>
      <c r="D1165" s="1">
        <f ca="1">IFERROR(__xludf.DUMMYFUNCTION("""COMPUTED_VALUE"""),52.44)</f>
        <v>52.44</v>
      </c>
      <c r="E1165" s="1">
        <f ca="1">IFERROR(__xludf.DUMMYFUNCTION("""COMPUTED_VALUE"""),53.28)</f>
        <v>53.28</v>
      </c>
      <c r="F1165" s="1">
        <f ca="1">IFERROR(__xludf.DUMMYFUNCTION("""COMPUTED_VALUE"""),10518428)</f>
        <v>10518428</v>
      </c>
    </row>
    <row r="1166" spans="1:6" x14ac:dyDescent="0.2">
      <c r="A1166" s="2">
        <f ca="1">IFERROR(__xludf.DUMMYFUNCTION("""COMPUTED_VALUE"""),43969.6666666666)</f>
        <v>43969.666666666599</v>
      </c>
      <c r="B1166" s="1">
        <f ca="1">IFERROR(__xludf.DUMMYFUNCTION("""COMPUTED_VALUE"""),55.19)</f>
        <v>55.19</v>
      </c>
      <c r="C1166" s="1">
        <f ca="1">IFERROR(__xludf.DUMMYFUNCTION("""COMPUTED_VALUE"""),55.65)</f>
        <v>55.65</v>
      </c>
      <c r="D1166" s="1">
        <f ca="1">IFERROR(__xludf.DUMMYFUNCTION("""COMPUTED_VALUE"""),53.59)</f>
        <v>53.59</v>
      </c>
      <c r="E1166" s="1">
        <f ca="1">IFERROR(__xludf.DUMMYFUNCTION("""COMPUTED_VALUE"""),54.24)</f>
        <v>54.24</v>
      </c>
      <c r="F1166" s="1">
        <f ca="1">IFERROR(__xludf.DUMMYFUNCTION("""COMPUTED_VALUE"""),11698102)</f>
        <v>11698102</v>
      </c>
    </row>
    <row r="1167" spans="1:6" x14ac:dyDescent="0.2">
      <c r="A1167" s="2">
        <f ca="1">IFERROR(__xludf.DUMMYFUNCTION("""COMPUTED_VALUE"""),43970.6666666666)</f>
        <v>43970.666666666599</v>
      </c>
      <c r="B1167" s="1">
        <f ca="1">IFERROR(__xludf.DUMMYFUNCTION("""COMPUTED_VALUE"""),54.34)</f>
        <v>54.34</v>
      </c>
      <c r="C1167" s="1">
        <f ca="1">IFERROR(__xludf.DUMMYFUNCTION("""COMPUTED_VALUE"""),54.8)</f>
        <v>54.8</v>
      </c>
      <c r="D1167" s="1">
        <f ca="1">IFERROR(__xludf.DUMMYFUNCTION("""COMPUTED_VALUE"""),53.74)</f>
        <v>53.74</v>
      </c>
      <c r="E1167" s="1">
        <f ca="1">IFERROR(__xludf.DUMMYFUNCTION("""COMPUTED_VALUE"""),53.87)</f>
        <v>53.87</v>
      </c>
      <c r="F1167" s="1">
        <f ca="1">IFERROR(__xludf.DUMMYFUNCTION("""COMPUTED_VALUE"""),9636522)</f>
        <v>9636522</v>
      </c>
    </row>
    <row r="1168" spans="1:6" x14ac:dyDescent="0.2">
      <c r="A1168" s="2">
        <f ca="1">IFERROR(__xludf.DUMMYFUNCTION("""COMPUTED_VALUE"""),43971.6666666666)</f>
        <v>43971.666666666599</v>
      </c>
      <c r="B1168" s="1">
        <f ca="1">IFERROR(__xludf.DUMMYFUNCTION("""COMPUTED_VALUE"""),54.7)</f>
        <v>54.7</v>
      </c>
      <c r="C1168" s="1">
        <f ca="1">IFERROR(__xludf.DUMMYFUNCTION("""COMPUTED_VALUE"""),55.07)</f>
        <v>55.07</v>
      </c>
      <c r="D1168" s="1">
        <f ca="1">IFERROR(__xludf.DUMMYFUNCTION("""COMPUTED_VALUE"""),54.12)</f>
        <v>54.12</v>
      </c>
      <c r="E1168" s="1">
        <f ca="1">IFERROR(__xludf.DUMMYFUNCTION("""COMPUTED_VALUE"""),54.37)</f>
        <v>54.37</v>
      </c>
      <c r="F1168" s="1">
        <f ca="1">IFERROR(__xludf.DUMMYFUNCTION("""COMPUTED_VALUE"""),7309271)</f>
        <v>7309271</v>
      </c>
    </row>
    <row r="1169" spans="1:6" x14ac:dyDescent="0.2">
      <c r="A1169" s="2">
        <f ca="1">IFERROR(__xludf.DUMMYFUNCTION("""COMPUTED_VALUE"""),43972.6666666666)</f>
        <v>43972.666666666599</v>
      </c>
      <c r="B1169" s="1">
        <f ca="1">IFERROR(__xludf.DUMMYFUNCTION("""COMPUTED_VALUE"""),54.4)</f>
        <v>54.4</v>
      </c>
      <c r="C1169" s="1">
        <f ca="1">IFERROR(__xludf.DUMMYFUNCTION("""COMPUTED_VALUE"""),55.5)</f>
        <v>55.5</v>
      </c>
      <c r="D1169" s="1">
        <f ca="1">IFERROR(__xludf.DUMMYFUNCTION("""COMPUTED_VALUE"""),53.07)</f>
        <v>53.07</v>
      </c>
      <c r="E1169" s="1">
        <f ca="1">IFERROR(__xludf.DUMMYFUNCTION("""COMPUTED_VALUE"""),55.17)</f>
        <v>55.17</v>
      </c>
      <c r="F1169" s="1">
        <f ca="1">IFERROR(__xludf.DUMMYFUNCTION("""COMPUTED_VALUE"""),12254584)</f>
        <v>12254584</v>
      </c>
    </row>
    <row r="1170" spans="1:6" x14ac:dyDescent="0.2">
      <c r="A1170" s="2">
        <f ca="1">IFERROR(__xludf.DUMMYFUNCTION("""COMPUTED_VALUE"""),43973.6666666666)</f>
        <v>43973.666666666599</v>
      </c>
      <c r="B1170" s="1">
        <f ca="1">IFERROR(__xludf.DUMMYFUNCTION("""COMPUTED_VALUE"""),54.81)</f>
        <v>54.81</v>
      </c>
      <c r="C1170" s="1">
        <f ca="1">IFERROR(__xludf.DUMMYFUNCTION("""COMPUTED_VALUE"""),55.45)</f>
        <v>55.45</v>
      </c>
      <c r="D1170" s="1">
        <f ca="1">IFERROR(__xludf.DUMMYFUNCTION("""COMPUTED_VALUE"""),54.13)</f>
        <v>54.13</v>
      </c>
      <c r="E1170" s="1">
        <f ca="1">IFERROR(__xludf.DUMMYFUNCTION("""COMPUTED_VALUE"""),54.46)</f>
        <v>54.46</v>
      </c>
      <c r="F1170" s="1">
        <f ca="1">IFERROR(__xludf.DUMMYFUNCTION("""COMPUTED_VALUE"""),9987475)</f>
        <v>9987475</v>
      </c>
    </row>
    <row r="1171" spans="1:6" x14ac:dyDescent="0.2">
      <c r="A1171" s="2">
        <f ca="1">IFERROR(__xludf.DUMMYFUNCTION("""COMPUTED_VALUE"""),43977.6666666666)</f>
        <v>43977.666666666599</v>
      </c>
      <c r="B1171" s="1">
        <f ca="1">IFERROR(__xludf.DUMMYFUNCTION("""COMPUTED_VALUE"""),55.63)</f>
        <v>55.63</v>
      </c>
      <c r="C1171" s="1">
        <f ca="1">IFERROR(__xludf.DUMMYFUNCTION("""COMPUTED_VALUE"""),55.64)</f>
        <v>55.64</v>
      </c>
      <c r="D1171" s="1">
        <f ca="1">IFERROR(__xludf.DUMMYFUNCTION("""COMPUTED_VALUE"""),54.38)</f>
        <v>54.38</v>
      </c>
      <c r="E1171" s="1">
        <f ca="1">IFERROR(__xludf.DUMMYFUNCTION("""COMPUTED_VALUE"""),54.59)</f>
        <v>54.59</v>
      </c>
      <c r="F1171" s="1">
        <f ca="1">IFERROR(__xludf.DUMMYFUNCTION("""COMPUTED_VALUE"""),8089736)</f>
        <v>8089736</v>
      </c>
    </row>
    <row r="1172" spans="1:6" x14ac:dyDescent="0.2">
      <c r="A1172" s="2">
        <f ca="1">IFERROR(__xludf.DUMMYFUNCTION("""COMPUTED_VALUE"""),43978.6666666666)</f>
        <v>43978.666666666599</v>
      </c>
      <c r="B1172" s="1">
        <f ca="1">IFERROR(__xludf.DUMMYFUNCTION("""COMPUTED_VALUE"""),54.72)</f>
        <v>54.72</v>
      </c>
      <c r="C1172" s="1">
        <f ca="1">IFERROR(__xludf.DUMMYFUNCTION("""COMPUTED_VALUE"""),55.18)</f>
        <v>55.18</v>
      </c>
      <c r="D1172" s="1">
        <f ca="1">IFERROR(__xludf.DUMMYFUNCTION("""COMPUTED_VALUE"""),52.33)</f>
        <v>52.33</v>
      </c>
      <c r="E1172" s="1">
        <f ca="1">IFERROR(__xludf.DUMMYFUNCTION("""COMPUTED_VALUE"""),54.68)</f>
        <v>54.68</v>
      </c>
      <c r="F1172" s="1">
        <f ca="1">IFERROR(__xludf.DUMMYFUNCTION("""COMPUTED_VALUE"""),11549530)</f>
        <v>11549530</v>
      </c>
    </row>
    <row r="1173" spans="1:6" x14ac:dyDescent="0.2">
      <c r="A1173" s="2">
        <f ca="1">IFERROR(__xludf.DUMMYFUNCTION("""COMPUTED_VALUE"""),43979.6666666666)</f>
        <v>43979.666666666599</v>
      </c>
      <c r="B1173" s="1">
        <f ca="1">IFERROR(__xludf.DUMMYFUNCTION("""COMPUTED_VALUE"""),54.23)</f>
        <v>54.23</v>
      </c>
      <c r="C1173" s="1">
        <f ca="1">IFERROR(__xludf.DUMMYFUNCTION("""COMPUTED_VALUE"""),54.98)</f>
        <v>54.98</v>
      </c>
      <c r="D1173" s="1">
        <f ca="1">IFERROR(__xludf.DUMMYFUNCTION("""COMPUTED_VALUE"""),53.45)</f>
        <v>53.45</v>
      </c>
      <c r="E1173" s="1">
        <f ca="1">IFERROR(__xludf.DUMMYFUNCTION("""COMPUTED_VALUE"""),53.72)</f>
        <v>53.72</v>
      </c>
      <c r="F1173" s="1">
        <f ca="1">IFERROR(__xludf.DUMMYFUNCTION("""COMPUTED_VALUE"""),7275774)</f>
        <v>7275774</v>
      </c>
    </row>
    <row r="1174" spans="1:6" x14ac:dyDescent="0.2">
      <c r="A1174" s="2">
        <f ca="1">IFERROR(__xludf.DUMMYFUNCTION("""COMPUTED_VALUE"""),43980.6666666666)</f>
        <v>43980.666666666599</v>
      </c>
      <c r="B1174" s="1">
        <f ca="1">IFERROR(__xludf.DUMMYFUNCTION("""COMPUTED_VALUE"""),53.92)</f>
        <v>53.92</v>
      </c>
      <c r="C1174" s="1">
        <f ca="1">IFERROR(__xludf.DUMMYFUNCTION("""COMPUTED_VALUE"""),55.67)</f>
        <v>55.67</v>
      </c>
      <c r="D1174" s="1">
        <f ca="1">IFERROR(__xludf.DUMMYFUNCTION("""COMPUTED_VALUE"""),53.61)</f>
        <v>53.61</v>
      </c>
      <c r="E1174" s="1">
        <f ca="1">IFERROR(__xludf.DUMMYFUNCTION("""COMPUTED_VALUE"""),55.67)</f>
        <v>55.67</v>
      </c>
      <c r="F1174" s="1">
        <f ca="1">IFERROR(__xludf.DUMMYFUNCTION("""COMPUTED_VALUE"""),11812489)</f>
        <v>11812489</v>
      </c>
    </row>
    <row r="1175" spans="1:6" x14ac:dyDescent="0.2">
      <c r="A1175" s="2">
        <f ca="1">IFERROR(__xludf.DUMMYFUNCTION("""COMPUTED_VALUE"""),43983.6666666666)</f>
        <v>43983.666666666599</v>
      </c>
      <c r="B1175" s="1">
        <f ca="1">IFERROR(__xludf.DUMMYFUNCTION("""COMPUTED_VALUE"""),57.2)</f>
        <v>57.2</v>
      </c>
      <c r="C1175" s="1">
        <f ca="1">IFERROR(__xludf.DUMMYFUNCTION("""COMPUTED_VALUE"""),59.93)</f>
        <v>59.93</v>
      </c>
      <c r="D1175" s="1">
        <f ca="1">IFERROR(__xludf.DUMMYFUNCTION("""COMPUTED_VALUE"""),56.94)</f>
        <v>56.94</v>
      </c>
      <c r="E1175" s="1">
        <f ca="1">IFERROR(__xludf.DUMMYFUNCTION("""COMPUTED_VALUE"""),59.87)</f>
        <v>59.87</v>
      </c>
      <c r="F1175" s="1">
        <f ca="1">IFERROR(__xludf.DUMMYFUNCTION("""COMPUTED_VALUE"""),15085297)</f>
        <v>15085297</v>
      </c>
    </row>
    <row r="1176" spans="1:6" x14ac:dyDescent="0.2">
      <c r="A1176" s="2">
        <f ca="1">IFERROR(__xludf.DUMMYFUNCTION("""COMPUTED_VALUE"""),43984.6666666666)</f>
        <v>43984.666666666599</v>
      </c>
      <c r="B1176" s="1">
        <f ca="1">IFERROR(__xludf.DUMMYFUNCTION("""COMPUTED_VALUE"""),59.65)</f>
        <v>59.65</v>
      </c>
      <c r="C1176" s="1">
        <f ca="1">IFERROR(__xludf.DUMMYFUNCTION("""COMPUTED_VALUE"""),60.58)</f>
        <v>60.58</v>
      </c>
      <c r="D1176" s="1">
        <f ca="1">IFERROR(__xludf.DUMMYFUNCTION("""COMPUTED_VALUE"""),58.07)</f>
        <v>58.07</v>
      </c>
      <c r="E1176" s="1">
        <f ca="1">IFERROR(__xludf.DUMMYFUNCTION("""COMPUTED_VALUE"""),58.77)</f>
        <v>58.77</v>
      </c>
      <c r="F1176" s="1">
        <f ca="1">IFERROR(__xludf.DUMMYFUNCTION("""COMPUTED_VALUE"""),13565596)</f>
        <v>13565596</v>
      </c>
    </row>
    <row r="1177" spans="1:6" x14ac:dyDescent="0.2">
      <c r="A1177" s="2">
        <f ca="1">IFERROR(__xludf.DUMMYFUNCTION("""COMPUTED_VALUE"""),43985.6666666666)</f>
        <v>43985.666666666599</v>
      </c>
      <c r="B1177" s="1">
        <f ca="1">IFERROR(__xludf.DUMMYFUNCTION("""COMPUTED_VALUE"""),59.21)</f>
        <v>59.21</v>
      </c>
      <c r="C1177" s="1">
        <f ca="1">IFERROR(__xludf.DUMMYFUNCTION("""COMPUTED_VALUE"""),59.86)</f>
        <v>59.86</v>
      </c>
      <c r="D1177" s="1">
        <f ca="1">IFERROR(__xludf.DUMMYFUNCTION("""COMPUTED_VALUE"""),58.67)</f>
        <v>58.67</v>
      </c>
      <c r="E1177" s="1">
        <f ca="1">IFERROR(__xludf.DUMMYFUNCTION("""COMPUTED_VALUE"""),58.86)</f>
        <v>58.86</v>
      </c>
      <c r="F1177" s="1">
        <f ca="1">IFERROR(__xludf.DUMMYFUNCTION("""COMPUTED_VALUE"""),7949469)</f>
        <v>7949469</v>
      </c>
    </row>
    <row r="1178" spans="1:6" x14ac:dyDescent="0.2">
      <c r="A1178" s="2">
        <f ca="1">IFERROR(__xludf.DUMMYFUNCTION("""COMPUTED_VALUE"""),43986.6666666666)</f>
        <v>43986.666666666599</v>
      </c>
      <c r="B1178" s="1">
        <f ca="1">IFERROR(__xludf.DUMMYFUNCTION("""COMPUTED_VALUE"""),59.33)</f>
        <v>59.33</v>
      </c>
      <c r="C1178" s="1">
        <f ca="1">IFERROR(__xludf.DUMMYFUNCTION("""COMPUTED_VALUE"""),59.72)</f>
        <v>59.72</v>
      </c>
      <c r="D1178" s="1">
        <f ca="1">IFERROR(__xludf.DUMMYFUNCTION("""COMPUTED_VALUE"""),57.23)</f>
        <v>57.23</v>
      </c>
      <c r="E1178" s="1">
        <f ca="1">IFERROR(__xludf.DUMMYFUNCTION("""COMPUTED_VALUE"""),57.63)</f>
        <v>57.63</v>
      </c>
      <c r="F1178" s="1">
        <f ca="1">IFERROR(__xludf.DUMMYFUNCTION("""COMPUTED_VALUE"""),8887713)</f>
        <v>8887713</v>
      </c>
    </row>
    <row r="1179" spans="1:6" x14ac:dyDescent="0.2">
      <c r="A1179" s="2">
        <f ca="1">IFERROR(__xludf.DUMMYFUNCTION("""COMPUTED_VALUE"""),43987.6666666666)</f>
        <v>43987.666666666599</v>
      </c>
      <c r="B1179" s="1">
        <f ca="1">IFERROR(__xludf.DUMMYFUNCTION("""COMPUTED_VALUE"""),58.52)</f>
        <v>58.52</v>
      </c>
      <c r="C1179" s="1">
        <f ca="1">IFERROR(__xludf.DUMMYFUNCTION("""COMPUTED_VALUE"""),59.1)</f>
        <v>59.1</v>
      </c>
      <c r="D1179" s="1">
        <f ca="1">IFERROR(__xludf.DUMMYFUNCTION("""COMPUTED_VALUE"""),57.75)</f>
        <v>57.75</v>
      </c>
      <c r="E1179" s="1">
        <f ca="1">IFERROR(__xludf.DUMMYFUNCTION("""COMPUTED_VALUE"""),59.04)</f>
        <v>59.04</v>
      </c>
      <c r="F1179" s="1">
        <f ca="1">IFERROR(__xludf.DUMMYFUNCTION("""COMPUTED_VALUE"""),7811917)</f>
        <v>7811917</v>
      </c>
    </row>
    <row r="1180" spans="1:6" x14ac:dyDescent="0.2">
      <c r="A1180" s="2">
        <f ca="1">IFERROR(__xludf.DUMMYFUNCTION("""COMPUTED_VALUE"""),43990.6666666666)</f>
        <v>43990.666666666599</v>
      </c>
      <c r="B1180" s="1">
        <f ca="1">IFERROR(__xludf.DUMMYFUNCTION("""COMPUTED_VALUE"""),61.27)</f>
        <v>61.27</v>
      </c>
      <c r="C1180" s="1">
        <f ca="1">IFERROR(__xludf.DUMMYFUNCTION("""COMPUTED_VALUE"""),63.33)</f>
        <v>63.33</v>
      </c>
      <c r="D1180" s="1">
        <f ca="1">IFERROR(__xludf.DUMMYFUNCTION("""COMPUTED_VALUE"""),60.61)</f>
        <v>60.61</v>
      </c>
      <c r="E1180" s="1">
        <f ca="1">IFERROR(__xludf.DUMMYFUNCTION("""COMPUTED_VALUE"""),63.33)</f>
        <v>63.33</v>
      </c>
      <c r="F1180" s="1">
        <f ca="1">IFERROR(__xludf.DUMMYFUNCTION("""COMPUTED_VALUE"""),14174727)</f>
        <v>14174727</v>
      </c>
    </row>
    <row r="1181" spans="1:6" x14ac:dyDescent="0.2">
      <c r="A1181" s="2">
        <f ca="1">IFERROR(__xludf.DUMMYFUNCTION("""COMPUTED_VALUE"""),43991.6666666666)</f>
        <v>43991.666666666599</v>
      </c>
      <c r="B1181" s="1">
        <f ca="1">IFERROR(__xludf.DUMMYFUNCTION("""COMPUTED_VALUE"""),62.67)</f>
        <v>62.67</v>
      </c>
      <c r="C1181" s="1">
        <f ca="1">IFERROR(__xludf.DUMMYFUNCTION("""COMPUTED_VALUE"""),63.63)</f>
        <v>63.63</v>
      </c>
      <c r="D1181" s="1">
        <f ca="1">IFERROR(__xludf.DUMMYFUNCTION("""COMPUTED_VALUE"""),61.6)</f>
        <v>61.6</v>
      </c>
      <c r="E1181" s="1">
        <f ca="1">IFERROR(__xludf.DUMMYFUNCTION("""COMPUTED_VALUE"""),62.71)</f>
        <v>62.71</v>
      </c>
      <c r="F1181" s="1">
        <f ca="1">IFERROR(__xludf.DUMMYFUNCTION("""COMPUTED_VALUE"""),11388154)</f>
        <v>11388154</v>
      </c>
    </row>
    <row r="1182" spans="1:6" x14ac:dyDescent="0.2">
      <c r="A1182" s="2">
        <f ca="1">IFERROR(__xludf.DUMMYFUNCTION("""COMPUTED_VALUE"""),43992.6666666666)</f>
        <v>43992.666666666599</v>
      </c>
      <c r="B1182" s="1">
        <f ca="1">IFERROR(__xludf.DUMMYFUNCTION("""COMPUTED_VALUE"""),66.13)</f>
        <v>66.13</v>
      </c>
      <c r="C1182" s="1">
        <f ca="1">IFERROR(__xludf.DUMMYFUNCTION("""COMPUTED_VALUE"""),68.5)</f>
        <v>68.5</v>
      </c>
      <c r="D1182" s="1">
        <f ca="1">IFERROR(__xludf.DUMMYFUNCTION("""COMPUTED_VALUE"""),65.5)</f>
        <v>65.5</v>
      </c>
      <c r="E1182" s="1">
        <f ca="1">IFERROR(__xludf.DUMMYFUNCTION("""COMPUTED_VALUE"""),68.34)</f>
        <v>68.34</v>
      </c>
      <c r="F1182" s="1">
        <f ca="1">IFERROR(__xludf.DUMMYFUNCTION("""COMPUTED_VALUE"""),18563413)</f>
        <v>18563413</v>
      </c>
    </row>
    <row r="1183" spans="1:6" x14ac:dyDescent="0.2">
      <c r="A1183" s="2">
        <f ca="1">IFERROR(__xludf.DUMMYFUNCTION("""COMPUTED_VALUE"""),43993.6666666666)</f>
        <v>43993.666666666599</v>
      </c>
      <c r="B1183" s="1">
        <f ca="1">IFERROR(__xludf.DUMMYFUNCTION("""COMPUTED_VALUE"""),66.01)</f>
        <v>66.010000000000005</v>
      </c>
      <c r="C1183" s="1">
        <f ca="1">IFERROR(__xludf.DUMMYFUNCTION("""COMPUTED_VALUE"""),67.93)</f>
        <v>67.930000000000007</v>
      </c>
      <c r="D1183" s="1">
        <f ca="1">IFERROR(__xludf.DUMMYFUNCTION("""COMPUTED_VALUE"""),64.8)</f>
        <v>64.8</v>
      </c>
      <c r="E1183" s="1">
        <f ca="1">IFERROR(__xludf.DUMMYFUNCTION("""COMPUTED_VALUE"""),64.86)</f>
        <v>64.86</v>
      </c>
      <c r="F1183" s="1">
        <f ca="1">IFERROR(__xludf.DUMMYFUNCTION("""COMPUTED_VALUE"""),15916482)</f>
        <v>15916482</v>
      </c>
    </row>
    <row r="1184" spans="1:6" x14ac:dyDescent="0.2">
      <c r="A1184" s="2">
        <f ca="1">IFERROR(__xludf.DUMMYFUNCTION("""COMPUTED_VALUE"""),43994.6666666666)</f>
        <v>43994.666666666599</v>
      </c>
      <c r="B1184" s="1">
        <f ca="1">IFERROR(__xludf.DUMMYFUNCTION("""COMPUTED_VALUE"""),65.33)</f>
        <v>65.33</v>
      </c>
      <c r="C1184" s="1">
        <f ca="1">IFERROR(__xludf.DUMMYFUNCTION("""COMPUTED_VALUE"""),65.87)</f>
        <v>65.87</v>
      </c>
      <c r="D1184" s="1">
        <f ca="1">IFERROR(__xludf.DUMMYFUNCTION("""COMPUTED_VALUE"""),60.84)</f>
        <v>60.84</v>
      </c>
      <c r="E1184" s="1">
        <f ca="1">IFERROR(__xludf.DUMMYFUNCTION("""COMPUTED_VALUE"""),62.35)</f>
        <v>62.35</v>
      </c>
      <c r="F1184" s="1">
        <f ca="1">IFERROR(__xludf.DUMMYFUNCTION("""COMPUTED_VALUE"""),16763374)</f>
        <v>16763374</v>
      </c>
    </row>
    <row r="1185" spans="1:6" x14ac:dyDescent="0.2">
      <c r="A1185" s="2">
        <f ca="1">IFERROR(__xludf.DUMMYFUNCTION("""COMPUTED_VALUE"""),43997.6666666666)</f>
        <v>43997.666666666599</v>
      </c>
      <c r="B1185" s="1">
        <f ca="1">IFERROR(__xludf.DUMMYFUNCTION("""COMPUTED_VALUE"""),61.19)</f>
        <v>61.19</v>
      </c>
      <c r="C1185" s="1">
        <f ca="1">IFERROR(__xludf.DUMMYFUNCTION("""COMPUTED_VALUE"""),66.59)</f>
        <v>66.59</v>
      </c>
      <c r="D1185" s="1">
        <f ca="1">IFERROR(__xludf.DUMMYFUNCTION("""COMPUTED_VALUE"""),60.57)</f>
        <v>60.57</v>
      </c>
      <c r="E1185" s="1">
        <f ca="1">IFERROR(__xludf.DUMMYFUNCTION("""COMPUTED_VALUE"""),66.06)</f>
        <v>66.06</v>
      </c>
      <c r="F1185" s="1">
        <f ca="1">IFERROR(__xludf.DUMMYFUNCTION("""COMPUTED_VALUE"""),15697178)</f>
        <v>15697178</v>
      </c>
    </row>
    <row r="1186" spans="1:6" x14ac:dyDescent="0.2">
      <c r="A1186" s="2">
        <f ca="1">IFERROR(__xludf.DUMMYFUNCTION("""COMPUTED_VALUE"""),43998.6666666666)</f>
        <v>43998.666666666599</v>
      </c>
      <c r="B1186" s="1">
        <f ca="1">IFERROR(__xludf.DUMMYFUNCTION("""COMPUTED_VALUE"""),67.46)</f>
        <v>67.459999999999994</v>
      </c>
      <c r="C1186" s="1">
        <f ca="1">IFERROR(__xludf.DUMMYFUNCTION("""COMPUTED_VALUE"""),67.53)</f>
        <v>67.53</v>
      </c>
      <c r="D1186" s="1">
        <f ca="1">IFERROR(__xludf.DUMMYFUNCTION("""COMPUTED_VALUE"""),64.16)</f>
        <v>64.16</v>
      </c>
      <c r="E1186" s="1">
        <f ca="1">IFERROR(__xludf.DUMMYFUNCTION("""COMPUTED_VALUE"""),65.48)</f>
        <v>65.48</v>
      </c>
      <c r="F1186" s="1">
        <f ca="1">IFERROR(__xludf.DUMMYFUNCTION("""COMPUTED_VALUE"""),14051078)</f>
        <v>14051078</v>
      </c>
    </row>
    <row r="1187" spans="1:6" x14ac:dyDescent="0.2">
      <c r="A1187" s="2">
        <f ca="1">IFERROR(__xludf.DUMMYFUNCTION("""COMPUTED_VALUE"""),43999.6666666666)</f>
        <v>43999.666666666599</v>
      </c>
      <c r="B1187" s="1">
        <f ca="1">IFERROR(__xludf.DUMMYFUNCTION("""COMPUTED_VALUE"""),65.85)</f>
        <v>65.849999999999994</v>
      </c>
      <c r="C1187" s="1">
        <f ca="1">IFERROR(__xludf.DUMMYFUNCTION("""COMPUTED_VALUE"""),67)</f>
        <v>67</v>
      </c>
      <c r="D1187" s="1">
        <f ca="1">IFERROR(__xludf.DUMMYFUNCTION("""COMPUTED_VALUE"""),65.5)</f>
        <v>65.5</v>
      </c>
      <c r="E1187" s="1">
        <f ca="1">IFERROR(__xludf.DUMMYFUNCTION("""COMPUTED_VALUE"""),66.12)</f>
        <v>66.12</v>
      </c>
      <c r="F1187" s="1">
        <f ca="1">IFERROR(__xludf.DUMMYFUNCTION("""COMPUTED_VALUE"""),9890800)</f>
        <v>9890800</v>
      </c>
    </row>
    <row r="1188" spans="1:6" x14ac:dyDescent="0.2">
      <c r="A1188" s="2">
        <f ca="1">IFERROR(__xludf.DUMMYFUNCTION("""COMPUTED_VALUE"""),44000.6666666666)</f>
        <v>44000.666666666599</v>
      </c>
      <c r="B1188" s="1">
        <f ca="1">IFERROR(__xludf.DUMMYFUNCTION("""COMPUTED_VALUE"""),66.87)</f>
        <v>66.87</v>
      </c>
      <c r="C1188" s="1">
        <f ca="1">IFERROR(__xludf.DUMMYFUNCTION("""COMPUTED_VALUE"""),67.95)</f>
        <v>67.95</v>
      </c>
      <c r="D1188" s="1">
        <f ca="1">IFERROR(__xludf.DUMMYFUNCTION("""COMPUTED_VALUE"""),66.3)</f>
        <v>66.3</v>
      </c>
      <c r="E1188" s="1">
        <f ca="1">IFERROR(__xludf.DUMMYFUNCTION("""COMPUTED_VALUE"""),66.93)</f>
        <v>66.930000000000007</v>
      </c>
      <c r="F1188" s="1">
        <f ca="1">IFERROR(__xludf.DUMMYFUNCTION("""COMPUTED_VALUE"""),9751936)</f>
        <v>9751936</v>
      </c>
    </row>
    <row r="1189" spans="1:6" x14ac:dyDescent="0.2">
      <c r="A1189" s="2">
        <f ca="1">IFERROR(__xludf.DUMMYFUNCTION("""COMPUTED_VALUE"""),44001.6666666666)</f>
        <v>44001.666666666599</v>
      </c>
      <c r="B1189" s="1">
        <f ca="1">IFERROR(__xludf.DUMMYFUNCTION("""COMPUTED_VALUE"""),67.52)</f>
        <v>67.52</v>
      </c>
      <c r="C1189" s="1">
        <f ca="1">IFERROR(__xludf.DUMMYFUNCTION("""COMPUTED_VALUE"""),67.73)</f>
        <v>67.73</v>
      </c>
      <c r="D1189" s="1">
        <f ca="1">IFERROR(__xludf.DUMMYFUNCTION("""COMPUTED_VALUE"""),66.09)</f>
        <v>66.09</v>
      </c>
      <c r="E1189" s="1">
        <f ca="1">IFERROR(__xludf.DUMMYFUNCTION("""COMPUTED_VALUE"""),66.73)</f>
        <v>66.73</v>
      </c>
      <c r="F1189" s="1">
        <f ca="1">IFERROR(__xludf.DUMMYFUNCTION("""COMPUTED_VALUE"""),8679749)</f>
        <v>8679749</v>
      </c>
    </row>
    <row r="1190" spans="1:6" x14ac:dyDescent="0.2">
      <c r="A1190" s="2">
        <f ca="1">IFERROR(__xludf.DUMMYFUNCTION("""COMPUTED_VALUE"""),44004.6666666666)</f>
        <v>44004.666666666599</v>
      </c>
      <c r="B1190" s="1">
        <f ca="1">IFERROR(__xludf.DUMMYFUNCTION("""COMPUTED_VALUE"""),66.66)</f>
        <v>66.66</v>
      </c>
      <c r="C1190" s="1">
        <f ca="1">IFERROR(__xludf.DUMMYFUNCTION("""COMPUTED_VALUE"""),67.26)</f>
        <v>67.260000000000005</v>
      </c>
      <c r="D1190" s="1">
        <f ca="1">IFERROR(__xludf.DUMMYFUNCTION("""COMPUTED_VALUE"""),66)</f>
        <v>66</v>
      </c>
      <c r="E1190" s="1">
        <f ca="1">IFERROR(__xludf.DUMMYFUNCTION("""COMPUTED_VALUE"""),66.29)</f>
        <v>66.290000000000006</v>
      </c>
      <c r="F1190" s="1">
        <f ca="1">IFERROR(__xludf.DUMMYFUNCTION("""COMPUTED_VALUE"""),6362350)</f>
        <v>6362350</v>
      </c>
    </row>
    <row r="1191" spans="1:6" x14ac:dyDescent="0.2">
      <c r="A1191" s="2">
        <f ca="1">IFERROR(__xludf.DUMMYFUNCTION("""COMPUTED_VALUE"""),44005.6666666666)</f>
        <v>44005.666666666599</v>
      </c>
      <c r="B1191" s="1">
        <f ca="1">IFERROR(__xludf.DUMMYFUNCTION("""COMPUTED_VALUE"""),66.59)</f>
        <v>66.59</v>
      </c>
      <c r="C1191" s="1">
        <f ca="1">IFERROR(__xludf.DUMMYFUNCTION("""COMPUTED_VALUE"""),67.47)</f>
        <v>67.47</v>
      </c>
      <c r="D1191" s="1">
        <f ca="1">IFERROR(__xludf.DUMMYFUNCTION("""COMPUTED_VALUE"""),66.27)</f>
        <v>66.27</v>
      </c>
      <c r="E1191" s="1">
        <f ca="1">IFERROR(__xludf.DUMMYFUNCTION("""COMPUTED_VALUE"""),66.79)</f>
        <v>66.790000000000006</v>
      </c>
      <c r="F1191" s="1">
        <f ca="1">IFERROR(__xludf.DUMMYFUNCTION("""COMPUTED_VALUE"""),6365271)</f>
        <v>6365271</v>
      </c>
    </row>
    <row r="1192" spans="1:6" x14ac:dyDescent="0.2">
      <c r="A1192" s="2">
        <f ca="1">IFERROR(__xludf.DUMMYFUNCTION("""COMPUTED_VALUE"""),44006.6666666666)</f>
        <v>44006.666666666599</v>
      </c>
      <c r="B1192" s="1">
        <f ca="1">IFERROR(__xludf.DUMMYFUNCTION("""COMPUTED_VALUE"""),66.27)</f>
        <v>66.27</v>
      </c>
      <c r="C1192" s="1">
        <f ca="1">IFERROR(__xludf.DUMMYFUNCTION("""COMPUTED_VALUE"""),66.73)</f>
        <v>66.73</v>
      </c>
      <c r="D1192" s="1">
        <f ca="1">IFERROR(__xludf.DUMMYFUNCTION("""COMPUTED_VALUE"""),63.54)</f>
        <v>63.54</v>
      </c>
      <c r="E1192" s="1">
        <f ca="1">IFERROR(__xludf.DUMMYFUNCTION("""COMPUTED_VALUE"""),64.06)</f>
        <v>64.06</v>
      </c>
      <c r="F1192" s="1">
        <f ca="1">IFERROR(__xludf.DUMMYFUNCTION("""COMPUTED_VALUE"""),10959593)</f>
        <v>10959593</v>
      </c>
    </row>
    <row r="1193" spans="1:6" x14ac:dyDescent="0.2">
      <c r="A1193" s="2">
        <f ca="1">IFERROR(__xludf.DUMMYFUNCTION("""COMPUTED_VALUE"""),44007.6666666666)</f>
        <v>44007.666666666599</v>
      </c>
      <c r="B1193" s="1">
        <f ca="1">IFERROR(__xludf.DUMMYFUNCTION("""COMPUTED_VALUE"""),63.62)</f>
        <v>63.62</v>
      </c>
      <c r="C1193" s="1">
        <f ca="1">IFERROR(__xludf.DUMMYFUNCTION("""COMPUTED_VALUE"""),65.73)</f>
        <v>65.73</v>
      </c>
      <c r="D1193" s="1">
        <f ca="1">IFERROR(__xludf.DUMMYFUNCTION("""COMPUTED_VALUE"""),62.48)</f>
        <v>62.48</v>
      </c>
      <c r="E1193" s="1">
        <f ca="1">IFERROR(__xludf.DUMMYFUNCTION("""COMPUTED_VALUE"""),65.73)</f>
        <v>65.73</v>
      </c>
      <c r="F1193" s="1">
        <f ca="1">IFERROR(__xludf.DUMMYFUNCTION("""COMPUTED_VALUE"""),9254549)</f>
        <v>9254549</v>
      </c>
    </row>
    <row r="1194" spans="1:6" x14ac:dyDescent="0.2">
      <c r="A1194" s="2">
        <f ca="1">IFERROR(__xludf.DUMMYFUNCTION("""COMPUTED_VALUE"""),44008.6666666666)</f>
        <v>44008.666666666599</v>
      </c>
      <c r="B1194" s="1">
        <f ca="1">IFERROR(__xludf.DUMMYFUNCTION("""COMPUTED_VALUE"""),66.32)</f>
        <v>66.319999999999993</v>
      </c>
      <c r="C1194" s="1">
        <f ca="1">IFERROR(__xludf.DUMMYFUNCTION("""COMPUTED_VALUE"""),66.33)</f>
        <v>66.33</v>
      </c>
      <c r="D1194" s="1">
        <f ca="1">IFERROR(__xludf.DUMMYFUNCTION("""COMPUTED_VALUE"""),63.66)</f>
        <v>63.66</v>
      </c>
      <c r="E1194" s="1">
        <f ca="1">IFERROR(__xludf.DUMMYFUNCTION("""COMPUTED_VALUE"""),63.98)</f>
        <v>63.98</v>
      </c>
      <c r="F1194" s="1">
        <f ca="1">IFERROR(__xludf.DUMMYFUNCTION("""COMPUTED_VALUE"""),8854908)</f>
        <v>8854908</v>
      </c>
    </row>
    <row r="1195" spans="1:6" x14ac:dyDescent="0.2">
      <c r="A1195" s="2">
        <f ca="1">IFERROR(__xludf.DUMMYFUNCTION("""COMPUTED_VALUE"""),44011.6666666666)</f>
        <v>44011.666666666599</v>
      </c>
      <c r="B1195" s="1">
        <f ca="1">IFERROR(__xludf.DUMMYFUNCTION("""COMPUTED_VALUE"""),64.6)</f>
        <v>64.599999999999994</v>
      </c>
      <c r="C1195" s="1">
        <f ca="1">IFERROR(__xludf.DUMMYFUNCTION("""COMPUTED_VALUE"""),67.33)</f>
        <v>67.33</v>
      </c>
      <c r="D1195" s="1">
        <f ca="1">IFERROR(__xludf.DUMMYFUNCTION("""COMPUTED_VALUE"""),63.23)</f>
        <v>63.23</v>
      </c>
      <c r="E1195" s="1">
        <f ca="1">IFERROR(__xludf.DUMMYFUNCTION("""COMPUTED_VALUE"""),67.29)</f>
        <v>67.290000000000006</v>
      </c>
      <c r="F1195" s="1">
        <f ca="1">IFERROR(__xludf.DUMMYFUNCTION("""COMPUTED_VALUE"""),9026404)</f>
        <v>9026404</v>
      </c>
    </row>
    <row r="1196" spans="1:6" x14ac:dyDescent="0.2">
      <c r="A1196" s="2">
        <f ca="1">IFERROR(__xludf.DUMMYFUNCTION("""COMPUTED_VALUE"""),44012.6666666666)</f>
        <v>44012.666666666599</v>
      </c>
      <c r="B1196" s="1">
        <f ca="1">IFERROR(__xludf.DUMMYFUNCTION("""COMPUTED_VALUE"""),67.1)</f>
        <v>67.099999999999994</v>
      </c>
      <c r="C1196" s="1">
        <f ca="1">IFERROR(__xludf.DUMMYFUNCTION("""COMPUTED_VALUE"""),72.51)</f>
        <v>72.510000000000005</v>
      </c>
      <c r="D1196" s="1">
        <f ca="1">IFERROR(__xludf.DUMMYFUNCTION("""COMPUTED_VALUE"""),66.92)</f>
        <v>66.92</v>
      </c>
      <c r="E1196" s="1">
        <f ca="1">IFERROR(__xludf.DUMMYFUNCTION("""COMPUTED_VALUE"""),71.99)</f>
        <v>71.989999999999995</v>
      </c>
      <c r="F1196" s="1">
        <f ca="1">IFERROR(__xludf.DUMMYFUNCTION("""COMPUTED_VALUE"""),16918501)</f>
        <v>16918501</v>
      </c>
    </row>
    <row r="1197" spans="1:6" x14ac:dyDescent="0.2">
      <c r="A1197" s="2">
        <f ca="1">IFERROR(__xludf.DUMMYFUNCTION("""COMPUTED_VALUE"""),44013.6666666666)</f>
        <v>44013.666666666599</v>
      </c>
      <c r="B1197" s="1">
        <f ca="1">IFERROR(__xludf.DUMMYFUNCTION("""COMPUTED_VALUE"""),72.2)</f>
        <v>72.2</v>
      </c>
      <c r="C1197" s="1">
        <f ca="1">IFERROR(__xludf.DUMMYFUNCTION("""COMPUTED_VALUE"""),75.69)</f>
        <v>75.69</v>
      </c>
      <c r="D1197" s="1">
        <f ca="1">IFERROR(__xludf.DUMMYFUNCTION("""COMPUTED_VALUE"""),72.03)</f>
        <v>72.03</v>
      </c>
      <c r="E1197" s="1">
        <f ca="1">IFERROR(__xludf.DUMMYFUNCTION("""COMPUTED_VALUE"""),74.64)</f>
        <v>74.64</v>
      </c>
      <c r="F1197" s="1">
        <f ca="1">IFERROR(__xludf.DUMMYFUNCTION("""COMPUTED_VALUE"""),13326896)</f>
        <v>13326896</v>
      </c>
    </row>
    <row r="1198" spans="1:6" x14ac:dyDescent="0.2">
      <c r="A1198" s="2">
        <f ca="1">IFERROR(__xludf.DUMMYFUNCTION("""COMPUTED_VALUE"""),44014.6666666666)</f>
        <v>44014.666666666599</v>
      </c>
      <c r="B1198" s="1">
        <f ca="1">IFERROR(__xludf.DUMMYFUNCTION("""COMPUTED_VALUE"""),81.43)</f>
        <v>81.430000000000007</v>
      </c>
      <c r="C1198" s="1">
        <f ca="1">IFERROR(__xludf.DUMMYFUNCTION("""COMPUTED_VALUE"""),81.87)</f>
        <v>81.87</v>
      </c>
      <c r="D1198" s="1">
        <f ca="1">IFERROR(__xludf.DUMMYFUNCTION("""COMPUTED_VALUE"""),79.04)</f>
        <v>79.040000000000006</v>
      </c>
      <c r="E1198" s="1">
        <f ca="1">IFERROR(__xludf.DUMMYFUNCTION("""COMPUTED_VALUE"""),80.58)</f>
        <v>80.58</v>
      </c>
      <c r="F1198" s="1">
        <f ca="1">IFERROR(__xludf.DUMMYFUNCTION("""COMPUTED_VALUE"""),17250115)</f>
        <v>17250115</v>
      </c>
    </row>
    <row r="1199" spans="1:6" x14ac:dyDescent="0.2">
      <c r="A1199" s="2">
        <f ca="1">IFERROR(__xludf.DUMMYFUNCTION("""COMPUTED_VALUE"""),44018.6666666666)</f>
        <v>44018.666666666599</v>
      </c>
      <c r="B1199" s="1">
        <f ca="1">IFERROR(__xludf.DUMMYFUNCTION("""COMPUTED_VALUE"""),85.11)</f>
        <v>85.11</v>
      </c>
      <c r="C1199" s="1">
        <f ca="1">IFERROR(__xludf.DUMMYFUNCTION("""COMPUTED_VALUE"""),91.85)</f>
        <v>91.85</v>
      </c>
      <c r="D1199" s="1">
        <f ca="1">IFERROR(__xludf.DUMMYFUNCTION("""COMPUTED_VALUE"""),84.4)</f>
        <v>84.4</v>
      </c>
      <c r="E1199" s="1">
        <f ca="1">IFERROR(__xludf.DUMMYFUNCTION("""COMPUTED_VALUE"""),91.44)</f>
        <v>91.44</v>
      </c>
      <c r="F1199" s="1">
        <f ca="1">IFERROR(__xludf.DUMMYFUNCTION("""COMPUTED_VALUE"""),20569864)</f>
        <v>20569864</v>
      </c>
    </row>
    <row r="1200" spans="1:6" x14ac:dyDescent="0.2">
      <c r="A1200" s="2">
        <f ca="1">IFERROR(__xludf.DUMMYFUNCTION("""COMPUTED_VALUE"""),44019.6666666666)</f>
        <v>44019.666666666599</v>
      </c>
      <c r="B1200" s="1">
        <f ca="1">IFERROR(__xludf.DUMMYFUNCTION("""COMPUTED_VALUE"""),93.67)</f>
        <v>93.67</v>
      </c>
      <c r="C1200" s="1">
        <f ca="1">IFERROR(__xludf.DUMMYFUNCTION("""COMPUTED_VALUE"""),95.3)</f>
        <v>95.3</v>
      </c>
      <c r="D1200" s="1">
        <f ca="1">IFERROR(__xludf.DUMMYFUNCTION("""COMPUTED_VALUE"""),89.11)</f>
        <v>89.11</v>
      </c>
      <c r="E1200" s="1">
        <f ca="1">IFERROR(__xludf.DUMMYFUNCTION("""COMPUTED_VALUE"""),92.66)</f>
        <v>92.66</v>
      </c>
      <c r="F1200" s="1">
        <f ca="1">IFERROR(__xludf.DUMMYFUNCTION("""COMPUTED_VALUE"""),21489661)</f>
        <v>21489661</v>
      </c>
    </row>
    <row r="1201" spans="1:6" x14ac:dyDescent="0.2">
      <c r="A1201" s="2">
        <f ca="1">IFERROR(__xludf.DUMMYFUNCTION("""COMPUTED_VALUE"""),44020.6666666666)</f>
        <v>44020.666666666599</v>
      </c>
      <c r="B1201" s="1">
        <f ca="1">IFERROR(__xludf.DUMMYFUNCTION("""COMPUTED_VALUE"""),93.67)</f>
        <v>93.67</v>
      </c>
      <c r="C1201" s="1">
        <f ca="1">IFERROR(__xludf.DUMMYFUNCTION("""COMPUTED_VALUE"""),94.48)</f>
        <v>94.48</v>
      </c>
      <c r="D1201" s="1">
        <f ca="1">IFERROR(__xludf.DUMMYFUNCTION("""COMPUTED_VALUE"""),87.42)</f>
        <v>87.42</v>
      </c>
      <c r="E1201" s="1">
        <f ca="1">IFERROR(__xludf.DUMMYFUNCTION("""COMPUTED_VALUE"""),91.06)</f>
        <v>91.06</v>
      </c>
      <c r="F1201" s="1">
        <f ca="1">IFERROR(__xludf.DUMMYFUNCTION("""COMPUTED_VALUE"""),16311312)</f>
        <v>16311312</v>
      </c>
    </row>
    <row r="1202" spans="1:6" x14ac:dyDescent="0.2">
      <c r="A1202" s="2">
        <f ca="1">IFERROR(__xludf.DUMMYFUNCTION("""COMPUTED_VALUE"""),44021.6666666666)</f>
        <v>44021.666666666599</v>
      </c>
      <c r="B1202" s="1">
        <f ca="1">IFERROR(__xludf.DUMMYFUNCTION("""COMPUTED_VALUE"""),93.13)</f>
        <v>93.13</v>
      </c>
      <c r="C1202" s="1">
        <f ca="1">IFERROR(__xludf.DUMMYFUNCTION("""COMPUTED_VALUE"""),93.9)</f>
        <v>93.9</v>
      </c>
      <c r="D1202" s="1">
        <f ca="1">IFERROR(__xludf.DUMMYFUNCTION("""COMPUTED_VALUE"""),90.09)</f>
        <v>90.09</v>
      </c>
      <c r="E1202" s="1">
        <f ca="1">IFERROR(__xludf.DUMMYFUNCTION("""COMPUTED_VALUE"""),92.95)</f>
        <v>92.95</v>
      </c>
      <c r="F1202" s="1">
        <f ca="1">IFERROR(__xludf.DUMMYFUNCTION("""COMPUTED_VALUE"""),11717598)</f>
        <v>11717598</v>
      </c>
    </row>
    <row r="1203" spans="1:6" x14ac:dyDescent="0.2">
      <c r="A1203" s="2">
        <f ca="1">IFERROR(__xludf.DUMMYFUNCTION("""COMPUTED_VALUE"""),44022.6666666666)</f>
        <v>44022.666666666599</v>
      </c>
      <c r="B1203" s="1">
        <f ca="1">IFERROR(__xludf.DUMMYFUNCTION("""COMPUTED_VALUE"""),93.07)</f>
        <v>93.07</v>
      </c>
      <c r="C1203" s="1">
        <f ca="1">IFERROR(__xludf.DUMMYFUNCTION("""COMPUTED_VALUE"""),103.26)</f>
        <v>103.26</v>
      </c>
      <c r="D1203" s="1">
        <f ca="1">IFERROR(__xludf.DUMMYFUNCTION("""COMPUTED_VALUE"""),91.73)</f>
        <v>91.73</v>
      </c>
      <c r="E1203" s="1">
        <f ca="1">IFERROR(__xludf.DUMMYFUNCTION("""COMPUTED_VALUE"""),102.98)</f>
        <v>102.98</v>
      </c>
      <c r="F1203" s="1">
        <f ca="1">IFERROR(__xludf.DUMMYFUNCTION("""COMPUTED_VALUE"""),23337553)</f>
        <v>23337553</v>
      </c>
    </row>
    <row r="1204" spans="1:6" x14ac:dyDescent="0.2">
      <c r="A1204" s="2">
        <f ca="1">IFERROR(__xludf.DUMMYFUNCTION("""COMPUTED_VALUE"""),44025.6666666666)</f>
        <v>44025.666666666599</v>
      </c>
      <c r="B1204" s="1">
        <f ca="1">IFERROR(__xludf.DUMMYFUNCTION("""COMPUTED_VALUE"""),110.6)</f>
        <v>110.6</v>
      </c>
      <c r="C1204" s="1">
        <f ca="1">IFERROR(__xludf.DUMMYFUNCTION("""COMPUTED_VALUE"""),119.67)</f>
        <v>119.67</v>
      </c>
      <c r="D1204" s="1">
        <f ca="1">IFERROR(__xludf.DUMMYFUNCTION("""COMPUTED_VALUE"""),98.07)</f>
        <v>98.07</v>
      </c>
      <c r="E1204" s="1">
        <f ca="1">IFERROR(__xludf.DUMMYFUNCTION("""COMPUTED_VALUE"""),99.8)</f>
        <v>99.8</v>
      </c>
      <c r="F1204" s="1">
        <f ca="1">IFERROR(__xludf.DUMMYFUNCTION("""COMPUTED_VALUE"""),38985362)</f>
        <v>38985362</v>
      </c>
    </row>
    <row r="1205" spans="1:6" x14ac:dyDescent="0.2">
      <c r="A1205" s="2">
        <f ca="1">IFERROR(__xludf.DUMMYFUNCTION("""COMPUTED_VALUE"""),44026.6666666666)</f>
        <v>44026.666666666599</v>
      </c>
      <c r="B1205" s="1">
        <f ca="1">IFERROR(__xludf.DUMMYFUNCTION("""COMPUTED_VALUE"""),103.73)</f>
        <v>103.73</v>
      </c>
      <c r="C1205" s="1">
        <f ca="1">IFERROR(__xludf.DUMMYFUNCTION("""COMPUTED_VALUE"""),106)</f>
        <v>106</v>
      </c>
      <c r="D1205" s="1">
        <f ca="1">IFERROR(__xludf.DUMMYFUNCTION("""COMPUTED_VALUE"""),95.4)</f>
        <v>95.4</v>
      </c>
      <c r="E1205" s="1">
        <f ca="1">IFERROR(__xludf.DUMMYFUNCTION("""COMPUTED_VALUE"""),101.12)</f>
        <v>101.12</v>
      </c>
      <c r="F1205" s="1">
        <f ca="1">IFERROR(__xludf.DUMMYFUNCTION("""COMPUTED_VALUE"""),23418140)</f>
        <v>23418140</v>
      </c>
    </row>
    <row r="1206" spans="1:6" x14ac:dyDescent="0.2">
      <c r="A1206" s="2">
        <f ca="1">IFERROR(__xludf.DUMMYFUNCTION("""COMPUTED_VALUE"""),44027.6666666666)</f>
        <v>44027.666666666599</v>
      </c>
      <c r="B1206" s="1">
        <f ca="1">IFERROR(__xludf.DUMMYFUNCTION("""COMPUTED_VALUE"""),102.87)</f>
        <v>102.87</v>
      </c>
      <c r="C1206" s="1">
        <f ca="1">IFERROR(__xludf.DUMMYFUNCTION("""COMPUTED_VALUE"""),103.33)</f>
        <v>103.33</v>
      </c>
      <c r="D1206" s="1">
        <f ca="1">IFERROR(__xludf.DUMMYFUNCTION("""COMPUTED_VALUE"""),97.13)</f>
        <v>97.13</v>
      </c>
      <c r="E1206" s="1">
        <f ca="1">IFERROR(__xludf.DUMMYFUNCTION("""COMPUTED_VALUE"""),103.07)</f>
        <v>103.07</v>
      </c>
      <c r="F1206" s="1">
        <f ca="1">IFERROR(__xludf.DUMMYFUNCTION("""COMPUTED_VALUE"""),16367829)</f>
        <v>16367829</v>
      </c>
    </row>
    <row r="1207" spans="1:6" x14ac:dyDescent="0.2">
      <c r="A1207" s="2">
        <f ca="1">IFERROR(__xludf.DUMMYFUNCTION("""COMPUTED_VALUE"""),44028.6666666666)</f>
        <v>44028.666666666599</v>
      </c>
      <c r="B1207" s="1">
        <f ca="1">IFERROR(__xludf.DUMMYFUNCTION("""COMPUTED_VALUE"""),98.48)</f>
        <v>98.48</v>
      </c>
      <c r="C1207" s="1">
        <f ca="1">IFERROR(__xludf.DUMMYFUNCTION("""COMPUTED_VALUE"""),102.11)</f>
        <v>102.11</v>
      </c>
      <c r="D1207" s="1">
        <f ca="1">IFERROR(__xludf.DUMMYFUNCTION("""COMPUTED_VALUE"""),97.73)</f>
        <v>97.73</v>
      </c>
      <c r="E1207" s="1">
        <f ca="1">IFERROR(__xludf.DUMMYFUNCTION("""COMPUTED_VALUE"""),100.04)</f>
        <v>100.04</v>
      </c>
      <c r="F1207" s="1">
        <f ca="1">IFERROR(__xludf.DUMMYFUNCTION("""COMPUTED_VALUE"""),14300785)</f>
        <v>14300785</v>
      </c>
    </row>
    <row r="1208" spans="1:6" x14ac:dyDescent="0.2">
      <c r="A1208" s="2">
        <f ca="1">IFERROR(__xludf.DUMMYFUNCTION("""COMPUTED_VALUE"""),44029.6666666666)</f>
        <v>44029.666666666599</v>
      </c>
      <c r="B1208" s="1">
        <f ca="1">IFERROR(__xludf.DUMMYFUNCTION("""COMPUTED_VALUE"""),100.9)</f>
        <v>100.9</v>
      </c>
      <c r="C1208" s="1">
        <f ca="1">IFERROR(__xludf.DUMMYFUNCTION("""COMPUTED_VALUE"""),102.5)</f>
        <v>102.5</v>
      </c>
      <c r="D1208" s="1">
        <f ca="1">IFERROR(__xludf.DUMMYFUNCTION("""COMPUTED_VALUE"""),99.33)</f>
        <v>99.33</v>
      </c>
      <c r="E1208" s="1">
        <f ca="1">IFERROR(__xludf.DUMMYFUNCTION("""COMPUTED_VALUE"""),100.06)</f>
        <v>100.06</v>
      </c>
      <c r="F1208" s="1">
        <f ca="1">IFERROR(__xludf.DUMMYFUNCTION("""COMPUTED_VALUE"""),9329972)</f>
        <v>9329972</v>
      </c>
    </row>
    <row r="1209" spans="1:6" x14ac:dyDescent="0.2">
      <c r="A1209" s="2">
        <f ca="1">IFERROR(__xludf.DUMMYFUNCTION("""COMPUTED_VALUE"""),44032.6666666666)</f>
        <v>44032.666666666599</v>
      </c>
      <c r="B1209" s="1">
        <f ca="1">IFERROR(__xludf.DUMMYFUNCTION("""COMPUTED_VALUE"""),101.27)</f>
        <v>101.27</v>
      </c>
      <c r="C1209" s="1">
        <f ca="1">IFERROR(__xludf.DUMMYFUNCTION("""COMPUTED_VALUE"""),110)</f>
        <v>110</v>
      </c>
      <c r="D1209" s="1">
        <f ca="1">IFERROR(__xludf.DUMMYFUNCTION("""COMPUTED_VALUE"""),99.2)</f>
        <v>99.2</v>
      </c>
      <c r="E1209" s="1">
        <f ca="1">IFERROR(__xludf.DUMMYFUNCTION("""COMPUTED_VALUE"""),109.53)</f>
        <v>109.53</v>
      </c>
      <c r="F1209" s="1">
        <f ca="1">IFERROR(__xludf.DUMMYFUNCTION("""COMPUTED_VALUE"""),17121367)</f>
        <v>17121367</v>
      </c>
    </row>
    <row r="1210" spans="1:6" x14ac:dyDescent="0.2">
      <c r="A1210" s="2">
        <f ca="1">IFERROR(__xludf.DUMMYFUNCTION("""COMPUTED_VALUE"""),44033.6666666666)</f>
        <v>44033.666666666599</v>
      </c>
      <c r="B1210" s="1">
        <f ca="1">IFERROR(__xludf.DUMMYFUNCTION("""COMPUTED_VALUE"""),109.33)</f>
        <v>109.33</v>
      </c>
      <c r="C1210" s="1">
        <f ca="1">IFERROR(__xludf.DUMMYFUNCTION("""COMPUTED_VALUE"""),111.67)</f>
        <v>111.67</v>
      </c>
      <c r="D1210" s="1">
        <f ca="1">IFERROR(__xludf.DUMMYFUNCTION("""COMPUTED_VALUE"""),103.87)</f>
        <v>103.87</v>
      </c>
      <c r="E1210" s="1">
        <f ca="1">IFERROR(__xludf.DUMMYFUNCTION("""COMPUTED_VALUE"""),104.56)</f>
        <v>104.56</v>
      </c>
      <c r="F1210" s="1">
        <f ca="1">IFERROR(__xludf.DUMMYFUNCTION("""COMPUTED_VALUE"""),16157280)</f>
        <v>16157280</v>
      </c>
    </row>
    <row r="1211" spans="1:6" x14ac:dyDescent="0.2">
      <c r="A1211" s="2">
        <f ca="1">IFERROR(__xludf.DUMMYFUNCTION("""COMPUTED_VALUE"""),44034.6666666666)</f>
        <v>44034.666666666599</v>
      </c>
      <c r="B1211" s="1">
        <f ca="1">IFERROR(__xludf.DUMMYFUNCTION("""COMPUTED_VALUE"""),106.6)</f>
        <v>106.6</v>
      </c>
      <c r="C1211" s="1">
        <f ca="1">IFERROR(__xludf.DUMMYFUNCTION("""COMPUTED_VALUE"""),108.43)</f>
        <v>108.43</v>
      </c>
      <c r="D1211" s="1">
        <f ca="1">IFERROR(__xludf.DUMMYFUNCTION("""COMPUTED_VALUE"""),104.13)</f>
        <v>104.13</v>
      </c>
      <c r="E1211" s="1">
        <f ca="1">IFERROR(__xludf.DUMMYFUNCTION("""COMPUTED_VALUE"""),106.16)</f>
        <v>106.16</v>
      </c>
      <c r="F1211" s="1">
        <f ca="1">IFERROR(__xludf.DUMMYFUNCTION("""COMPUTED_VALUE"""),14161080)</f>
        <v>14161080</v>
      </c>
    </row>
    <row r="1212" spans="1:6" x14ac:dyDescent="0.2">
      <c r="A1212" s="2">
        <f ca="1">IFERROR(__xludf.DUMMYFUNCTION("""COMPUTED_VALUE"""),44035.6666666666)</f>
        <v>44035.666666666599</v>
      </c>
      <c r="B1212" s="1">
        <f ca="1">IFERROR(__xludf.DUMMYFUNCTION("""COMPUTED_VALUE"""),111.93)</f>
        <v>111.93</v>
      </c>
      <c r="C1212" s="1">
        <f ca="1">IFERROR(__xludf.DUMMYFUNCTION("""COMPUTED_VALUE"""),112.6)</f>
        <v>112.6</v>
      </c>
      <c r="D1212" s="1">
        <f ca="1">IFERROR(__xludf.DUMMYFUNCTION("""COMPUTED_VALUE"""),98.72)</f>
        <v>98.72</v>
      </c>
      <c r="E1212" s="1">
        <f ca="1">IFERROR(__xludf.DUMMYFUNCTION("""COMPUTED_VALUE"""),100.87)</f>
        <v>100.87</v>
      </c>
      <c r="F1212" s="1">
        <f ca="1">IFERROR(__xludf.DUMMYFUNCTION("""COMPUTED_VALUE"""),24328504)</f>
        <v>24328504</v>
      </c>
    </row>
    <row r="1213" spans="1:6" x14ac:dyDescent="0.2">
      <c r="A1213" s="2">
        <f ca="1">IFERROR(__xludf.DUMMYFUNCTION("""COMPUTED_VALUE"""),44036.6666666666)</f>
        <v>44036.666666666599</v>
      </c>
      <c r="B1213" s="1">
        <f ca="1">IFERROR(__xludf.DUMMYFUNCTION("""COMPUTED_VALUE"""),94.4)</f>
        <v>94.4</v>
      </c>
      <c r="C1213" s="1">
        <f ca="1">IFERROR(__xludf.DUMMYFUNCTION("""COMPUTED_VALUE"""),97.67)</f>
        <v>97.67</v>
      </c>
      <c r="D1213" s="1">
        <f ca="1">IFERROR(__xludf.DUMMYFUNCTION("""COMPUTED_VALUE"""),91.1)</f>
        <v>91.1</v>
      </c>
      <c r="E1213" s="1">
        <f ca="1">IFERROR(__xludf.DUMMYFUNCTION("""COMPUTED_VALUE"""),94.47)</f>
        <v>94.47</v>
      </c>
      <c r="F1213" s="1">
        <f ca="1">IFERROR(__xludf.DUMMYFUNCTION("""COMPUTED_VALUE"""),19396616)</f>
        <v>19396616</v>
      </c>
    </row>
    <row r="1214" spans="1:6" x14ac:dyDescent="0.2">
      <c r="A1214" s="2">
        <f ca="1">IFERROR(__xludf.DUMMYFUNCTION("""COMPUTED_VALUE"""),44039.6666666666)</f>
        <v>44039.666666666599</v>
      </c>
      <c r="B1214" s="1">
        <f ca="1">IFERROR(__xludf.DUMMYFUNCTION("""COMPUTED_VALUE"""),95.67)</f>
        <v>95.67</v>
      </c>
      <c r="C1214" s="1">
        <f ca="1">IFERROR(__xludf.DUMMYFUNCTION("""COMPUTED_VALUE"""),103.2)</f>
        <v>103.2</v>
      </c>
      <c r="D1214" s="1">
        <f ca="1">IFERROR(__xludf.DUMMYFUNCTION("""COMPUTED_VALUE"""),94.2)</f>
        <v>94.2</v>
      </c>
      <c r="E1214" s="1">
        <f ca="1">IFERROR(__xludf.DUMMYFUNCTION("""COMPUTED_VALUE"""),102.64)</f>
        <v>102.64</v>
      </c>
      <c r="F1214" s="1">
        <f ca="1">IFERROR(__xludf.DUMMYFUNCTION("""COMPUTED_VALUE"""),16048669)</f>
        <v>16048669</v>
      </c>
    </row>
    <row r="1215" spans="1:6" x14ac:dyDescent="0.2">
      <c r="A1215" s="2">
        <f ca="1">IFERROR(__xludf.DUMMYFUNCTION("""COMPUTED_VALUE"""),44040.6666666666)</f>
        <v>44040.666666666599</v>
      </c>
      <c r="B1215" s="1">
        <f ca="1">IFERROR(__xludf.DUMMYFUNCTION("""COMPUTED_VALUE"""),100.27)</f>
        <v>100.27</v>
      </c>
      <c r="C1215" s="1">
        <f ca="1">IFERROR(__xludf.DUMMYFUNCTION("""COMPUTED_VALUE"""),104.31)</f>
        <v>104.31</v>
      </c>
      <c r="D1215" s="1">
        <f ca="1">IFERROR(__xludf.DUMMYFUNCTION("""COMPUTED_VALUE"""),98.29)</f>
        <v>98.29</v>
      </c>
      <c r="E1215" s="1">
        <f ca="1">IFERROR(__xludf.DUMMYFUNCTION("""COMPUTED_VALUE"""),98.43)</f>
        <v>98.43</v>
      </c>
      <c r="F1215" s="1">
        <f ca="1">IFERROR(__xludf.DUMMYFUNCTION("""COMPUTED_VALUE"""),15808700)</f>
        <v>15808700</v>
      </c>
    </row>
    <row r="1216" spans="1:6" x14ac:dyDescent="0.2">
      <c r="A1216" s="2">
        <f ca="1">IFERROR(__xludf.DUMMYFUNCTION("""COMPUTED_VALUE"""),44041.6666666666)</f>
        <v>44041.666666666599</v>
      </c>
      <c r="B1216" s="1">
        <f ca="1">IFERROR(__xludf.DUMMYFUNCTION("""COMPUTED_VALUE"""),100.07)</f>
        <v>100.07</v>
      </c>
      <c r="C1216" s="1">
        <f ca="1">IFERROR(__xludf.DUMMYFUNCTION("""COMPUTED_VALUE"""),102.32)</f>
        <v>102.32</v>
      </c>
      <c r="D1216" s="1">
        <f ca="1">IFERROR(__xludf.DUMMYFUNCTION("""COMPUTED_VALUE"""),99.13)</f>
        <v>99.13</v>
      </c>
      <c r="E1216" s="1">
        <f ca="1">IFERROR(__xludf.DUMMYFUNCTION("""COMPUTED_VALUE"""),99.94)</f>
        <v>99.94</v>
      </c>
      <c r="F1216" s="1">
        <f ca="1">IFERROR(__xludf.DUMMYFUNCTION("""COMPUTED_VALUE"""),9426893)</f>
        <v>9426893</v>
      </c>
    </row>
    <row r="1217" spans="1:6" x14ac:dyDescent="0.2">
      <c r="A1217" s="2">
        <f ca="1">IFERROR(__xludf.DUMMYFUNCTION("""COMPUTED_VALUE"""),44042.6666666666)</f>
        <v>44042.666666666599</v>
      </c>
      <c r="B1217" s="1">
        <f ca="1">IFERROR(__xludf.DUMMYFUNCTION("""COMPUTED_VALUE"""),99.2)</f>
        <v>99.2</v>
      </c>
      <c r="C1217" s="1">
        <f ca="1">IFERROR(__xludf.DUMMYFUNCTION("""COMPUTED_VALUE"""),100.88)</f>
        <v>100.88</v>
      </c>
      <c r="D1217" s="1">
        <f ca="1">IFERROR(__xludf.DUMMYFUNCTION("""COMPUTED_VALUE"""),98.07)</f>
        <v>98.07</v>
      </c>
      <c r="E1217" s="1">
        <f ca="1">IFERROR(__xludf.DUMMYFUNCTION("""COMPUTED_VALUE"""),99.17)</f>
        <v>99.17</v>
      </c>
      <c r="F1217" s="1">
        <f ca="1">IFERROR(__xludf.DUMMYFUNCTION("""COMPUTED_VALUE"""),7621039)</f>
        <v>7621039</v>
      </c>
    </row>
    <row r="1218" spans="1:6" x14ac:dyDescent="0.2">
      <c r="A1218" s="2">
        <f ca="1">IFERROR(__xludf.DUMMYFUNCTION("""COMPUTED_VALUE"""),44043.6666666666)</f>
        <v>44043.666666666599</v>
      </c>
      <c r="B1218" s="1">
        <f ca="1">IFERROR(__xludf.DUMMYFUNCTION("""COMPUTED_VALUE"""),101)</f>
        <v>101</v>
      </c>
      <c r="C1218" s="1">
        <f ca="1">IFERROR(__xludf.DUMMYFUNCTION("""COMPUTED_VALUE"""),101.14)</f>
        <v>101.14</v>
      </c>
      <c r="D1218" s="1">
        <f ca="1">IFERROR(__xludf.DUMMYFUNCTION("""COMPUTED_VALUE"""),94.73)</f>
        <v>94.73</v>
      </c>
      <c r="E1218" s="1">
        <f ca="1">IFERROR(__xludf.DUMMYFUNCTION("""COMPUTED_VALUE"""),95.38)</f>
        <v>95.38</v>
      </c>
      <c r="F1218" s="1">
        <f ca="1">IFERROR(__xludf.DUMMYFUNCTION("""COMPUTED_VALUE"""),12246960)</f>
        <v>12246960</v>
      </c>
    </row>
    <row r="1219" spans="1:6" x14ac:dyDescent="0.2">
      <c r="A1219" s="2">
        <f ca="1">IFERROR(__xludf.DUMMYFUNCTION("""COMPUTED_VALUE"""),44046.6666666666)</f>
        <v>44046.666666666599</v>
      </c>
      <c r="B1219" s="1">
        <f ca="1">IFERROR(__xludf.DUMMYFUNCTION("""COMPUTED_VALUE"""),96.61)</f>
        <v>96.61</v>
      </c>
      <c r="C1219" s="1">
        <f ca="1">IFERROR(__xludf.DUMMYFUNCTION("""COMPUTED_VALUE"""),100.65)</f>
        <v>100.65</v>
      </c>
      <c r="D1219" s="1">
        <f ca="1">IFERROR(__xludf.DUMMYFUNCTION("""COMPUTED_VALUE"""),96.29)</f>
        <v>96.29</v>
      </c>
      <c r="E1219" s="1">
        <f ca="1">IFERROR(__xludf.DUMMYFUNCTION("""COMPUTED_VALUE"""),99)</f>
        <v>99</v>
      </c>
      <c r="F1219" s="1">
        <f ca="1">IFERROR(__xludf.DUMMYFUNCTION("""COMPUTED_VALUE"""),8809346)</f>
        <v>8809346</v>
      </c>
    </row>
    <row r="1220" spans="1:6" x14ac:dyDescent="0.2">
      <c r="A1220" s="2">
        <f ca="1">IFERROR(__xludf.DUMMYFUNCTION("""COMPUTED_VALUE"""),44047.6666666666)</f>
        <v>44047.666666666599</v>
      </c>
      <c r="B1220" s="1">
        <f ca="1">IFERROR(__xludf.DUMMYFUNCTION("""COMPUTED_VALUE"""),99.67)</f>
        <v>99.67</v>
      </c>
      <c r="C1220" s="1">
        <f ca="1">IFERROR(__xludf.DUMMYFUNCTION("""COMPUTED_VALUE"""),101.83)</f>
        <v>101.83</v>
      </c>
      <c r="D1220" s="1">
        <f ca="1">IFERROR(__xludf.DUMMYFUNCTION("""COMPUTED_VALUE"""),97.47)</f>
        <v>97.47</v>
      </c>
      <c r="E1220" s="1">
        <f ca="1">IFERROR(__xludf.DUMMYFUNCTION("""COMPUTED_VALUE"""),99.13)</f>
        <v>99.13</v>
      </c>
      <c r="F1220" s="1">
        <f ca="1">IFERROR(__xludf.DUMMYFUNCTION("""COMPUTED_VALUE"""),8414990)</f>
        <v>8414990</v>
      </c>
    </row>
    <row r="1221" spans="1:6" x14ac:dyDescent="0.2">
      <c r="A1221" s="2">
        <f ca="1">IFERROR(__xludf.DUMMYFUNCTION("""COMPUTED_VALUE"""),44048.6666666666)</f>
        <v>44048.666666666599</v>
      </c>
      <c r="B1221" s="1">
        <f ca="1">IFERROR(__xludf.DUMMYFUNCTION("""COMPUTED_VALUE"""),99.53)</f>
        <v>99.53</v>
      </c>
      <c r="C1221" s="1">
        <f ca="1">IFERROR(__xludf.DUMMYFUNCTION("""COMPUTED_VALUE"""),99.99)</f>
        <v>99.99</v>
      </c>
      <c r="D1221" s="1">
        <f ca="1">IFERROR(__xludf.DUMMYFUNCTION("""COMPUTED_VALUE"""),97.89)</f>
        <v>97.89</v>
      </c>
      <c r="E1221" s="1">
        <f ca="1">IFERROR(__xludf.DUMMYFUNCTION("""COMPUTED_VALUE"""),99)</f>
        <v>99</v>
      </c>
      <c r="F1221" s="1">
        <f ca="1">IFERROR(__xludf.DUMMYFUNCTION("""COMPUTED_VALUE"""),4978015)</f>
        <v>4978015</v>
      </c>
    </row>
    <row r="1222" spans="1:6" x14ac:dyDescent="0.2">
      <c r="A1222" s="2">
        <f ca="1">IFERROR(__xludf.DUMMYFUNCTION("""COMPUTED_VALUE"""),44049.6666666666)</f>
        <v>44049.666666666599</v>
      </c>
      <c r="B1222" s="1">
        <f ca="1">IFERROR(__xludf.DUMMYFUNCTION("""COMPUTED_VALUE"""),99.39)</f>
        <v>99.39</v>
      </c>
      <c r="C1222" s="1">
        <f ca="1">IFERROR(__xludf.DUMMYFUNCTION("""COMPUTED_VALUE"""),101.15)</f>
        <v>101.15</v>
      </c>
      <c r="D1222" s="1">
        <f ca="1">IFERROR(__xludf.DUMMYFUNCTION("""COMPUTED_VALUE"""),98.48)</f>
        <v>98.48</v>
      </c>
      <c r="E1222" s="1">
        <f ca="1">IFERROR(__xludf.DUMMYFUNCTION("""COMPUTED_VALUE"""),99.31)</f>
        <v>99.31</v>
      </c>
      <c r="F1222" s="1">
        <f ca="1">IFERROR(__xludf.DUMMYFUNCTION("""COMPUTED_VALUE"""),5992313)</f>
        <v>5992313</v>
      </c>
    </row>
    <row r="1223" spans="1:6" x14ac:dyDescent="0.2">
      <c r="A1223" s="2">
        <f ca="1">IFERROR(__xludf.DUMMYFUNCTION("""COMPUTED_VALUE"""),44050.6666666666)</f>
        <v>44050.666666666599</v>
      </c>
      <c r="B1223" s="1">
        <f ca="1">IFERROR(__xludf.DUMMYFUNCTION("""COMPUTED_VALUE"""),99.97)</f>
        <v>99.97</v>
      </c>
      <c r="C1223" s="1">
        <f ca="1">IFERROR(__xludf.DUMMYFUNCTION("""COMPUTED_VALUE"""),99.98)</f>
        <v>99.98</v>
      </c>
      <c r="D1223" s="1">
        <f ca="1">IFERROR(__xludf.DUMMYFUNCTION("""COMPUTED_VALUE"""),94.33)</f>
        <v>94.33</v>
      </c>
      <c r="E1223" s="1">
        <f ca="1">IFERROR(__xludf.DUMMYFUNCTION("""COMPUTED_VALUE"""),96.85)</f>
        <v>96.85</v>
      </c>
      <c r="F1223" s="1">
        <f ca="1">IFERROR(__xludf.DUMMYFUNCTION("""COMPUTED_VALUE"""),8896420)</f>
        <v>8896420</v>
      </c>
    </row>
    <row r="1224" spans="1:6" x14ac:dyDescent="0.2">
      <c r="A1224" s="2">
        <f ca="1">IFERROR(__xludf.DUMMYFUNCTION("""COMPUTED_VALUE"""),44053.6666666666)</f>
        <v>44053.666666666599</v>
      </c>
      <c r="B1224" s="1">
        <f ca="1">IFERROR(__xludf.DUMMYFUNCTION("""COMPUTED_VALUE"""),96.53)</f>
        <v>96.53</v>
      </c>
      <c r="C1224" s="1">
        <f ca="1">IFERROR(__xludf.DUMMYFUNCTION("""COMPUTED_VALUE"""),97.17)</f>
        <v>97.17</v>
      </c>
      <c r="D1224" s="1">
        <f ca="1">IFERROR(__xludf.DUMMYFUNCTION("""COMPUTED_VALUE"""),92.39)</f>
        <v>92.39</v>
      </c>
      <c r="E1224" s="1">
        <f ca="1">IFERROR(__xludf.DUMMYFUNCTION("""COMPUTED_VALUE"""),94.57)</f>
        <v>94.57</v>
      </c>
      <c r="F1224" s="1">
        <f ca="1">IFERROR(__xludf.DUMMYFUNCTION("""COMPUTED_VALUE"""),7522264)</f>
        <v>7522264</v>
      </c>
    </row>
    <row r="1225" spans="1:6" x14ac:dyDescent="0.2">
      <c r="A1225" s="2">
        <f ca="1">IFERROR(__xludf.DUMMYFUNCTION("""COMPUTED_VALUE"""),44054.6666666666)</f>
        <v>44054.666666666599</v>
      </c>
      <c r="B1225" s="1">
        <f ca="1">IFERROR(__xludf.DUMMYFUNCTION("""COMPUTED_VALUE"""),93.07)</f>
        <v>93.07</v>
      </c>
      <c r="C1225" s="1">
        <f ca="1">IFERROR(__xludf.DUMMYFUNCTION("""COMPUTED_VALUE"""),94.67)</f>
        <v>94.67</v>
      </c>
      <c r="D1225" s="1">
        <f ca="1">IFERROR(__xludf.DUMMYFUNCTION("""COMPUTED_VALUE"""),91)</f>
        <v>91</v>
      </c>
      <c r="E1225" s="1">
        <f ca="1">IFERROR(__xludf.DUMMYFUNCTION("""COMPUTED_VALUE"""),91.63)</f>
        <v>91.63</v>
      </c>
      <c r="F1225" s="1">
        <f ca="1">IFERROR(__xludf.DUMMYFUNCTION("""COMPUTED_VALUE"""),8625834)</f>
        <v>8625834</v>
      </c>
    </row>
    <row r="1226" spans="1:6" x14ac:dyDescent="0.2">
      <c r="A1226" s="2">
        <f ca="1">IFERROR(__xludf.DUMMYFUNCTION("""COMPUTED_VALUE"""),44055.6666666666)</f>
        <v>44055.666666666599</v>
      </c>
      <c r="B1226" s="1">
        <f ca="1">IFERROR(__xludf.DUMMYFUNCTION("""COMPUTED_VALUE"""),98)</f>
        <v>98</v>
      </c>
      <c r="C1226" s="1">
        <f ca="1">IFERROR(__xludf.DUMMYFUNCTION("""COMPUTED_VALUE"""),105.67)</f>
        <v>105.67</v>
      </c>
      <c r="D1226" s="1">
        <f ca="1">IFERROR(__xludf.DUMMYFUNCTION("""COMPUTED_VALUE"""),95.67)</f>
        <v>95.67</v>
      </c>
      <c r="E1226" s="1">
        <f ca="1">IFERROR(__xludf.DUMMYFUNCTION("""COMPUTED_VALUE"""),103.65)</f>
        <v>103.65</v>
      </c>
      <c r="F1226" s="1">
        <f ca="1">IFERROR(__xludf.DUMMYFUNCTION("""COMPUTED_VALUE"""),21898834)</f>
        <v>21898834</v>
      </c>
    </row>
    <row r="1227" spans="1:6" x14ac:dyDescent="0.2">
      <c r="A1227" s="2">
        <f ca="1">IFERROR(__xludf.DUMMYFUNCTION("""COMPUTED_VALUE"""),44056.6666666666)</f>
        <v>44056.666666666599</v>
      </c>
      <c r="B1227" s="1">
        <f ca="1">IFERROR(__xludf.DUMMYFUNCTION("""COMPUTED_VALUE"""),107.4)</f>
        <v>107.4</v>
      </c>
      <c r="C1227" s="1">
        <f ca="1">IFERROR(__xludf.DUMMYFUNCTION("""COMPUTED_VALUE"""),110.08)</f>
        <v>110.08</v>
      </c>
      <c r="D1227" s="1">
        <f ca="1">IFERROR(__xludf.DUMMYFUNCTION("""COMPUTED_VALUE"""),104.48)</f>
        <v>104.48</v>
      </c>
      <c r="E1227" s="1">
        <f ca="1">IFERROR(__xludf.DUMMYFUNCTION("""COMPUTED_VALUE"""),108.07)</f>
        <v>108.07</v>
      </c>
      <c r="F1227" s="1">
        <f ca="1">IFERROR(__xludf.DUMMYFUNCTION("""COMPUTED_VALUE"""),20425308)</f>
        <v>20425308</v>
      </c>
    </row>
    <row r="1228" spans="1:6" x14ac:dyDescent="0.2">
      <c r="A1228" s="2">
        <f ca="1">IFERROR(__xludf.DUMMYFUNCTION("""COMPUTED_VALUE"""),44057.6666666666)</f>
        <v>44057.666666666599</v>
      </c>
      <c r="B1228" s="1">
        <f ca="1">IFERROR(__xludf.DUMMYFUNCTION("""COMPUTED_VALUE"""),111)</f>
        <v>111</v>
      </c>
      <c r="C1228" s="1">
        <f ca="1">IFERROR(__xludf.DUMMYFUNCTION("""COMPUTED_VALUE"""),111.25)</f>
        <v>111.25</v>
      </c>
      <c r="D1228" s="1">
        <f ca="1">IFERROR(__xludf.DUMMYFUNCTION("""COMPUTED_VALUE"""),108.44)</f>
        <v>108.44</v>
      </c>
      <c r="E1228" s="1">
        <f ca="1">IFERROR(__xludf.DUMMYFUNCTION("""COMPUTED_VALUE"""),110.05)</f>
        <v>110.05</v>
      </c>
      <c r="F1228" s="1">
        <f ca="1">IFERROR(__xludf.DUMMYFUNCTION("""COMPUTED_VALUE"""),12577614)</f>
        <v>12577614</v>
      </c>
    </row>
    <row r="1229" spans="1:6" x14ac:dyDescent="0.2">
      <c r="A1229" s="2">
        <f ca="1">IFERROR(__xludf.DUMMYFUNCTION("""COMPUTED_VALUE"""),44060.6666666666)</f>
        <v>44060.666666666599</v>
      </c>
      <c r="B1229" s="1">
        <f ca="1">IFERROR(__xludf.DUMMYFUNCTION("""COMPUTED_VALUE"""),111.8)</f>
        <v>111.8</v>
      </c>
      <c r="C1229" s="1">
        <f ca="1">IFERROR(__xludf.DUMMYFUNCTION("""COMPUTED_VALUE"""),123.06)</f>
        <v>123.06</v>
      </c>
      <c r="D1229" s="1">
        <f ca="1">IFERROR(__xludf.DUMMYFUNCTION("""COMPUTED_VALUE"""),111.52)</f>
        <v>111.52</v>
      </c>
      <c r="E1229" s="1">
        <f ca="1">IFERROR(__xludf.DUMMYFUNCTION("""COMPUTED_VALUE"""),122.38)</f>
        <v>122.38</v>
      </c>
      <c r="F1229" s="1">
        <f ca="1">IFERROR(__xludf.DUMMYFUNCTION("""COMPUTED_VALUE"""),20242323)</f>
        <v>20242323</v>
      </c>
    </row>
    <row r="1230" spans="1:6" x14ac:dyDescent="0.2">
      <c r="A1230" s="2">
        <f ca="1">IFERROR(__xludf.DUMMYFUNCTION("""COMPUTED_VALUE"""),44061.6666666666)</f>
        <v>44061.666666666599</v>
      </c>
      <c r="B1230" s="1">
        <f ca="1">IFERROR(__xludf.DUMMYFUNCTION("""COMPUTED_VALUE"""),126.6)</f>
        <v>126.6</v>
      </c>
      <c r="C1230" s="1">
        <f ca="1">IFERROR(__xludf.DUMMYFUNCTION("""COMPUTED_VALUE"""),128.26)</f>
        <v>128.26</v>
      </c>
      <c r="D1230" s="1">
        <f ca="1">IFERROR(__xludf.DUMMYFUNCTION("""COMPUTED_VALUE"""),123.01)</f>
        <v>123.01</v>
      </c>
      <c r="E1230" s="1">
        <f ca="1">IFERROR(__xludf.DUMMYFUNCTION("""COMPUTED_VALUE"""),125.81)</f>
        <v>125.81</v>
      </c>
      <c r="F1230" s="1">
        <f ca="1">IFERROR(__xludf.DUMMYFUNCTION("""COMPUTED_VALUE"""),16474491)</f>
        <v>16474491</v>
      </c>
    </row>
    <row r="1231" spans="1:6" x14ac:dyDescent="0.2">
      <c r="A1231" s="2">
        <f ca="1">IFERROR(__xludf.DUMMYFUNCTION("""COMPUTED_VALUE"""),44062.6666666666)</f>
        <v>44062.666666666599</v>
      </c>
      <c r="B1231" s="1">
        <f ca="1">IFERROR(__xludf.DUMMYFUNCTION("""COMPUTED_VALUE"""),124.33)</f>
        <v>124.33</v>
      </c>
      <c r="C1231" s="1">
        <f ca="1">IFERROR(__xludf.DUMMYFUNCTION("""COMPUTED_VALUE"""),127.4)</f>
        <v>127.4</v>
      </c>
      <c r="D1231" s="1">
        <f ca="1">IFERROR(__xludf.DUMMYFUNCTION("""COMPUTED_VALUE"""),122.75)</f>
        <v>122.75</v>
      </c>
      <c r="E1231" s="1">
        <f ca="1">IFERROR(__xludf.DUMMYFUNCTION("""COMPUTED_VALUE"""),125.24)</f>
        <v>125.24</v>
      </c>
      <c r="F1231" s="1">
        <f ca="1">IFERROR(__xludf.DUMMYFUNCTION("""COMPUTED_VALUE"""),12205331)</f>
        <v>12205331</v>
      </c>
    </row>
    <row r="1232" spans="1:6" x14ac:dyDescent="0.2">
      <c r="A1232" s="2">
        <f ca="1">IFERROR(__xludf.DUMMYFUNCTION("""COMPUTED_VALUE"""),44063.6666666666)</f>
        <v>44063.666666666599</v>
      </c>
      <c r="B1232" s="1">
        <f ca="1">IFERROR(__xludf.DUMMYFUNCTION("""COMPUTED_VALUE"""),124.05)</f>
        <v>124.05</v>
      </c>
      <c r="C1232" s="1">
        <f ca="1">IFERROR(__xludf.DUMMYFUNCTION("""COMPUTED_VALUE"""),134.8)</f>
        <v>134.80000000000001</v>
      </c>
      <c r="D1232" s="1">
        <f ca="1">IFERROR(__xludf.DUMMYFUNCTION("""COMPUTED_VALUE"""),123.8)</f>
        <v>123.8</v>
      </c>
      <c r="E1232" s="1">
        <f ca="1">IFERROR(__xludf.DUMMYFUNCTION("""COMPUTED_VALUE"""),133.46)</f>
        <v>133.46</v>
      </c>
      <c r="F1232" s="1">
        <f ca="1">IFERROR(__xludf.DUMMYFUNCTION("""COMPUTED_VALUE"""),20611796)</f>
        <v>20611796</v>
      </c>
    </row>
    <row r="1233" spans="1:6" x14ac:dyDescent="0.2">
      <c r="A1233" s="2">
        <f ca="1">IFERROR(__xludf.DUMMYFUNCTION("""COMPUTED_VALUE"""),44064.6666666666)</f>
        <v>44064.666666666599</v>
      </c>
      <c r="B1233" s="1">
        <f ca="1">IFERROR(__xludf.DUMMYFUNCTION("""COMPUTED_VALUE"""),136.32)</f>
        <v>136.32</v>
      </c>
      <c r="C1233" s="1">
        <f ca="1">IFERROR(__xludf.DUMMYFUNCTION("""COMPUTED_VALUE"""),139.7)</f>
        <v>139.69999999999999</v>
      </c>
      <c r="D1233" s="1">
        <f ca="1">IFERROR(__xludf.DUMMYFUNCTION("""COMPUTED_VALUE"""),135)</f>
        <v>135</v>
      </c>
      <c r="E1233" s="1">
        <f ca="1">IFERROR(__xludf.DUMMYFUNCTION("""COMPUTED_VALUE"""),136.67)</f>
        <v>136.66999999999999</v>
      </c>
      <c r="F1233" s="1">
        <f ca="1">IFERROR(__xludf.DUMMYFUNCTION("""COMPUTED_VALUE"""),21489559)</f>
        <v>21489559</v>
      </c>
    </row>
    <row r="1234" spans="1:6" x14ac:dyDescent="0.2">
      <c r="A1234" s="2">
        <f ca="1">IFERROR(__xludf.DUMMYFUNCTION("""COMPUTED_VALUE"""),44067.6666666666)</f>
        <v>44067.666666666599</v>
      </c>
      <c r="B1234" s="1">
        <f ca="1">IFERROR(__xludf.DUMMYFUNCTION("""COMPUTED_VALUE"""),141.75)</f>
        <v>141.75</v>
      </c>
      <c r="C1234" s="1">
        <f ca="1">IFERROR(__xludf.DUMMYFUNCTION("""COMPUTED_VALUE"""),141.93)</f>
        <v>141.93</v>
      </c>
      <c r="D1234" s="1">
        <f ca="1">IFERROR(__xludf.DUMMYFUNCTION("""COMPUTED_VALUE"""),128.5)</f>
        <v>128.5</v>
      </c>
      <c r="E1234" s="1">
        <f ca="1">IFERROR(__xludf.DUMMYFUNCTION("""COMPUTED_VALUE"""),134.28)</f>
        <v>134.28</v>
      </c>
      <c r="F1234" s="1">
        <f ca="1">IFERROR(__xludf.DUMMYFUNCTION("""COMPUTED_VALUE"""),20063621)</f>
        <v>20063621</v>
      </c>
    </row>
    <row r="1235" spans="1:6" x14ac:dyDescent="0.2">
      <c r="A1235" s="2">
        <f ca="1">IFERROR(__xludf.DUMMYFUNCTION("""COMPUTED_VALUE"""),44068.6666666666)</f>
        <v>44068.666666666599</v>
      </c>
      <c r="B1235" s="1">
        <f ca="1">IFERROR(__xludf.DUMMYFUNCTION("""COMPUTED_VALUE"""),131.66)</f>
        <v>131.66</v>
      </c>
      <c r="C1235" s="1">
        <f ca="1">IFERROR(__xludf.DUMMYFUNCTION("""COMPUTED_VALUE"""),135.2)</f>
        <v>135.19999999999999</v>
      </c>
      <c r="D1235" s="1">
        <f ca="1">IFERROR(__xludf.DUMMYFUNCTION("""COMPUTED_VALUE"""),131.2)</f>
        <v>131.19999999999999</v>
      </c>
      <c r="E1235" s="1">
        <f ca="1">IFERROR(__xludf.DUMMYFUNCTION("""COMPUTED_VALUE"""),134.89)</f>
        <v>134.88999999999999</v>
      </c>
      <c r="F1235" s="1">
        <f ca="1">IFERROR(__xludf.DUMMYFUNCTION("""COMPUTED_VALUE"""),10658893)</f>
        <v>10658893</v>
      </c>
    </row>
    <row r="1236" spans="1:6" x14ac:dyDescent="0.2">
      <c r="A1236" s="2">
        <f ca="1">IFERROR(__xludf.DUMMYFUNCTION("""COMPUTED_VALUE"""),44069.6666666666)</f>
        <v>44069.666666666599</v>
      </c>
      <c r="B1236" s="1">
        <f ca="1">IFERROR(__xludf.DUMMYFUNCTION("""COMPUTED_VALUE"""),137.33)</f>
        <v>137.33000000000001</v>
      </c>
      <c r="C1236" s="1">
        <f ca="1">IFERROR(__xludf.DUMMYFUNCTION("""COMPUTED_VALUE"""),144.4)</f>
        <v>144.4</v>
      </c>
      <c r="D1236" s="1">
        <f ca="1">IFERROR(__xludf.DUMMYFUNCTION("""COMPUTED_VALUE"""),136.91)</f>
        <v>136.91</v>
      </c>
      <c r="E1236" s="1">
        <f ca="1">IFERROR(__xludf.DUMMYFUNCTION("""COMPUTED_VALUE"""),143.54)</f>
        <v>143.54</v>
      </c>
      <c r="F1236" s="1">
        <f ca="1">IFERROR(__xludf.DUMMYFUNCTION("""COMPUTED_VALUE"""),14239382)</f>
        <v>14239382</v>
      </c>
    </row>
    <row r="1237" spans="1:6" x14ac:dyDescent="0.2">
      <c r="A1237" s="2">
        <f ca="1">IFERROR(__xludf.DUMMYFUNCTION("""COMPUTED_VALUE"""),44070.6666666666)</f>
        <v>44070.666666666599</v>
      </c>
      <c r="B1237" s="1">
        <f ca="1">IFERROR(__xludf.DUMMYFUNCTION("""COMPUTED_VALUE"""),145.36)</f>
        <v>145.36000000000001</v>
      </c>
      <c r="C1237" s="1">
        <f ca="1">IFERROR(__xludf.DUMMYFUNCTION("""COMPUTED_VALUE"""),153.04)</f>
        <v>153.04</v>
      </c>
      <c r="D1237" s="1">
        <f ca="1">IFERROR(__xludf.DUMMYFUNCTION("""COMPUTED_VALUE"""),142.83)</f>
        <v>142.83000000000001</v>
      </c>
      <c r="E1237" s="1">
        <f ca="1">IFERROR(__xludf.DUMMYFUNCTION("""COMPUTED_VALUE"""),149.25)</f>
        <v>149.25</v>
      </c>
      <c r="F1237" s="1">
        <f ca="1">IFERROR(__xludf.DUMMYFUNCTION("""COMPUTED_VALUE"""),23693043)</f>
        <v>23693043</v>
      </c>
    </row>
    <row r="1238" spans="1:6" x14ac:dyDescent="0.2">
      <c r="A1238" s="2">
        <f ca="1">IFERROR(__xludf.DUMMYFUNCTION("""COMPUTED_VALUE"""),44071.6666666666)</f>
        <v>44071.666666666599</v>
      </c>
      <c r="B1238" s="1">
        <f ca="1">IFERROR(__xludf.DUMMYFUNCTION("""COMPUTED_VALUE"""),153.01)</f>
        <v>153.01</v>
      </c>
      <c r="C1238" s="1">
        <f ca="1">IFERROR(__xludf.DUMMYFUNCTION("""COMPUTED_VALUE"""),154.57)</f>
        <v>154.57</v>
      </c>
      <c r="D1238" s="1">
        <f ca="1">IFERROR(__xludf.DUMMYFUNCTION("""COMPUTED_VALUE"""),145.77)</f>
        <v>145.77000000000001</v>
      </c>
      <c r="E1238" s="1">
        <f ca="1">IFERROR(__xludf.DUMMYFUNCTION("""COMPUTED_VALUE"""),147.56)</f>
        <v>147.56</v>
      </c>
      <c r="F1238" s="1">
        <f ca="1">IFERROR(__xludf.DUMMYFUNCTION("""COMPUTED_VALUE"""),20081176)</f>
        <v>20081176</v>
      </c>
    </row>
    <row r="1239" spans="1:6" x14ac:dyDescent="0.2">
      <c r="A1239" s="2">
        <f ca="1">IFERROR(__xludf.DUMMYFUNCTION("""COMPUTED_VALUE"""),44074.6666666666)</f>
        <v>44074.666666666599</v>
      </c>
      <c r="B1239" s="1">
        <f ca="1">IFERROR(__xludf.DUMMYFUNCTION("""COMPUTED_VALUE"""),148.2)</f>
        <v>148.19999999999999</v>
      </c>
      <c r="C1239" s="1">
        <f ca="1">IFERROR(__xludf.DUMMYFUNCTION("""COMPUTED_VALUE"""),166.71)</f>
        <v>166.71</v>
      </c>
      <c r="D1239" s="1">
        <f ca="1">IFERROR(__xludf.DUMMYFUNCTION("""COMPUTED_VALUE"""),146.7)</f>
        <v>146.69999999999999</v>
      </c>
      <c r="E1239" s="1">
        <f ca="1">IFERROR(__xludf.DUMMYFUNCTION("""COMPUTED_VALUE"""),166.11)</f>
        <v>166.11</v>
      </c>
      <c r="F1239" s="1">
        <f ca="1">IFERROR(__xludf.DUMMYFUNCTION("""COMPUTED_VALUE"""),118374406)</f>
        <v>118374406</v>
      </c>
    </row>
    <row r="1240" spans="1:6" x14ac:dyDescent="0.2">
      <c r="A1240" s="2">
        <f ca="1">IFERROR(__xludf.DUMMYFUNCTION("""COMPUTED_VALUE"""),44075.6666666666)</f>
        <v>44075.666666666599</v>
      </c>
      <c r="B1240" s="1">
        <f ca="1">IFERROR(__xludf.DUMMYFUNCTION("""COMPUTED_VALUE"""),167.38)</f>
        <v>167.38</v>
      </c>
      <c r="C1240" s="1">
        <f ca="1">IFERROR(__xludf.DUMMYFUNCTION("""COMPUTED_VALUE"""),167.5)</f>
        <v>167.5</v>
      </c>
      <c r="D1240" s="1">
        <f ca="1">IFERROR(__xludf.DUMMYFUNCTION("""COMPUTED_VALUE"""),156.84)</f>
        <v>156.84</v>
      </c>
      <c r="E1240" s="1">
        <f ca="1">IFERROR(__xludf.DUMMYFUNCTION("""COMPUTED_VALUE"""),158.35)</f>
        <v>158.35</v>
      </c>
      <c r="F1240" s="1">
        <f ca="1">IFERROR(__xludf.DUMMYFUNCTION("""COMPUTED_VALUE"""),90119419)</f>
        <v>90119419</v>
      </c>
    </row>
    <row r="1241" spans="1:6" x14ac:dyDescent="0.2">
      <c r="A1241" s="2">
        <f ca="1">IFERROR(__xludf.DUMMYFUNCTION("""COMPUTED_VALUE"""),44076.6666666666)</f>
        <v>44076.666666666599</v>
      </c>
      <c r="B1241" s="1">
        <f ca="1">IFERROR(__xludf.DUMMYFUNCTION("""COMPUTED_VALUE"""),159.66)</f>
        <v>159.66</v>
      </c>
      <c r="C1241" s="1">
        <f ca="1">IFERROR(__xludf.DUMMYFUNCTION("""COMPUTED_VALUE"""),159.68)</f>
        <v>159.68</v>
      </c>
      <c r="D1241" s="1">
        <f ca="1">IFERROR(__xludf.DUMMYFUNCTION("""COMPUTED_VALUE"""),135.04)</f>
        <v>135.04</v>
      </c>
      <c r="E1241" s="1">
        <f ca="1">IFERROR(__xludf.DUMMYFUNCTION("""COMPUTED_VALUE"""),149.12)</f>
        <v>149.12</v>
      </c>
      <c r="F1241" s="1">
        <f ca="1">IFERROR(__xludf.DUMMYFUNCTION("""COMPUTED_VALUE"""),96176128)</f>
        <v>96176128</v>
      </c>
    </row>
    <row r="1242" spans="1:6" x14ac:dyDescent="0.2">
      <c r="A1242" s="2">
        <f ca="1">IFERROR(__xludf.DUMMYFUNCTION("""COMPUTED_VALUE"""),44077.6666666666)</f>
        <v>44077.666666666599</v>
      </c>
      <c r="B1242" s="1">
        <f ca="1">IFERROR(__xludf.DUMMYFUNCTION("""COMPUTED_VALUE"""),135.74)</f>
        <v>135.74</v>
      </c>
      <c r="C1242" s="1">
        <f ca="1">IFERROR(__xludf.DUMMYFUNCTION("""COMPUTED_VALUE"""),143.93)</f>
        <v>143.93</v>
      </c>
      <c r="D1242" s="1">
        <f ca="1">IFERROR(__xludf.DUMMYFUNCTION("""COMPUTED_VALUE"""),134)</f>
        <v>134</v>
      </c>
      <c r="E1242" s="1">
        <f ca="1">IFERROR(__xludf.DUMMYFUNCTION("""COMPUTED_VALUE"""),135.67)</f>
        <v>135.66999999999999</v>
      </c>
      <c r="F1242" s="1">
        <f ca="1">IFERROR(__xludf.DUMMYFUNCTION("""COMPUTED_VALUE"""),87596086)</f>
        <v>87596086</v>
      </c>
    </row>
    <row r="1243" spans="1:6" x14ac:dyDescent="0.2">
      <c r="A1243" s="2">
        <f ca="1">IFERROR(__xludf.DUMMYFUNCTION("""COMPUTED_VALUE"""),44078.6666666666)</f>
        <v>44078.666666666599</v>
      </c>
      <c r="B1243" s="1">
        <f ca="1">IFERROR(__xludf.DUMMYFUNCTION("""COMPUTED_VALUE"""),134.27)</f>
        <v>134.27000000000001</v>
      </c>
      <c r="C1243" s="1">
        <f ca="1">IFERROR(__xludf.DUMMYFUNCTION("""COMPUTED_VALUE"""),142.67)</f>
        <v>142.66999999999999</v>
      </c>
      <c r="D1243" s="1">
        <f ca="1">IFERROR(__xludf.DUMMYFUNCTION("""COMPUTED_VALUE"""),124.01)</f>
        <v>124.01</v>
      </c>
      <c r="E1243" s="1">
        <f ca="1">IFERROR(__xludf.DUMMYFUNCTION("""COMPUTED_VALUE"""),139.44)</f>
        <v>139.44</v>
      </c>
      <c r="F1243" s="1">
        <f ca="1">IFERROR(__xludf.DUMMYFUNCTION("""COMPUTED_VALUE"""),110321885)</f>
        <v>110321885</v>
      </c>
    </row>
    <row r="1244" spans="1:6" x14ac:dyDescent="0.2">
      <c r="A1244" s="2">
        <f ca="1">IFERROR(__xludf.DUMMYFUNCTION("""COMPUTED_VALUE"""),44082.6666666666)</f>
        <v>44082.666666666599</v>
      </c>
      <c r="B1244" s="1">
        <f ca="1">IFERROR(__xludf.DUMMYFUNCTION("""COMPUTED_VALUE"""),118.67)</f>
        <v>118.67</v>
      </c>
      <c r="C1244" s="1">
        <f ca="1">IFERROR(__xludf.DUMMYFUNCTION("""COMPUTED_VALUE"""),122.91)</f>
        <v>122.91</v>
      </c>
      <c r="D1244" s="1">
        <f ca="1">IFERROR(__xludf.DUMMYFUNCTION("""COMPUTED_VALUE"""),109.96)</f>
        <v>109.96</v>
      </c>
      <c r="E1244" s="1">
        <f ca="1">IFERROR(__xludf.DUMMYFUNCTION("""COMPUTED_VALUE"""),110.07)</f>
        <v>110.07</v>
      </c>
      <c r="F1244" s="1">
        <f ca="1">IFERROR(__xludf.DUMMYFUNCTION("""COMPUTED_VALUE"""),115465691)</f>
        <v>115465691</v>
      </c>
    </row>
    <row r="1245" spans="1:6" x14ac:dyDescent="0.2">
      <c r="A1245" s="2">
        <f ca="1">IFERROR(__xludf.DUMMYFUNCTION("""COMPUTED_VALUE"""),44083.6666666666)</f>
        <v>44083.666666666599</v>
      </c>
      <c r="B1245" s="1">
        <f ca="1">IFERROR(__xludf.DUMMYFUNCTION("""COMPUTED_VALUE"""),118.87)</f>
        <v>118.87</v>
      </c>
      <c r="C1245" s="1">
        <f ca="1">IFERROR(__xludf.DUMMYFUNCTION("""COMPUTED_VALUE"""),123)</f>
        <v>123</v>
      </c>
      <c r="D1245" s="1">
        <f ca="1">IFERROR(__xludf.DUMMYFUNCTION("""COMPUTED_VALUE"""),113.84)</f>
        <v>113.84</v>
      </c>
      <c r="E1245" s="1">
        <f ca="1">IFERROR(__xludf.DUMMYFUNCTION("""COMPUTED_VALUE"""),122.09)</f>
        <v>122.09</v>
      </c>
      <c r="F1245" s="1">
        <f ca="1">IFERROR(__xludf.DUMMYFUNCTION("""COMPUTED_VALUE"""),79465769)</f>
        <v>79465769</v>
      </c>
    </row>
    <row r="1246" spans="1:6" x14ac:dyDescent="0.2">
      <c r="A1246" s="2">
        <f ca="1">IFERROR(__xludf.DUMMYFUNCTION("""COMPUTED_VALUE"""),44084.6666666666)</f>
        <v>44084.666666666599</v>
      </c>
      <c r="B1246" s="1">
        <f ca="1">IFERROR(__xludf.DUMMYFUNCTION("""COMPUTED_VALUE"""),128.74)</f>
        <v>128.74</v>
      </c>
      <c r="C1246" s="1">
        <f ca="1">IFERROR(__xludf.DUMMYFUNCTION("""COMPUTED_VALUE"""),133)</f>
        <v>133</v>
      </c>
      <c r="D1246" s="1">
        <f ca="1">IFERROR(__xludf.DUMMYFUNCTION("""COMPUTED_VALUE"""),120.19)</f>
        <v>120.19</v>
      </c>
      <c r="E1246" s="1">
        <f ca="1">IFERROR(__xludf.DUMMYFUNCTION("""COMPUTED_VALUE"""),123.78)</f>
        <v>123.78</v>
      </c>
      <c r="F1246" s="1">
        <f ca="1">IFERROR(__xludf.DUMMYFUNCTION("""COMPUTED_VALUE"""),84930608)</f>
        <v>84930608</v>
      </c>
    </row>
    <row r="1247" spans="1:6" x14ac:dyDescent="0.2">
      <c r="A1247" s="2">
        <f ca="1">IFERROR(__xludf.DUMMYFUNCTION("""COMPUTED_VALUE"""),44085.6666666666)</f>
        <v>44085.666666666599</v>
      </c>
      <c r="B1247" s="1">
        <f ca="1">IFERROR(__xludf.DUMMYFUNCTION("""COMPUTED_VALUE"""),127.31)</f>
        <v>127.31</v>
      </c>
      <c r="C1247" s="1">
        <f ca="1">IFERROR(__xludf.DUMMYFUNCTION("""COMPUTED_VALUE"""),127.5)</f>
        <v>127.5</v>
      </c>
      <c r="D1247" s="1">
        <f ca="1">IFERROR(__xludf.DUMMYFUNCTION("""COMPUTED_VALUE"""),120.17)</f>
        <v>120.17</v>
      </c>
      <c r="E1247" s="1">
        <f ca="1">IFERROR(__xludf.DUMMYFUNCTION("""COMPUTED_VALUE"""),124.24)</f>
        <v>124.24</v>
      </c>
      <c r="F1247" s="1">
        <f ca="1">IFERROR(__xludf.DUMMYFUNCTION("""COMPUTED_VALUE"""),60717459)</f>
        <v>60717459</v>
      </c>
    </row>
    <row r="1248" spans="1:6" x14ac:dyDescent="0.2">
      <c r="A1248" s="2">
        <f ca="1">IFERROR(__xludf.DUMMYFUNCTION("""COMPUTED_VALUE"""),44088.6666666666)</f>
        <v>44088.666666666599</v>
      </c>
      <c r="B1248" s="1">
        <f ca="1">IFERROR(__xludf.DUMMYFUNCTION("""COMPUTED_VALUE"""),126.98)</f>
        <v>126.98</v>
      </c>
      <c r="C1248" s="1">
        <f ca="1">IFERROR(__xludf.DUMMYFUNCTION("""COMPUTED_VALUE"""),140)</f>
        <v>140</v>
      </c>
      <c r="D1248" s="1">
        <f ca="1">IFERROR(__xludf.DUMMYFUNCTION("""COMPUTED_VALUE"""),124.43)</f>
        <v>124.43</v>
      </c>
      <c r="E1248" s="1">
        <f ca="1">IFERROR(__xludf.DUMMYFUNCTION("""COMPUTED_VALUE"""),139.87)</f>
        <v>139.87</v>
      </c>
      <c r="F1248" s="1">
        <f ca="1">IFERROR(__xludf.DUMMYFUNCTION("""COMPUTED_VALUE"""),83020608)</f>
        <v>83020608</v>
      </c>
    </row>
    <row r="1249" spans="1:6" x14ac:dyDescent="0.2">
      <c r="A1249" s="2">
        <f ca="1">IFERROR(__xludf.DUMMYFUNCTION("""COMPUTED_VALUE"""),44089.6666666666)</f>
        <v>44089.666666666599</v>
      </c>
      <c r="B1249" s="1">
        <f ca="1">IFERROR(__xludf.DUMMYFUNCTION("""COMPUTED_VALUE"""),145.52)</f>
        <v>145.52000000000001</v>
      </c>
      <c r="C1249" s="1">
        <f ca="1">IFERROR(__xludf.DUMMYFUNCTION("""COMPUTED_VALUE"""),153.98)</f>
        <v>153.97999999999999</v>
      </c>
      <c r="D1249" s="1">
        <f ca="1">IFERROR(__xludf.DUMMYFUNCTION("""COMPUTED_VALUE"""),143.57)</f>
        <v>143.57</v>
      </c>
      <c r="E1249" s="1">
        <f ca="1">IFERROR(__xludf.DUMMYFUNCTION("""COMPUTED_VALUE"""),149.92)</f>
        <v>149.91999999999999</v>
      </c>
      <c r="F1249" s="1">
        <f ca="1">IFERROR(__xludf.DUMMYFUNCTION("""COMPUTED_VALUE"""),97298228)</f>
        <v>97298228</v>
      </c>
    </row>
    <row r="1250" spans="1:6" x14ac:dyDescent="0.2">
      <c r="A1250" s="2">
        <f ca="1">IFERROR(__xludf.DUMMYFUNCTION("""COMPUTED_VALUE"""),44090.6666666666)</f>
        <v>44090.666666666599</v>
      </c>
      <c r="B1250" s="1">
        <f ca="1">IFERROR(__xludf.DUMMYFUNCTION("""COMPUTED_VALUE"""),146.62)</f>
        <v>146.62</v>
      </c>
      <c r="C1250" s="1">
        <f ca="1">IFERROR(__xludf.DUMMYFUNCTION("""COMPUTED_VALUE"""),152.6)</f>
        <v>152.6</v>
      </c>
      <c r="D1250" s="1">
        <f ca="1">IFERROR(__xludf.DUMMYFUNCTION("""COMPUTED_VALUE"""),145.1)</f>
        <v>145.1</v>
      </c>
      <c r="E1250" s="1">
        <f ca="1">IFERROR(__xludf.DUMMYFUNCTION("""COMPUTED_VALUE"""),147.25)</f>
        <v>147.25</v>
      </c>
      <c r="F1250" s="1">
        <f ca="1">IFERROR(__xludf.DUMMYFUNCTION("""COMPUTED_VALUE"""),72546760)</f>
        <v>72546760</v>
      </c>
    </row>
    <row r="1251" spans="1:6" x14ac:dyDescent="0.2">
      <c r="A1251" s="2">
        <f ca="1">IFERROR(__xludf.DUMMYFUNCTION("""COMPUTED_VALUE"""),44091.6666666666)</f>
        <v>44091.666666666599</v>
      </c>
      <c r="B1251" s="1">
        <f ca="1">IFERROR(__xludf.DUMMYFUNCTION("""COMPUTED_VALUE"""),138.53)</f>
        <v>138.53</v>
      </c>
      <c r="C1251" s="1">
        <f ca="1">IFERROR(__xludf.DUMMYFUNCTION("""COMPUTED_VALUE"""),145.93)</f>
        <v>145.93</v>
      </c>
      <c r="D1251" s="1">
        <f ca="1">IFERROR(__xludf.DUMMYFUNCTION("""COMPUTED_VALUE"""),136)</f>
        <v>136</v>
      </c>
      <c r="E1251" s="1">
        <f ca="1">IFERROR(__xludf.DUMMYFUNCTION("""COMPUTED_VALUE"""),141.14)</f>
        <v>141.13999999999999</v>
      </c>
      <c r="F1251" s="1">
        <f ca="1">IFERROR(__xludf.DUMMYFUNCTION("""COMPUTED_VALUE"""),76779163)</f>
        <v>76779163</v>
      </c>
    </row>
    <row r="1252" spans="1:6" x14ac:dyDescent="0.2">
      <c r="A1252" s="2">
        <f ca="1">IFERROR(__xludf.DUMMYFUNCTION("""COMPUTED_VALUE"""),44092.6666666666)</f>
        <v>44092.666666666599</v>
      </c>
      <c r="B1252" s="1">
        <f ca="1">IFERROR(__xludf.DUMMYFUNCTION("""COMPUTED_VALUE"""),149.31)</f>
        <v>149.31</v>
      </c>
      <c r="C1252" s="1">
        <f ca="1">IFERROR(__xludf.DUMMYFUNCTION("""COMPUTED_VALUE"""),150.33)</f>
        <v>150.33000000000001</v>
      </c>
      <c r="D1252" s="1">
        <f ca="1">IFERROR(__xludf.DUMMYFUNCTION("""COMPUTED_VALUE"""),142.93)</f>
        <v>142.93</v>
      </c>
      <c r="E1252" s="1">
        <f ca="1">IFERROR(__xludf.DUMMYFUNCTION("""COMPUTED_VALUE"""),147.38)</f>
        <v>147.38</v>
      </c>
      <c r="F1252" s="1">
        <f ca="1">IFERROR(__xludf.DUMMYFUNCTION("""COMPUTED_VALUE"""),86406819)</f>
        <v>86406819</v>
      </c>
    </row>
    <row r="1253" spans="1:6" x14ac:dyDescent="0.2">
      <c r="A1253" s="2">
        <f ca="1">IFERROR(__xludf.DUMMYFUNCTION("""COMPUTED_VALUE"""),44095.6666666666)</f>
        <v>44095.666666666599</v>
      </c>
      <c r="B1253" s="1">
        <f ca="1">IFERROR(__xludf.DUMMYFUNCTION("""COMPUTED_VALUE"""),151.04)</f>
        <v>151.04</v>
      </c>
      <c r="C1253" s="1">
        <f ca="1">IFERROR(__xludf.DUMMYFUNCTION("""COMPUTED_VALUE"""),151.89)</f>
        <v>151.88999999999999</v>
      </c>
      <c r="D1253" s="1">
        <f ca="1">IFERROR(__xludf.DUMMYFUNCTION("""COMPUTED_VALUE"""),135.69)</f>
        <v>135.69</v>
      </c>
      <c r="E1253" s="1">
        <f ca="1">IFERROR(__xludf.DUMMYFUNCTION("""COMPUTED_VALUE"""),149.8)</f>
        <v>149.80000000000001</v>
      </c>
      <c r="F1253" s="1">
        <f ca="1">IFERROR(__xludf.DUMMYFUNCTION("""COMPUTED_VALUE"""),109476800)</f>
        <v>109476800</v>
      </c>
    </row>
    <row r="1254" spans="1:6" x14ac:dyDescent="0.2">
      <c r="A1254" s="2">
        <f ca="1">IFERROR(__xludf.DUMMYFUNCTION("""COMPUTED_VALUE"""),44096.6666666666)</f>
        <v>44096.666666666599</v>
      </c>
      <c r="B1254" s="1">
        <f ca="1">IFERROR(__xludf.DUMMYFUNCTION("""COMPUTED_VALUE"""),143.2)</f>
        <v>143.19999999999999</v>
      </c>
      <c r="C1254" s="1">
        <f ca="1">IFERROR(__xludf.DUMMYFUNCTION("""COMPUTED_VALUE"""),145.92)</f>
        <v>145.91999999999999</v>
      </c>
      <c r="D1254" s="1">
        <f ca="1">IFERROR(__xludf.DUMMYFUNCTION("""COMPUTED_VALUE"""),139.2)</f>
        <v>139.19999999999999</v>
      </c>
      <c r="E1254" s="1">
        <f ca="1">IFERROR(__xludf.DUMMYFUNCTION("""COMPUTED_VALUE"""),141.41)</f>
        <v>141.41</v>
      </c>
      <c r="F1254" s="1">
        <f ca="1">IFERROR(__xludf.DUMMYFUNCTION("""COMPUTED_VALUE"""),79580795)</f>
        <v>79580795</v>
      </c>
    </row>
    <row r="1255" spans="1:6" x14ac:dyDescent="0.2">
      <c r="A1255" s="2">
        <f ca="1">IFERROR(__xludf.DUMMYFUNCTION("""COMPUTED_VALUE"""),44097.6666666666)</f>
        <v>44097.666666666599</v>
      </c>
      <c r="B1255" s="1">
        <f ca="1">IFERROR(__xludf.DUMMYFUNCTION("""COMPUTED_VALUE"""),135.05)</f>
        <v>135.05000000000001</v>
      </c>
      <c r="C1255" s="1">
        <f ca="1">IFERROR(__xludf.DUMMYFUNCTION("""COMPUTED_VALUE"""),137.38)</f>
        <v>137.38</v>
      </c>
      <c r="D1255" s="1">
        <f ca="1">IFERROR(__xludf.DUMMYFUNCTION("""COMPUTED_VALUE"""),125.29)</f>
        <v>125.29</v>
      </c>
      <c r="E1255" s="1">
        <f ca="1">IFERROR(__xludf.DUMMYFUNCTION("""COMPUTED_VALUE"""),126.79)</f>
        <v>126.79</v>
      </c>
      <c r="F1255" s="1">
        <f ca="1">IFERROR(__xludf.DUMMYFUNCTION("""COMPUTED_VALUE"""),95074176)</f>
        <v>95074176</v>
      </c>
    </row>
    <row r="1256" spans="1:6" x14ac:dyDescent="0.2">
      <c r="A1256" s="2">
        <f ca="1">IFERROR(__xludf.DUMMYFUNCTION("""COMPUTED_VALUE"""),44098.6666666666)</f>
        <v>44098.666666666599</v>
      </c>
      <c r="B1256" s="1">
        <f ca="1">IFERROR(__xludf.DUMMYFUNCTION("""COMPUTED_VALUE"""),121.27)</f>
        <v>121.27</v>
      </c>
      <c r="C1256" s="1">
        <f ca="1">IFERROR(__xludf.DUMMYFUNCTION("""COMPUTED_VALUE"""),133.17)</f>
        <v>133.16999999999999</v>
      </c>
      <c r="D1256" s="1">
        <f ca="1">IFERROR(__xludf.DUMMYFUNCTION("""COMPUTED_VALUE"""),117.1)</f>
        <v>117.1</v>
      </c>
      <c r="E1256" s="1">
        <f ca="1">IFERROR(__xludf.DUMMYFUNCTION("""COMPUTED_VALUE"""),129.26)</f>
        <v>129.26</v>
      </c>
      <c r="F1256" s="1">
        <f ca="1">IFERROR(__xludf.DUMMYFUNCTION("""COMPUTED_VALUE"""),96561061)</f>
        <v>96561061</v>
      </c>
    </row>
    <row r="1257" spans="1:6" x14ac:dyDescent="0.2">
      <c r="A1257" s="2">
        <f ca="1">IFERROR(__xludf.DUMMYFUNCTION("""COMPUTED_VALUE"""),44099.6666666666)</f>
        <v>44099.666666666599</v>
      </c>
      <c r="B1257" s="1">
        <f ca="1">IFERROR(__xludf.DUMMYFUNCTION("""COMPUTED_VALUE"""),131.16)</f>
        <v>131.16</v>
      </c>
      <c r="C1257" s="1">
        <f ca="1">IFERROR(__xludf.DUMMYFUNCTION("""COMPUTED_VALUE"""),136.24)</f>
        <v>136.24</v>
      </c>
      <c r="D1257" s="1">
        <f ca="1">IFERROR(__xludf.DUMMYFUNCTION("""COMPUTED_VALUE"""),130.43)</f>
        <v>130.43</v>
      </c>
      <c r="E1257" s="1">
        <f ca="1">IFERROR(__xludf.DUMMYFUNCTION("""COMPUTED_VALUE"""),135.78)</f>
        <v>135.78</v>
      </c>
      <c r="F1257" s="1">
        <f ca="1">IFERROR(__xludf.DUMMYFUNCTION("""COMPUTED_VALUE"""),67208459)</f>
        <v>67208459</v>
      </c>
    </row>
    <row r="1258" spans="1:6" x14ac:dyDescent="0.2">
      <c r="A1258" s="2">
        <f ca="1">IFERROR(__xludf.DUMMYFUNCTION("""COMPUTED_VALUE"""),44102.6666666666)</f>
        <v>44102.666666666599</v>
      </c>
      <c r="B1258" s="1">
        <f ca="1">IFERROR(__xludf.DUMMYFUNCTION("""COMPUTED_VALUE"""),141.54)</f>
        <v>141.54</v>
      </c>
      <c r="C1258" s="1">
        <f ca="1">IFERROR(__xludf.DUMMYFUNCTION("""COMPUTED_VALUE"""),142.69)</f>
        <v>142.69</v>
      </c>
      <c r="D1258" s="1">
        <f ca="1">IFERROR(__xludf.DUMMYFUNCTION("""COMPUTED_VALUE"""),138.52)</f>
        <v>138.52000000000001</v>
      </c>
      <c r="E1258" s="1">
        <f ca="1">IFERROR(__xludf.DUMMYFUNCTION("""COMPUTED_VALUE"""),140.4)</f>
        <v>140.4</v>
      </c>
      <c r="F1258" s="1">
        <f ca="1">IFERROR(__xludf.DUMMYFUNCTION("""COMPUTED_VALUE"""),49719561)</f>
        <v>49719561</v>
      </c>
    </row>
    <row r="1259" spans="1:6" x14ac:dyDescent="0.2">
      <c r="A1259" s="2">
        <f ca="1">IFERROR(__xludf.DUMMYFUNCTION("""COMPUTED_VALUE"""),44103.6666666666)</f>
        <v>44103.666666666599</v>
      </c>
      <c r="B1259" s="1">
        <f ca="1">IFERROR(__xludf.DUMMYFUNCTION("""COMPUTED_VALUE"""),138.67)</f>
        <v>138.66999999999999</v>
      </c>
      <c r="C1259" s="1">
        <f ca="1">IFERROR(__xludf.DUMMYFUNCTION("""COMPUTED_VALUE"""),142.83)</f>
        <v>142.83000000000001</v>
      </c>
      <c r="D1259" s="1">
        <f ca="1">IFERROR(__xludf.DUMMYFUNCTION("""COMPUTED_VALUE"""),137.2)</f>
        <v>137.19999999999999</v>
      </c>
      <c r="E1259" s="1">
        <f ca="1">IFERROR(__xludf.DUMMYFUNCTION("""COMPUTED_VALUE"""),139.69)</f>
        <v>139.69</v>
      </c>
      <c r="F1259" s="1">
        <f ca="1">IFERROR(__xludf.DUMMYFUNCTION("""COMPUTED_VALUE"""),50341404)</f>
        <v>50341404</v>
      </c>
    </row>
    <row r="1260" spans="1:6" x14ac:dyDescent="0.2">
      <c r="A1260" s="2">
        <f ca="1">IFERROR(__xludf.DUMMYFUNCTION("""COMPUTED_VALUE"""),44104.6666666666)</f>
        <v>44104.666666666599</v>
      </c>
      <c r="B1260" s="1">
        <f ca="1">IFERROR(__xludf.DUMMYFUNCTION("""COMPUTED_VALUE"""),140.44)</f>
        <v>140.44</v>
      </c>
      <c r="C1260" s="1">
        <f ca="1">IFERROR(__xludf.DUMMYFUNCTION("""COMPUTED_VALUE"""),144.64)</f>
        <v>144.63999999999999</v>
      </c>
      <c r="D1260" s="1">
        <f ca="1">IFERROR(__xludf.DUMMYFUNCTION("""COMPUTED_VALUE"""),140.16)</f>
        <v>140.16</v>
      </c>
      <c r="E1260" s="1">
        <f ca="1">IFERROR(__xludf.DUMMYFUNCTION("""COMPUTED_VALUE"""),143)</f>
        <v>143</v>
      </c>
      <c r="F1260" s="1">
        <f ca="1">IFERROR(__xludf.DUMMYFUNCTION("""COMPUTED_VALUE"""),48145566)</f>
        <v>48145566</v>
      </c>
    </row>
    <row r="1261" spans="1:6" x14ac:dyDescent="0.2">
      <c r="A1261" s="2">
        <f ca="1">IFERROR(__xludf.DUMMYFUNCTION("""COMPUTED_VALUE"""),44105.6666666666)</f>
        <v>44105.666666666599</v>
      </c>
      <c r="B1261" s="1">
        <f ca="1">IFERROR(__xludf.DUMMYFUNCTION("""COMPUTED_VALUE"""),146.92)</f>
        <v>146.91999999999999</v>
      </c>
      <c r="C1261" s="1">
        <f ca="1">IFERROR(__xludf.DUMMYFUNCTION("""COMPUTED_VALUE"""),149.63)</f>
        <v>149.63</v>
      </c>
      <c r="D1261" s="1">
        <f ca="1">IFERROR(__xludf.DUMMYFUNCTION("""COMPUTED_VALUE"""),144.81)</f>
        <v>144.81</v>
      </c>
      <c r="E1261" s="1">
        <f ca="1">IFERROR(__xludf.DUMMYFUNCTION("""COMPUTED_VALUE"""),149.39)</f>
        <v>149.38999999999999</v>
      </c>
      <c r="F1261" s="1">
        <f ca="1">IFERROR(__xludf.DUMMYFUNCTION("""COMPUTED_VALUE"""),50741454)</f>
        <v>50741454</v>
      </c>
    </row>
    <row r="1262" spans="1:6" x14ac:dyDescent="0.2">
      <c r="A1262" s="2">
        <f ca="1">IFERROR(__xludf.DUMMYFUNCTION("""COMPUTED_VALUE"""),44106.6666666666)</f>
        <v>44106.666666666599</v>
      </c>
      <c r="B1262" s="1">
        <f ca="1">IFERROR(__xludf.DUMMYFUNCTION("""COMPUTED_VALUE"""),140.46)</f>
        <v>140.46</v>
      </c>
      <c r="C1262" s="1">
        <f ca="1">IFERROR(__xludf.DUMMYFUNCTION("""COMPUTED_VALUE"""),146.38)</f>
        <v>146.38</v>
      </c>
      <c r="D1262" s="1">
        <f ca="1">IFERROR(__xludf.DUMMYFUNCTION("""COMPUTED_VALUE"""),138.33)</f>
        <v>138.33000000000001</v>
      </c>
      <c r="E1262" s="1">
        <f ca="1">IFERROR(__xludf.DUMMYFUNCTION("""COMPUTED_VALUE"""),138.36)</f>
        <v>138.36000000000001</v>
      </c>
      <c r="F1262" s="1">
        <f ca="1">IFERROR(__xludf.DUMMYFUNCTION("""COMPUTED_VALUE"""),71430025)</f>
        <v>71430025</v>
      </c>
    </row>
    <row r="1263" spans="1:6" x14ac:dyDescent="0.2">
      <c r="A1263" s="2">
        <f ca="1">IFERROR(__xludf.DUMMYFUNCTION("""COMPUTED_VALUE"""),44109.6666666666)</f>
        <v>44109.666666666599</v>
      </c>
      <c r="B1263" s="1">
        <f ca="1">IFERROR(__xludf.DUMMYFUNCTION("""COMPUTED_VALUE"""),141.12)</f>
        <v>141.12</v>
      </c>
      <c r="C1263" s="1">
        <f ca="1">IFERROR(__xludf.DUMMYFUNCTION("""COMPUTED_VALUE"""),144.55)</f>
        <v>144.55000000000001</v>
      </c>
      <c r="D1263" s="1">
        <f ca="1">IFERROR(__xludf.DUMMYFUNCTION("""COMPUTED_VALUE"""),139.78)</f>
        <v>139.78</v>
      </c>
      <c r="E1263" s="1">
        <f ca="1">IFERROR(__xludf.DUMMYFUNCTION("""COMPUTED_VALUE"""),141.89)</f>
        <v>141.88999999999999</v>
      </c>
      <c r="F1263" s="1">
        <f ca="1">IFERROR(__xludf.DUMMYFUNCTION("""COMPUTED_VALUE"""),44722786)</f>
        <v>44722786</v>
      </c>
    </row>
    <row r="1264" spans="1:6" x14ac:dyDescent="0.2">
      <c r="A1264" s="2">
        <f ca="1">IFERROR(__xludf.DUMMYFUNCTION("""COMPUTED_VALUE"""),44110.6666666666)</f>
        <v>44110.666666666599</v>
      </c>
      <c r="B1264" s="1">
        <f ca="1">IFERROR(__xludf.DUMMYFUNCTION("""COMPUTED_VALUE"""),141.26)</f>
        <v>141.26</v>
      </c>
      <c r="C1264" s="1">
        <f ca="1">IFERROR(__xludf.DUMMYFUNCTION("""COMPUTED_VALUE"""),142.93)</f>
        <v>142.93</v>
      </c>
      <c r="D1264" s="1">
        <f ca="1">IFERROR(__xludf.DUMMYFUNCTION("""COMPUTED_VALUE"""),135.35)</f>
        <v>135.35</v>
      </c>
      <c r="E1264" s="1">
        <f ca="1">IFERROR(__xludf.DUMMYFUNCTION("""COMPUTED_VALUE"""),137.99)</f>
        <v>137.99</v>
      </c>
      <c r="F1264" s="1">
        <f ca="1">IFERROR(__xludf.DUMMYFUNCTION("""COMPUTED_VALUE"""),49146259)</f>
        <v>49146259</v>
      </c>
    </row>
    <row r="1265" spans="1:6" x14ac:dyDescent="0.2">
      <c r="A1265" s="2">
        <f ca="1">IFERROR(__xludf.DUMMYFUNCTION("""COMPUTED_VALUE"""),44111.6666666666)</f>
        <v>44111.666666666599</v>
      </c>
      <c r="B1265" s="1">
        <f ca="1">IFERROR(__xludf.DUMMYFUNCTION("""COMPUTED_VALUE"""),139.96)</f>
        <v>139.96</v>
      </c>
      <c r="C1265" s="1">
        <f ca="1">IFERROR(__xludf.DUMMYFUNCTION("""COMPUTED_VALUE"""),143.3)</f>
        <v>143.30000000000001</v>
      </c>
      <c r="D1265" s="1">
        <f ca="1">IFERROR(__xludf.DUMMYFUNCTION("""COMPUTED_VALUE"""),137.95)</f>
        <v>137.94999999999999</v>
      </c>
      <c r="E1265" s="1">
        <f ca="1">IFERROR(__xludf.DUMMYFUNCTION("""COMPUTED_VALUE"""),141.77)</f>
        <v>141.77000000000001</v>
      </c>
      <c r="F1265" s="1">
        <f ca="1">IFERROR(__xludf.DUMMYFUNCTION("""COMPUTED_VALUE"""),43127709)</f>
        <v>43127709</v>
      </c>
    </row>
    <row r="1266" spans="1:6" x14ac:dyDescent="0.2">
      <c r="A1266" s="2">
        <f ca="1">IFERROR(__xludf.DUMMYFUNCTION("""COMPUTED_VALUE"""),44112.6666666666)</f>
        <v>44112.666666666599</v>
      </c>
      <c r="B1266" s="1">
        <f ca="1">IFERROR(__xludf.DUMMYFUNCTION("""COMPUTED_VALUE"""),146.15)</f>
        <v>146.15</v>
      </c>
      <c r="C1266" s="1">
        <f ca="1">IFERROR(__xludf.DUMMYFUNCTION("""COMPUTED_VALUE"""),146.33)</f>
        <v>146.33000000000001</v>
      </c>
      <c r="D1266" s="1">
        <f ca="1">IFERROR(__xludf.DUMMYFUNCTION("""COMPUTED_VALUE"""),141.77)</f>
        <v>141.77000000000001</v>
      </c>
      <c r="E1266" s="1">
        <f ca="1">IFERROR(__xludf.DUMMYFUNCTION("""COMPUTED_VALUE"""),141.97)</f>
        <v>141.97</v>
      </c>
      <c r="F1266" s="1">
        <f ca="1">IFERROR(__xludf.DUMMYFUNCTION("""COMPUTED_VALUE"""),40421116)</f>
        <v>40421116</v>
      </c>
    </row>
    <row r="1267" spans="1:6" x14ac:dyDescent="0.2">
      <c r="A1267" s="2">
        <f ca="1">IFERROR(__xludf.DUMMYFUNCTION("""COMPUTED_VALUE"""),44113.6666666666)</f>
        <v>44113.666666666599</v>
      </c>
      <c r="B1267" s="1">
        <f ca="1">IFERROR(__xludf.DUMMYFUNCTION("""COMPUTED_VALUE"""),143.38)</f>
        <v>143.38</v>
      </c>
      <c r="C1267" s="1">
        <f ca="1">IFERROR(__xludf.DUMMYFUNCTION("""COMPUTED_VALUE"""),144.86)</f>
        <v>144.86000000000001</v>
      </c>
      <c r="D1267" s="1">
        <f ca="1">IFERROR(__xludf.DUMMYFUNCTION("""COMPUTED_VALUE"""),142.15)</f>
        <v>142.15</v>
      </c>
      <c r="E1267" s="1">
        <f ca="1">IFERROR(__xludf.DUMMYFUNCTION("""COMPUTED_VALUE"""),144.67)</f>
        <v>144.66999999999999</v>
      </c>
      <c r="F1267" s="1">
        <f ca="1">IFERROR(__xludf.DUMMYFUNCTION("""COMPUTED_VALUE"""),28925656)</f>
        <v>28925656</v>
      </c>
    </row>
    <row r="1268" spans="1:6" x14ac:dyDescent="0.2">
      <c r="A1268" s="2">
        <f ca="1">IFERROR(__xludf.DUMMYFUNCTION("""COMPUTED_VALUE"""),44116.6666666666)</f>
        <v>44116.666666666599</v>
      </c>
      <c r="B1268" s="1">
        <f ca="1">IFERROR(__xludf.DUMMYFUNCTION("""COMPUTED_VALUE"""),147.33)</f>
        <v>147.33000000000001</v>
      </c>
      <c r="C1268" s="1">
        <f ca="1">IFERROR(__xludf.DUMMYFUNCTION("""COMPUTED_VALUE"""),149.58)</f>
        <v>149.58000000000001</v>
      </c>
      <c r="D1268" s="1">
        <f ca="1">IFERROR(__xludf.DUMMYFUNCTION("""COMPUTED_VALUE"""),146.19)</f>
        <v>146.19</v>
      </c>
      <c r="E1268" s="1">
        <f ca="1">IFERROR(__xludf.DUMMYFUNCTION("""COMPUTED_VALUE"""),147.43)</f>
        <v>147.43</v>
      </c>
      <c r="F1268" s="1">
        <f ca="1">IFERROR(__xludf.DUMMYFUNCTION("""COMPUTED_VALUE"""),38791133)</f>
        <v>38791133</v>
      </c>
    </row>
    <row r="1269" spans="1:6" x14ac:dyDescent="0.2">
      <c r="A1269" s="2">
        <f ca="1">IFERROR(__xludf.DUMMYFUNCTION("""COMPUTED_VALUE"""),44117.6666666666)</f>
        <v>44117.666666666599</v>
      </c>
      <c r="B1269" s="1">
        <f ca="1">IFERROR(__xludf.DUMMYFUNCTION("""COMPUTED_VALUE"""),147.78)</f>
        <v>147.78</v>
      </c>
      <c r="C1269" s="1">
        <f ca="1">IFERROR(__xludf.DUMMYFUNCTION("""COMPUTED_VALUE"""),149.63)</f>
        <v>149.63</v>
      </c>
      <c r="D1269" s="1">
        <f ca="1">IFERROR(__xludf.DUMMYFUNCTION("""COMPUTED_VALUE"""),145.53)</f>
        <v>145.53</v>
      </c>
      <c r="E1269" s="1">
        <f ca="1">IFERROR(__xludf.DUMMYFUNCTION("""COMPUTED_VALUE"""),148.88)</f>
        <v>148.88</v>
      </c>
      <c r="F1269" s="1">
        <f ca="1">IFERROR(__xludf.DUMMYFUNCTION("""COMPUTED_VALUE"""),34463665)</f>
        <v>34463665</v>
      </c>
    </row>
    <row r="1270" spans="1:6" x14ac:dyDescent="0.2">
      <c r="A1270" s="2">
        <f ca="1">IFERROR(__xludf.DUMMYFUNCTION("""COMPUTED_VALUE"""),44118.6666666666)</f>
        <v>44118.666666666599</v>
      </c>
      <c r="B1270" s="1">
        <f ca="1">IFERROR(__xludf.DUMMYFUNCTION("""COMPUTED_VALUE"""),149.93)</f>
        <v>149.93</v>
      </c>
      <c r="C1270" s="1">
        <f ca="1">IFERROR(__xludf.DUMMYFUNCTION("""COMPUTED_VALUE"""),155.3)</f>
        <v>155.30000000000001</v>
      </c>
      <c r="D1270" s="1">
        <f ca="1">IFERROR(__xludf.DUMMYFUNCTION("""COMPUTED_VALUE"""),149.12)</f>
        <v>149.12</v>
      </c>
      <c r="E1270" s="1">
        <f ca="1">IFERROR(__xludf.DUMMYFUNCTION("""COMPUTED_VALUE"""),153.77)</f>
        <v>153.77000000000001</v>
      </c>
      <c r="F1270" s="1">
        <f ca="1">IFERROR(__xludf.DUMMYFUNCTION("""COMPUTED_VALUE"""),48045394)</f>
        <v>48045394</v>
      </c>
    </row>
    <row r="1271" spans="1:6" x14ac:dyDescent="0.2">
      <c r="A1271" s="2">
        <f ca="1">IFERROR(__xludf.DUMMYFUNCTION("""COMPUTED_VALUE"""),44119.6666666666)</f>
        <v>44119.666666666599</v>
      </c>
      <c r="B1271" s="1">
        <f ca="1">IFERROR(__xludf.DUMMYFUNCTION("""COMPUTED_VALUE"""),150.1)</f>
        <v>150.1</v>
      </c>
      <c r="C1271" s="1">
        <f ca="1">IFERROR(__xludf.DUMMYFUNCTION("""COMPUTED_VALUE"""),152.19)</f>
        <v>152.19</v>
      </c>
      <c r="D1271" s="1">
        <f ca="1">IFERROR(__xludf.DUMMYFUNCTION("""COMPUTED_VALUE"""),147.5)</f>
        <v>147.5</v>
      </c>
      <c r="E1271" s="1">
        <f ca="1">IFERROR(__xludf.DUMMYFUNCTION("""COMPUTED_VALUE"""),149.63)</f>
        <v>149.63</v>
      </c>
      <c r="F1271" s="1">
        <f ca="1">IFERROR(__xludf.DUMMYFUNCTION("""COMPUTED_VALUE"""),35672354)</f>
        <v>35672354</v>
      </c>
    </row>
    <row r="1272" spans="1:6" x14ac:dyDescent="0.2">
      <c r="A1272" s="2">
        <f ca="1">IFERROR(__xludf.DUMMYFUNCTION("""COMPUTED_VALUE"""),44120.6666666666)</f>
        <v>44120.666666666599</v>
      </c>
      <c r="B1272" s="1">
        <f ca="1">IFERROR(__xludf.DUMMYFUNCTION("""COMPUTED_VALUE"""),151.48)</f>
        <v>151.47999999999999</v>
      </c>
      <c r="C1272" s="1">
        <f ca="1">IFERROR(__xludf.DUMMYFUNCTION("""COMPUTED_VALUE"""),151.98)</f>
        <v>151.97999999999999</v>
      </c>
      <c r="D1272" s="1">
        <f ca="1">IFERROR(__xludf.DUMMYFUNCTION("""COMPUTED_VALUE"""),146.28)</f>
        <v>146.28</v>
      </c>
      <c r="E1272" s="1">
        <f ca="1">IFERROR(__xludf.DUMMYFUNCTION("""COMPUTED_VALUE"""),146.56)</f>
        <v>146.56</v>
      </c>
      <c r="F1272" s="1">
        <f ca="1">IFERROR(__xludf.DUMMYFUNCTION("""COMPUTED_VALUE"""),32775879)</f>
        <v>32775879</v>
      </c>
    </row>
    <row r="1273" spans="1:6" x14ac:dyDescent="0.2">
      <c r="A1273" s="2">
        <f ca="1">IFERROR(__xludf.DUMMYFUNCTION("""COMPUTED_VALUE"""),44123.6666666666)</f>
        <v>44123.666666666599</v>
      </c>
      <c r="B1273" s="1">
        <f ca="1">IFERROR(__xludf.DUMMYFUNCTION("""COMPUTED_VALUE"""),148.75)</f>
        <v>148.75</v>
      </c>
      <c r="C1273" s="1">
        <f ca="1">IFERROR(__xludf.DUMMYFUNCTION("""COMPUTED_VALUE"""),149)</f>
        <v>149</v>
      </c>
      <c r="D1273" s="1">
        <f ca="1">IFERROR(__xludf.DUMMYFUNCTION("""COMPUTED_VALUE"""),142.96)</f>
        <v>142.96</v>
      </c>
      <c r="E1273" s="1">
        <f ca="1">IFERROR(__xludf.DUMMYFUNCTION("""COMPUTED_VALUE"""),143.61)</f>
        <v>143.61000000000001</v>
      </c>
      <c r="F1273" s="1">
        <f ca="1">IFERROR(__xludf.DUMMYFUNCTION("""COMPUTED_VALUE"""),36287843)</f>
        <v>36287843</v>
      </c>
    </row>
    <row r="1274" spans="1:6" x14ac:dyDescent="0.2">
      <c r="A1274" s="2">
        <f ca="1">IFERROR(__xludf.DUMMYFUNCTION("""COMPUTED_VALUE"""),44124.6666666666)</f>
        <v>44124.666666666599</v>
      </c>
      <c r="B1274" s="1">
        <f ca="1">IFERROR(__xludf.DUMMYFUNCTION("""COMPUTED_VALUE"""),143.92)</f>
        <v>143.91999999999999</v>
      </c>
      <c r="C1274" s="1">
        <f ca="1">IFERROR(__xludf.DUMMYFUNCTION("""COMPUTED_VALUE"""),143.92)</f>
        <v>143.91999999999999</v>
      </c>
      <c r="D1274" s="1">
        <f ca="1">IFERROR(__xludf.DUMMYFUNCTION("""COMPUTED_VALUE"""),139.68)</f>
        <v>139.68</v>
      </c>
      <c r="E1274" s="1">
        <f ca="1">IFERROR(__xludf.DUMMYFUNCTION("""COMPUTED_VALUE"""),140.65)</f>
        <v>140.65</v>
      </c>
      <c r="F1274" s="1">
        <f ca="1">IFERROR(__xludf.DUMMYFUNCTION("""COMPUTED_VALUE"""),31656289)</f>
        <v>31656289</v>
      </c>
    </row>
    <row r="1275" spans="1:6" x14ac:dyDescent="0.2">
      <c r="A1275" s="2">
        <f ca="1">IFERROR(__xludf.DUMMYFUNCTION("""COMPUTED_VALUE"""),44125.6666666666)</f>
        <v>44125.666666666599</v>
      </c>
      <c r="B1275" s="1">
        <f ca="1">IFERROR(__xludf.DUMMYFUNCTION("""COMPUTED_VALUE"""),140.9)</f>
        <v>140.9</v>
      </c>
      <c r="C1275" s="1">
        <f ca="1">IFERROR(__xludf.DUMMYFUNCTION("""COMPUTED_VALUE"""),144.32)</f>
        <v>144.32</v>
      </c>
      <c r="D1275" s="1">
        <f ca="1">IFERROR(__xludf.DUMMYFUNCTION("""COMPUTED_VALUE"""),140.42)</f>
        <v>140.41999999999999</v>
      </c>
      <c r="E1275" s="1">
        <f ca="1">IFERROR(__xludf.DUMMYFUNCTION("""COMPUTED_VALUE"""),140.88)</f>
        <v>140.88</v>
      </c>
      <c r="F1275" s="1">
        <f ca="1">IFERROR(__xludf.DUMMYFUNCTION("""COMPUTED_VALUE"""),32370461)</f>
        <v>32370461</v>
      </c>
    </row>
    <row r="1276" spans="1:6" x14ac:dyDescent="0.2">
      <c r="A1276" s="2">
        <f ca="1">IFERROR(__xludf.DUMMYFUNCTION("""COMPUTED_VALUE"""),44126.6666666666)</f>
        <v>44126.666666666599</v>
      </c>
      <c r="B1276" s="1">
        <f ca="1">IFERROR(__xludf.DUMMYFUNCTION("""COMPUTED_VALUE"""),147.31)</f>
        <v>147.31</v>
      </c>
      <c r="C1276" s="1">
        <f ca="1">IFERROR(__xludf.DUMMYFUNCTION("""COMPUTED_VALUE"""),148.41)</f>
        <v>148.41</v>
      </c>
      <c r="D1276" s="1">
        <f ca="1">IFERROR(__xludf.DUMMYFUNCTION("""COMPUTED_VALUE"""),141.5)</f>
        <v>141.5</v>
      </c>
      <c r="E1276" s="1">
        <f ca="1">IFERROR(__xludf.DUMMYFUNCTION("""COMPUTED_VALUE"""),141.93)</f>
        <v>141.93</v>
      </c>
      <c r="F1276" s="1">
        <f ca="1">IFERROR(__xludf.DUMMYFUNCTION("""COMPUTED_VALUE"""),39993191)</f>
        <v>39993191</v>
      </c>
    </row>
    <row r="1277" spans="1:6" x14ac:dyDescent="0.2">
      <c r="A1277" s="2">
        <f ca="1">IFERROR(__xludf.DUMMYFUNCTION("""COMPUTED_VALUE"""),44127.6666666666)</f>
        <v>44127.666666666599</v>
      </c>
      <c r="B1277" s="1">
        <f ca="1">IFERROR(__xludf.DUMMYFUNCTION("""COMPUTED_VALUE"""),140.61)</f>
        <v>140.61000000000001</v>
      </c>
      <c r="C1277" s="1">
        <f ca="1">IFERROR(__xludf.DUMMYFUNCTION("""COMPUTED_VALUE"""),140.96)</f>
        <v>140.96</v>
      </c>
      <c r="D1277" s="1">
        <f ca="1">IFERROR(__xludf.DUMMYFUNCTION("""COMPUTED_VALUE"""),135.79)</f>
        <v>135.79</v>
      </c>
      <c r="E1277" s="1">
        <f ca="1">IFERROR(__xludf.DUMMYFUNCTION("""COMPUTED_VALUE"""),140.21)</f>
        <v>140.21</v>
      </c>
      <c r="F1277" s="1">
        <f ca="1">IFERROR(__xludf.DUMMYFUNCTION("""COMPUTED_VALUE"""),33716980)</f>
        <v>33716980</v>
      </c>
    </row>
    <row r="1278" spans="1:6" x14ac:dyDescent="0.2">
      <c r="A1278" s="2">
        <f ca="1">IFERROR(__xludf.DUMMYFUNCTION("""COMPUTED_VALUE"""),44130.6666666666)</f>
        <v>44130.666666666599</v>
      </c>
      <c r="B1278" s="1">
        <f ca="1">IFERROR(__xludf.DUMMYFUNCTION("""COMPUTED_VALUE"""),137.21)</f>
        <v>137.21</v>
      </c>
      <c r="C1278" s="1">
        <f ca="1">IFERROR(__xludf.DUMMYFUNCTION("""COMPUTED_VALUE"""),141.92)</f>
        <v>141.91999999999999</v>
      </c>
      <c r="D1278" s="1">
        <f ca="1">IFERROR(__xludf.DUMMYFUNCTION("""COMPUTED_VALUE"""),136.67)</f>
        <v>136.66999999999999</v>
      </c>
      <c r="E1278" s="1">
        <f ca="1">IFERROR(__xludf.DUMMYFUNCTION("""COMPUTED_VALUE"""),140.09)</f>
        <v>140.09</v>
      </c>
      <c r="F1278" s="1">
        <f ca="1">IFERROR(__xludf.DUMMYFUNCTION("""COMPUTED_VALUE"""),28239161)</f>
        <v>28239161</v>
      </c>
    </row>
    <row r="1279" spans="1:6" x14ac:dyDescent="0.2">
      <c r="A1279" s="2">
        <f ca="1">IFERROR(__xludf.DUMMYFUNCTION("""COMPUTED_VALUE"""),44131.6666666666)</f>
        <v>44131.666666666599</v>
      </c>
      <c r="B1279" s="1">
        <f ca="1">IFERROR(__xludf.DUMMYFUNCTION("""COMPUTED_VALUE"""),141.25)</f>
        <v>141.25</v>
      </c>
      <c r="C1279" s="1">
        <f ca="1">IFERROR(__xludf.DUMMYFUNCTION("""COMPUTED_VALUE"""),143.5)</f>
        <v>143.5</v>
      </c>
      <c r="D1279" s="1">
        <f ca="1">IFERROR(__xludf.DUMMYFUNCTION("""COMPUTED_VALUE"""),140.03)</f>
        <v>140.03</v>
      </c>
      <c r="E1279" s="1">
        <f ca="1">IFERROR(__xludf.DUMMYFUNCTION("""COMPUTED_VALUE"""),141.56)</f>
        <v>141.56</v>
      </c>
      <c r="F1279" s="1">
        <f ca="1">IFERROR(__xludf.DUMMYFUNCTION("""COMPUTED_VALUE"""),22686506)</f>
        <v>22686506</v>
      </c>
    </row>
    <row r="1280" spans="1:6" x14ac:dyDescent="0.2">
      <c r="A1280" s="2">
        <f ca="1">IFERROR(__xludf.DUMMYFUNCTION("""COMPUTED_VALUE"""),44132.6666666666)</f>
        <v>44132.666666666599</v>
      </c>
      <c r="B1280" s="1">
        <f ca="1">IFERROR(__xludf.DUMMYFUNCTION("""COMPUTED_VALUE"""),138.83)</f>
        <v>138.83000000000001</v>
      </c>
      <c r="C1280" s="1">
        <f ca="1">IFERROR(__xludf.DUMMYFUNCTION("""COMPUTED_VALUE"""),139.53)</f>
        <v>139.53</v>
      </c>
      <c r="D1280" s="1">
        <f ca="1">IFERROR(__xludf.DUMMYFUNCTION("""COMPUTED_VALUE"""),135.33)</f>
        <v>135.33000000000001</v>
      </c>
      <c r="E1280" s="1">
        <f ca="1">IFERROR(__xludf.DUMMYFUNCTION("""COMPUTED_VALUE"""),135.34)</f>
        <v>135.34</v>
      </c>
      <c r="F1280" s="1">
        <f ca="1">IFERROR(__xludf.DUMMYFUNCTION("""COMPUTED_VALUE"""),25451409)</f>
        <v>25451409</v>
      </c>
    </row>
    <row r="1281" spans="1:6" x14ac:dyDescent="0.2">
      <c r="A1281" s="2">
        <f ca="1">IFERROR(__xludf.DUMMYFUNCTION("""COMPUTED_VALUE"""),44133.6666666666)</f>
        <v>44133.666666666599</v>
      </c>
      <c r="B1281" s="1">
        <f ca="1">IFERROR(__xludf.DUMMYFUNCTION("""COMPUTED_VALUE"""),136.65)</f>
        <v>136.65</v>
      </c>
      <c r="C1281" s="1">
        <f ca="1">IFERROR(__xludf.DUMMYFUNCTION("""COMPUTED_VALUE"""),139.35)</f>
        <v>139.35</v>
      </c>
      <c r="D1281" s="1">
        <f ca="1">IFERROR(__xludf.DUMMYFUNCTION("""COMPUTED_VALUE"""),135.49)</f>
        <v>135.49</v>
      </c>
      <c r="E1281" s="1">
        <f ca="1">IFERROR(__xludf.DUMMYFUNCTION("""COMPUTED_VALUE"""),136.94)</f>
        <v>136.94</v>
      </c>
      <c r="F1281" s="1">
        <f ca="1">IFERROR(__xludf.DUMMYFUNCTION("""COMPUTED_VALUE"""),22655308)</f>
        <v>22655308</v>
      </c>
    </row>
    <row r="1282" spans="1:6" x14ac:dyDescent="0.2">
      <c r="A1282" s="2">
        <f ca="1">IFERROR(__xludf.DUMMYFUNCTION("""COMPUTED_VALUE"""),44134.6666666666)</f>
        <v>44134.666666666599</v>
      </c>
      <c r="B1282" s="1">
        <f ca="1">IFERROR(__xludf.DUMMYFUNCTION("""COMPUTED_VALUE"""),135.63)</f>
        <v>135.63</v>
      </c>
      <c r="C1282" s="1">
        <f ca="1">IFERROR(__xludf.DUMMYFUNCTION("""COMPUTED_VALUE"""),135.86)</f>
        <v>135.86000000000001</v>
      </c>
      <c r="D1282" s="1">
        <f ca="1">IFERROR(__xludf.DUMMYFUNCTION("""COMPUTED_VALUE"""),126.37)</f>
        <v>126.37</v>
      </c>
      <c r="E1282" s="1">
        <f ca="1">IFERROR(__xludf.DUMMYFUNCTION("""COMPUTED_VALUE"""),129.35)</f>
        <v>129.35</v>
      </c>
      <c r="F1282" s="1">
        <f ca="1">IFERROR(__xludf.DUMMYFUNCTION("""COMPUTED_VALUE"""),42587639)</f>
        <v>42587639</v>
      </c>
    </row>
    <row r="1283" spans="1:6" x14ac:dyDescent="0.2">
      <c r="A1283" s="2">
        <f ca="1">IFERROR(__xludf.DUMMYFUNCTION("""COMPUTED_VALUE"""),44137.6666666666)</f>
        <v>44137.666666666599</v>
      </c>
      <c r="B1283" s="1">
        <f ca="1">IFERROR(__xludf.DUMMYFUNCTION("""COMPUTED_VALUE"""),131.33)</f>
        <v>131.33000000000001</v>
      </c>
      <c r="C1283" s="1">
        <f ca="1">IFERROR(__xludf.DUMMYFUNCTION("""COMPUTED_VALUE"""),135.66)</f>
        <v>135.66</v>
      </c>
      <c r="D1283" s="1">
        <f ca="1">IFERROR(__xludf.DUMMYFUNCTION("""COMPUTED_VALUE"""),130.77)</f>
        <v>130.77000000000001</v>
      </c>
      <c r="E1283" s="1">
        <f ca="1">IFERROR(__xludf.DUMMYFUNCTION("""COMPUTED_VALUE"""),133.5)</f>
        <v>133.5</v>
      </c>
      <c r="F1283" s="1">
        <f ca="1">IFERROR(__xludf.DUMMYFUNCTION("""COMPUTED_VALUE"""),29021118)</f>
        <v>29021118</v>
      </c>
    </row>
    <row r="1284" spans="1:6" x14ac:dyDescent="0.2">
      <c r="A1284" s="2">
        <f ca="1">IFERROR(__xludf.DUMMYFUNCTION("""COMPUTED_VALUE"""),44138.6666666666)</f>
        <v>44138.666666666599</v>
      </c>
      <c r="B1284" s="1">
        <f ca="1">IFERROR(__xludf.DUMMYFUNCTION("""COMPUTED_VALUE"""),136.58)</f>
        <v>136.58000000000001</v>
      </c>
      <c r="C1284" s="1">
        <f ca="1">IFERROR(__xludf.DUMMYFUNCTION("""COMPUTED_VALUE"""),142.59)</f>
        <v>142.59</v>
      </c>
      <c r="D1284" s="1">
        <f ca="1">IFERROR(__xludf.DUMMYFUNCTION("""COMPUTED_VALUE"""),135.56)</f>
        <v>135.56</v>
      </c>
      <c r="E1284" s="1">
        <f ca="1">IFERROR(__xludf.DUMMYFUNCTION("""COMPUTED_VALUE"""),141.3)</f>
        <v>141.30000000000001</v>
      </c>
      <c r="F1284" s="1">
        <f ca="1">IFERROR(__xludf.DUMMYFUNCTION("""COMPUTED_VALUE"""),34351715)</f>
        <v>34351715</v>
      </c>
    </row>
    <row r="1285" spans="1:6" x14ac:dyDescent="0.2">
      <c r="A1285" s="2">
        <f ca="1">IFERROR(__xludf.DUMMYFUNCTION("""COMPUTED_VALUE"""),44139.6666666666)</f>
        <v>44139.666666666599</v>
      </c>
      <c r="B1285" s="1">
        <f ca="1">IFERROR(__xludf.DUMMYFUNCTION("""COMPUTED_VALUE"""),143.54)</f>
        <v>143.54</v>
      </c>
      <c r="C1285" s="1">
        <f ca="1">IFERROR(__xludf.DUMMYFUNCTION("""COMPUTED_VALUE"""),145.13)</f>
        <v>145.13</v>
      </c>
      <c r="D1285" s="1">
        <f ca="1">IFERROR(__xludf.DUMMYFUNCTION("""COMPUTED_VALUE"""),139.03)</f>
        <v>139.03</v>
      </c>
      <c r="E1285" s="1">
        <f ca="1">IFERROR(__xludf.DUMMYFUNCTION("""COMPUTED_VALUE"""),140.33)</f>
        <v>140.33000000000001</v>
      </c>
      <c r="F1285" s="1">
        <f ca="1">IFERROR(__xludf.DUMMYFUNCTION("""COMPUTED_VALUE"""),32143057)</f>
        <v>32143057</v>
      </c>
    </row>
    <row r="1286" spans="1:6" x14ac:dyDescent="0.2">
      <c r="A1286" s="2">
        <f ca="1">IFERROR(__xludf.DUMMYFUNCTION("""COMPUTED_VALUE"""),44140.6666666666)</f>
        <v>44140.666666666599</v>
      </c>
      <c r="B1286" s="1">
        <f ca="1">IFERROR(__xludf.DUMMYFUNCTION("""COMPUTED_VALUE"""),142.77)</f>
        <v>142.77000000000001</v>
      </c>
      <c r="C1286" s="1">
        <f ca="1">IFERROR(__xludf.DUMMYFUNCTION("""COMPUTED_VALUE"""),146.67)</f>
        <v>146.66999999999999</v>
      </c>
      <c r="D1286" s="1">
        <f ca="1">IFERROR(__xludf.DUMMYFUNCTION("""COMPUTED_VALUE"""),141.33)</f>
        <v>141.33000000000001</v>
      </c>
      <c r="E1286" s="1">
        <f ca="1">IFERROR(__xludf.DUMMYFUNCTION("""COMPUTED_VALUE"""),146.03)</f>
        <v>146.03</v>
      </c>
      <c r="F1286" s="1">
        <f ca="1">IFERROR(__xludf.DUMMYFUNCTION("""COMPUTED_VALUE"""),28414523)</f>
        <v>28414523</v>
      </c>
    </row>
    <row r="1287" spans="1:6" x14ac:dyDescent="0.2">
      <c r="A1287" s="2">
        <f ca="1">IFERROR(__xludf.DUMMYFUNCTION("""COMPUTED_VALUE"""),44141.6666666666)</f>
        <v>44141.666666666599</v>
      </c>
      <c r="B1287" s="1">
        <f ca="1">IFERROR(__xludf.DUMMYFUNCTION("""COMPUTED_VALUE"""),145.37)</f>
        <v>145.37</v>
      </c>
      <c r="C1287" s="1">
        <f ca="1">IFERROR(__xludf.DUMMYFUNCTION("""COMPUTED_VALUE"""),145.52)</f>
        <v>145.52000000000001</v>
      </c>
      <c r="D1287" s="1">
        <f ca="1">IFERROR(__xludf.DUMMYFUNCTION("""COMPUTED_VALUE"""),141.43)</f>
        <v>141.43</v>
      </c>
      <c r="E1287" s="1">
        <f ca="1">IFERROR(__xludf.DUMMYFUNCTION("""COMPUTED_VALUE"""),143.32)</f>
        <v>143.32</v>
      </c>
      <c r="F1287" s="1">
        <f ca="1">IFERROR(__xludf.DUMMYFUNCTION("""COMPUTED_VALUE"""),21706014)</f>
        <v>21706014</v>
      </c>
    </row>
    <row r="1288" spans="1:6" x14ac:dyDescent="0.2">
      <c r="A1288" s="2">
        <f ca="1">IFERROR(__xludf.DUMMYFUNCTION("""COMPUTED_VALUE"""),44144.6666666666)</f>
        <v>44144.666666666599</v>
      </c>
      <c r="B1288" s="1">
        <f ca="1">IFERROR(__xludf.DUMMYFUNCTION("""COMPUTED_VALUE"""),146.5)</f>
        <v>146.5</v>
      </c>
      <c r="C1288" s="1">
        <f ca="1">IFERROR(__xludf.DUMMYFUNCTION("""COMPUTED_VALUE"""),150.83)</f>
        <v>150.83000000000001</v>
      </c>
      <c r="D1288" s="1">
        <f ca="1">IFERROR(__xludf.DUMMYFUNCTION("""COMPUTED_VALUE"""),140.33)</f>
        <v>140.33000000000001</v>
      </c>
      <c r="E1288" s="1">
        <f ca="1">IFERROR(__xludf.DUMMYFUNCTION("""COMPUTED_VALUE"""),140.42)</f>
        <v>140.41999999999999</v>
      </c>
      <c r="F1288" s="1">
        <f ca="1">IFERROR(__xludf.DUMMYFUNCTION("""COMPUTED_VALUE"""),34833025)</f>
        <v>34833025</v>
      </c>
    </row>
    <row r="1289" spans="1:6" x14ac:dyDescent="0.2">
      <c r="A1289" s="2">
        <f ca="1">IFERROR(__xludf.DUMMYFUNCTION("""COMPUTED_VALUE"""),44145.6666666666)</f>
        <v>44145.666666666599</v>
      </c>
      <c r="B1289" s="1">
        <f ca="1">IFERROR(__xludf.DUMMYFUNCTION("""COMPUTED_VALUE"""),140.03)</f>
        <v>140.03</v>
      </c>
      <c r="C1289" s="1">
        <f ca="1">IFERROR(__xludf.DUMMYFUNCTION("""COMPUTED_VALUE"""),140.03)</f>
        <v>140.03</v>
      </c>
      <c r="D1289" s="1">
        <f ca="1">IFERROR(__xludf.DUMMYFUNCTION("""COMPUTED_VALUE"""),132.01)</f>
        <v>132.01</v>
      </c>
      <c r="E1289" s="1">
        <f ca="1">IFERROR(__xludf.DUMMYFUNCTION("""COMPUTED_VALUE"""),136.79)</f>
        <v>136.79</v>
      </c>
      <c r="F1289" s="1">
        <f ca="1">IFERROR(__xludf.DUMMYFUNCTION("""COMPUTED_VALUE"""),30284224)</f>
        <v>30284224</v>
      </c>
    </row>
    <row r="1290" spans="1:6" x14ac:dyDescent="0.2">
      <c r="A1290" s="2">
        <f ca="1">IFERROR(__xludf.DUMMYFUNCTION("""COMPUTED_VALUE"""),44146.6666666666)</f>
        <v>44146.666666666599</v>
      </c>
      <c r="B1290" s="1">
        <f ca="1">IFERROR(__xludf.DUMMYFUNCTION("""COMPUTED_VALUE"""),138.82)</f>
        <v>138.82</v>
      </c>
      <c r="C1290" s="1">
        <f ca="1">IFERROR(__xludf.DUMMYFUNCTION("""COMPUTED_VALUE"""),139.57)</f>
        <v>139.57</v>
      </c>
      <c r="D1290" s="1">
        <f ca="1">IFERROR(__xludf.DUMMYFUNCTION("""COMPUTED_VALUE"""),136.86)</f>
        <v>136.86000000000001</v>
      </c>
      <c r="E1290" s="1">
        <f ca="1">IFERROR(__xludf.DUMMYFUNCTION("""COMPUTED_VALUE"""),139.04)</f>
        <v>139.04</v>
      </c>
      <c r="F1290" s="1">
        <f ca="1">IFERROR(__xludf.DUMMYFUNCTION("""COMPUTED_VALUE"""),17357722)</f>
        <v>17357722</v>
      </c>
    </row>
    <row r="1291" spans="1:6" x14ac:dyDescent="0.2">
      <c r="A1291" s="2">
        <f ca="1">IFERROR(__xludf.DUMMYFUNCTION("""COMPUTED_VALUE"""),44147.6666666666)</f>
        <v>44147.666666666599</v>
      </c>
      <c r="B1291" s="1">
        <f ca="1">IFERROR(__xludf.DUMMYFUNCTION("""COMPUTED_VALUE"""),138.35)</f>
        <v>138.35</v>
      </c>
      <c r="C1291" s="1">
        <f ca="1">IFERROR(__xludf.DUMMYFUNCTION("""COMPUTED_VALUE"""),141)</f>
        <v>141</v>
      </c>
      <c r="D1291" s="1">
        <f ca="1">IFERROR(__xludf.DUMMYFUNCTION("""COMPUTED_VALUE"""),136.51)</f>
        <v>136.51</v>
      </c>
      <c r="E1291" s="1">
        <f ca="1">IFERROR(__xludf.DUMMYFUNCTION("""COMPUTED_VALUE"""),137.25)</f>
        <v>137.25</v>
      </c>
      <c r="F1291" s="1">
        <f ca="1">IFERROR(__xludf.DUMMYFUNCTION("""COMPUTED_VALUE"""),19940500)</f>
        <v>19940500</v>
      </c>
    </row>
    <row r="1292" spans="1:6" x14ac:dyDescent="0.2">
      <c r="A1292" s="2">
        <f ca="1">IFERROR(__xludf.DUMMYFUNCTION("""COMPUTED_VALUE"""),44148.6666666666)</f>
        <v>44148.666666666599</v>
      </c>
      <c r="B1292" s="1">
        <f ca="1">IFERROR(__xludf.DUMMYFUNCTION("""COMPUTED_VALUE"""),136.95)</f>
        <v>136.94999999999999</v>
      </c>
      <c r="C1292" s="1">
        <f ca="1">IFERROR(__xludf.DUMMYFUNCTION("""COMPUTED_VALUE"""),137.51)</f>
        <v>137.51</v>
      </c>
      <c r="D1292" s="1">
        <f ca="1">IFERROR(__xludf.DUMMYFUNCTION("""COMPUTED_VALUE"""),133.89)</f>
        <v>133.88999999999999</v>
      </c>
      <c r="E1292" s="1">
        <f ca="1">IFERROR(__xludf.DUMMYFUNCTION("""COMPUTED_VALUE"""),136.17)</f>
        <v>136.16999999999999</v>
      </c>
      <c r="F1292" s="1">
        <f ca="1">IFERROR(__xludf.DUMMYFUNCTION("""COMPUTED_VALUE"""),19830351)</f>
        <v>19830351</v>
      </c>
    </row>
    <row r="1293" spans="1:6" x14ac:dyDescent="0.2">
      <c r="A1293" s="2">
        <f ca="1">IFERROR(__xludf.DUMMYFUNCTION("""COMPUTED_VALUE"""),44151.6666666666)</f>
        <v>44151.666666666599</v>
      </c>
      <c r="B1293" s="1">
        <f ca="1">IFERROR(__xludf.DUMMYFUNCTION("""COMPUTED_VALUE"""),136.31)</f>
        <v>136.31</v>
      </c>
      <c r="C1293" s="1">
        <f ca="1">IFERROR(__xludf.DUMMYFUNCTION("""COMPUTED_VALUE"""),137.48)</f>
        <v>137.47999999999999</v>
      </c>
      <c r="D1293" s="1">
        <f ca="1">IFERROR(__xludf.DUMMYFUNCTION("""COMPUTED_VALUE"""),134.7)</f>
        <v>134.69999999999999</v>
      </c>
      <c r="E1293" s="1">
        <f ca="1">IFERROR(__xludf.DUMMYFUNCTION("""COMPUTED_VALUE"""),136.03)</f>
        <v>136.03</v>
      </c>
      <c r="F1293" s="1">
        <f ca="1">IFERROR(__xludf.DUMMYFUNCTION("""COMPUTED_VALUE"""),26838635)</f>
        <v>26838635</v>
      </c>
    </row>
    <row r="1294" spans="1:6" x14ac:dyDescent="0.2">
      <c r="A1294" s="2">
        <f ca="1">IFERROR(__xludf.DUMMYFUNCTION("""COMPUTED_VALUE"""),44152.6666666666)</f>
        <v>44152.666666666599</v>
      </c>
      <c r="B1294" s="1">
        <f ca="1">IFERROR(__xludf.DUMMYFUNCTION("""COMPUTED_VALUE"""),153.39)</f>
        <v>153.38999999999999</v>
      </c>
      <c r="C1294" s="1">
        <f ca="1">IFERROR(__xludf.DUMMYFUNCTION("""COMPUTED_VALUE"""),154)</f>
        <v>154</v>
      </c>
      <c r="D1294" s="1">
        <f ca="1">IFERROR(__xludf.DUMMYFUNCTION("""COMPUTED_VALUE"""),144.34)</f>
        <v>144.34</v>
      </c>
      <c r="E1294" s="1">
        <f ca="1">IFERROR(__xludf.DUMMYFUNCTION("""COMPUTED_VALUE"""),147.2)</f>
        <v>147.19999999999999</v>
      </c>
      <c r="F1294" s="1">
        <f ca="1">IFERROR(__xludf.DUMMYFUNCTION("""COMPUTED_VALUE"""),61188281)</f>
        <v>61188281</v>
      </c>
    </row>
    <row r="1295" spans="1:6" x14ac:dyDescent="0.2">
      <c r="A1295" s="2">
        <f ca="1">IFERROR(__xludf.DUMMYFUNCTION("""COMPUTED_VALUE"""),44153.6666666666)</f>
        <v>44153.666666666599</v>
      </c>
      <c r="B1295" s="1">
        <f ca="1">IFERROR(__xludf.DUMMYFUNCTION("""COMPUTED_VALUE"""),149.45)</f>
        <v>149.44999999999999</v>
      </c>
      <c r="C1295" s="1">
        <f ca="1">IFERROR(__xludf.DUMMYFUNCTION("""COMPUTED_VALUE"""),165.33)</f>
        <v>165.33</v>
      </c>
      <c r="D1295" s="1">
        <f ca="1">IFERROR(__xludf.DUMMYFUNCTION("""COMPUTED_VALUE"""),147.83)</f>
        <v>147.83000000000001</v>
      </c>
      <c r="E1295" s="1">
        <f ca="1">IFERROR(__xludf.DUMMYFUNCTION("""COMPUTED_VALUE"""),162.21)</f>
        <v>162.21</v>
      </c>
      <c r="F1295" s="1">
        <f ca="1">IFERROR(__xludf.DUMMYFUNCTION("""COMPUTED_VALUE"""),78044024)</f>
        <v>78044024</v>
      </c>
    </row>
    <row r="1296" spans="1:6" x14ac:dyDescent="0.2">
      <c r="A1296" s="2">
        <f ca="1">IFERROR(__xludf.DUMMYFUNCTION("""COMPUTED_VALUE"""),44154.6666666666)</f>
        <v>44154.666666666599</v>
      </c>
      <c r="B1296" s="1">
        <f ca="1">IFERROR(__xludf.DUMMYFUNCTION("""COMPUTED_VALUE"""),164)</f>
        <v>164</v>
      </c>
      <c r="C1296" s="1">
        <f ca="1">IFERROR(__xludf.DUMMYFUNCTION("""COMPUTED_VALUE"""),169.54)</f>
        <v>169.54</v>
      </c>
      <c r="D1296" s="1">
        <f ca="1">IFERROR(__xludf.DUMMYFUNCTION("""COMPUTED_VALUE"""),162.52)</f>
        <v>162.52000000000001</v>
      </c>
      <c r="E1296" s="1">
        <f ca="1">IFERROR(__xludf.DUMMYFUNCTION("""COMPUTED_VALUE"""),166.42)</f>
        <v>166.42</v>
      </c>
      <c r="F1296" s="1">
        <f ca="1">IFERROR(__xludf.DUMMYFUNCTION("""COMPUTED_VALUE"""),62475346)</f>
        <v>62475346</v>
      </c>
    </row>
    <row r="1297" spans="1:6" x14ac:dyDescent="0.2">
      <c r="A1297" s="2">
        <f ca="1">IFERROR(__xludf.DUMMYFUNCTION("""COMPUTED_VALUE"""),44155.6666666666)</f>
        <v>44155.666666666599</v>
      </c>
      <c r="B1297" s="1">
        <f ca="1">IFERROR(__xludf.DUMMYFUNCTION("""COMPUTED_VALUE"""),166)</f>
        <v>166</v>
      </c>
      <c r="C1297" s="1">
        <f ca="1">IFERROR(__xludf.DUMMYFUNCTION("""COMPUTED_VALUE"""),167.5)</f>
        <v>167.5</v>
      </c>
      <c r="D1297" s="1">
        <f ca="1">IFERROR(__xludf.DUMMYFUNCTION("""COMPUTED_VALUE"""),163.02)</f>
        <v>163.02000000000001</v>
      </c>
      <c r="E1297" s="1">
        <f ca="1">IFERROR(__xludf.DUMMYFUNCTION("""COMPUTED_VALUE"""),163.2)</f>
        <v>163.19999999999999</v>
      </c>
      <c r="F1297" s="1">
        <f ca="1">IFERROR(__xludf.DUMMYFUNCTION("""COMPUTED_VALUE"""),32911922)</f>
        <v>32911922</v>
      </c>
    </row>
    <row r="1298" spans="1:6" x14ac:dyDescent="0.2">
      <c r="A1298" s="2">
        <f ca="1">IFERROR(__xludf.DUMMYFUNCTION("""COMPUTED_VALUE"""),44158.6666666666)</f>
        <v>44158.666666666599</v>
      </c>
      <c r="B1298" s="1">
        <f ca="1">IFERROR(__xludf.DUMMYFUNCTION("""COMPUTED_VALUE"""),167.83)</f>
        <v>167.83</v>
      </c>
      <c r="C1298" s="1">
        <f ca="1">IFERROR(__xludf.DUMMYFUNCTION("""COMPUTED_VALUE"""),175.33)</f>
        <v>175.33</v>
      </c>
      <c r="D1298" s="1">
        <f ca="1">IFERROR(__xludf.DUMMYFUNCTION("""COMPUTED_VALUE"""),167.26)</f>
        <v>167.26</v>
      </c>
      <c r="E1298" s="1">
        <f ca="1">IFERROR(__xludf.DUMMYFUNCTION("""COMPUTED_VALUE"""),173.95)</f>
        <v>173.95</v>
      </c>
      <c r="F1298" s="1">
        <f ca="1">IFERROR(__xludf.DUMMYFUNCTION("""COMPUTED_VALUE"""),50260304)</f>
        <v>50260304</v>
      </c>
    </row>
    <row r="1299" spans="1:6" x14ac:dyDescent="0.2">
      <c r="A1299" s="2">
        <f ca="1">IFERROR(__xludf.DUMMYFUNCTION("""COMPUTED_VALUE"""),44159.6666666666)</f>
        <v>44159.666666666599</v>
      </c>
      <c r="B1299" s="1">
        <f ca="1">IFERROR(__xludf.DUMMYFUNCTION("""COMPUTED_VALUE"""),180.13)</f>
        <v>180.13</v>
      </c>
      <c r="C1299" s="1">
        <f ca="1">IFERROR(__xludf.DUMMYFUNCTION("""COMPUTED_VALUE"""),186.66)</f>
        <v>186.66</v>
      </c>
      <c r="D1299" s="1">
        <f ca="1">IFERROR(__xludf.DUMMYFUNCTION("""COMPUTED_VALUE"""),175.4)</f>
        <v>175.4</v>
      </c>
      <c r="E1299" s="1">
        <f ca="1">IFERROR(__xludf.DUMMYFUNCTION("""COMPUTED_VALUE"""),185.13)</f>
        <v>185.13</v>
      </c>
      <c r="F1299" s="1">
        <f ca="1">IFERROR(__xludf.DUMMYFUNCTION("""COMPUTED_VALUE"""),53648494)</f>
        <v>53648494</v>
      </c>
    </row>
    <row r="1300" spans="1:6" x14ac:dyDescent="0.2">
      <c r="A1300" s="2">
        <f ca="1">IFERROR(__xludf.DUMMYFUNCTION("""COMPUTED_VALUE"""),44160.6666666666)</f>
        <v>44160.666666666599</v>
      </c>
      <c r="B1300" s="1">
        <f ca="1">IFERROR(__xludf.DUMMYFUNCTION("""COMPUTED_VALUE"""),183.35)</f>
        <v>183.35</v>
      </c>
      <c r="C1300" s="1">
        <f ca="1">IFERROR(__xludf.DUMMYFUNCTION("""COMPUTED_VALUE"""),191.33)</f>
        <v>191.33</v>
      </c>
      <c r="D1300" s="1">
        <f ca="1">IFERROR(__xludf.DUMMYFUNCTION("""COMPUTED_VALUE"""),181.79)</f>
        <v>181.79</v>
      </c>
      <c r="E1300" s="1">
        <f ca="1">IFERROR(__xludf.DUMMYFUNCTION("""COMPUTED_VALUE"""),191.33)</f>
        <v>191.33</v>
      </c>
      <c r="F1300" s="1">
        <f ca="1">IFERROR(__xludf.DUMMYFUNCTION("""COMPUTED_VALUE"""),48930162)</f>
        <v>48930162</v>
      </c>
    </row>
    <row r="1301" spans="1:6" x14ac:dyDescent="0.2">
      <c r="A1301" s="2">
        <f ca="1">IFERROR(__xludf.DUMMYFUNCTION("""COMPUTED_VALUE"""),44162.5416666666)</f>
        <v>44162.541666666599</v>
      </c>
      <c r="B1301" s="1">
        <f ca="1">IFERROR(__xludf.DUMMYFUNCTION("""COMPUTED_VALUE"""),193.72)</f>
        <v>193.72</v>
      </c>
      <c r="C1301" s="1">
        <f ca="1">IFERROR(__xludf.DUMMYFUNCTION("""COMPUTED_VALUE"""),199.59)</f>
        <v>199.59</v>
      </c>
      <c r="D1301" s="1">
        <f ca="1">IFERROR(__xludf.DUMMYFUNCTION("""COMPUTED_VALUE"""),192.82)</f>
        <v>192.82</v>
      </c>
      <c r="E1301" s="1">
        <f ca="1">IFERROR(__xludf.DUMMYFUNCTION("""COMPUTED_VALUE"""),195.25)</f>
        <v>195.25</v>
      </c>
      <c r="F1301" s="1">
        <f ca="1">IFERROR(__xludf.DUMMYFUNCTION("""COMPUTED_VALUE"""),37561078)</f>
        <v>37561078</v>
      </c>
    </row>
    <row r="1302" spans="1:6" x14ac:dyDescent="0.2">
      <c r="A1302" s="2">
        <f ca="1">IFERROR(__xludf.DUMMYFUNCTION("""COMPUTED_VALUE"""),44165.6666666666)</f>
        <v>44165.666666666599</v>
      </c>
      <c r="B1302" s="1">
        <f ca="1">IFERROR(__xludf.DUMMYFUNCTION("""COMPUTED_VALUE"""),200.74)</f>
        <v>200.74</v>
      </c>
      <c r="C1302" s="1">
        <f ca="1">IFERROR(__xludf.DUMMYFUNCTION("""COMPUTED_VALUE"""),202.6)</f>
        <v>202.6</v>
      </c>
      <c r="D1302" s="1">
        <f ca="1">IFERROR(__xludf.DUMMYFUNCTION("""COMPUTED_VALUE"""),184.84)</f>
        <v>184.84</v>
      </c>
      <c r="E1302" s="1">
        <f ca="1">IFERROR(__xludf.DUMMYFUNCTION("""COMPUTED_VALUE"""),189.2)</f>
        <v>189.2</v>
      </c>
      <c r="F1302" s="1">
        <f ca="1">IFERROR(__xludf.DUMMYFUNCTION("""COMPUTED_VALUE"""),63003052)</f>
        <v>63003052</v>
      </c>
    </row>
    <row r="1303" spans="1:6" x14ac:dyDescent="0.2">
      <c r="A1303" s="2">
        <f ca="1">IFERROR(__xludf.DUMMYFUNCTION("""COMPUTED_VALUE"""),44166.6666666666)</f>
        <v>44166.666666666599</v>
      </c>
      <c r="B1303" s="1">
        <f ca="1">IFERROR(__xludf.DUMMYFUNCTION("""COMPUTED_VALUE"""),199.2)</f>
        <v>199.2</v>
      </c>
      <c r="C1303" s="1">
        <f ca="1">IFERROR(__xludf.DUMMYFUNCTION("""COMPUTED_VALUE"""),199.28)</f>
        <v>199.28</v>
      </c>
      <c r="D1303" s="1">
        <f ca="1">IFERROR(__xludf.DUMMYFUNCTION("""COMPUTED_VALUE"""),190.68)</f>
        <v>190.68</v>
      </c>
      <c r="E1303" s="1">
        <f ca="1">IFERROR(__xludf.DUMMYFUNCTION("""COMPUTED_VALUE"""),194.92)</f>
        <v>194.92</v>
      </c>
      <c r="F1303" s="1">
        <f ca="1">IFERROR(__xludf.DUMMYFUNCTION("""COMPUTED_VALUE"""),40382832)</f>
        <v>40382832</v>
      </c>
    </row>
    <row r="1304" spans="1:6" x14ac:dyDescent="0.2">
      <c r="A1304" s="2">
        <f ca="1">IFERROR(__xludf.DUMMYFUNCTION("""COMPUTED_VALUE"""),44167.6666666666)</f>
        <v>44167.666666666599</v>
      </c>
      <c r="B1304" s="1">
        <f ca="1">IFERROR(__xludf.DUMMYFUNCTION("""COMPUTED_VALUE"""),185.48)</f>
        <v>185.48</v>
      </c>
      <c r="C1304" s="1">
        <f ca="1">IFERROR(__xludf.DUMMYFUNCTION("""COMPUTED_VALUE"""),190.51)</f>
        <v>190.51</v>
      </c>
      <c r="D1304" s="1">
        <f ca="1">IFERROR(__xludf.DUMMYFUNCTION("""COMPUTED_VALUE"""),180.4)</f>
        <v>180.4</v>
      </c>
      <c r="E1304" s="1">
        <f ca="1">IFERROR(__xludf.DUMMYFUNCTION("""COMPUTED_VALUE"""),189.61)</f>
        <v>189.61</v>
      </c>
      <c r="F1304" s="1">
        <f ca="1">IFERROR(__xludf.DUMMYFUNCTION("""COMPUTED_VALUE"""),47775653)</f>
        <v>47775653</v>
      </c>
    </row>
    <row r="1305" spans="1:6" x14ac:dyDescent="0.2">
      <c r="A1305" s="2">
        <f ca="1">IFERROR(__xludf.DUMMYFUNCTION("""COMPUTED_VALUE"""),44168.6666666666)</f>
        <v>44168.666666666599</v>
      </c>
      <c r="B1305" s="1">
        <f ca="1">IFERROR(__xludf.DUMMYFUNCTION("""COMPUTED_VALUE"""),196.67)</f>
        <v>196.67</v>
      </c>
      <c r="C1305" s="1">
        <f ca="1">IFERROR(__xludf.DUMMYFUNCTION("""COMPUTED_VALUE"""),199.66)</f>
        <v>199.66</v>
      </c>
      <c r="D1305" s="1">
        <f ca="1">IFERROR(__xludf.DUMMYFUNCTION("""COMPUTED_VALUE"""),194.14)</f>
        <v>194.14</v>
      </c>
      <c r="E1305" s="1">
        <f ca="1">IFERROR(__xludf.DUMMYFUNCTION("""COMPUTED_VALUE"""),197.79)</f>
        <v>197.79</v>
      </c>
      <c r="F1305" s="1">
        <f ca="1">IFERROR(__xludf.DUMMYFUNCTION("""COMPUTED_VALUE"""),42552003)</f>
        <v>42552003</v>
      </c>
    </row>
    <row r="1306" spans="1:6" x14ac:dyDescent="0.2">
      <c r="A1306" s="2">
        <f ca="1">IFERROR(__xludf.DUMMYFUNCTION("""COMPUTED_VALUE"""),44169.6666666666)</f>
        <v>44169.666666666599</v>
      </c>
      <c r="B1306" s="1">
        <f ca="1">IFERROR(__xludf.DUMMYFUNCTION("""COMPUTED_VALUE"""),197)</f>
        <v>197</v>
      </c>
      <c r="C1306" s="1">
        <f ca="1">IFERROR(__xludf.DUMMYFUNCTION("""COMPUTED_VALUE"""),199.68)</f>
        <v>199.68</v>
      </c>
      <c r="D1306" s="1">
        <f ca="1">IFERROR(__xludf.DUMMYFUNCTION("""COMPUTED_VALUE"""),195.17)</f>
        <v>195.17</v>
      </c>
      <c r="E1306" s="1">
        <f ca="1">IFERROR(__xludf.DUMMYFUNCTION("""COMPUTED_VALUE"""),199.68)</f>
        <v>199.68</v>
      </c>
      <c r="F1306" s="1">
        <f ca="1">IFERROR(__xludf.DUMMYFUNCTION("""COMPUTED_VALUE"""),29401314)</f>
        <v>29401314</v>
      </c>
    </row>
    <row r="1307" spans="1:6" x14ac:dyDescent="0.2">
      <c r="A1307" s="2">
        <f ca="1">IFERROR(__xludf.DUMMYFUNCTION("""COMPUTED_VALUE"""),44172.6666666666)</f>
        <v>44172.666666666599</v>
      </c>
      <c r="B1307" s="1">
        <f ca="1">IFERROR(__xludf.DUMMYFUNCTION("""COMPUTED_VALUE"""),201.64)</f>
        <v>201.64</v>
      </c>
      <c r="C1307" s="1">
        <f ca="1">IFERROR(__xludf.DUMMYFUNCTION("""COMPUTED_VALUE"""),216.26)</f>
        <v>216.26</v>
      </c>
      <c r="D1307" s="1">
        <f ca="1">IFERROR(__xludf.DUMMYFUNCTION("""COMPUTED_VALUE"""),201.02)</f>
        <v>201.02</v>
      </c>
      <c r="E1307" s="1">
        <f ca="1">IFERROR(__xludf.DUMMYFUNCTION("""COMPUTED_VALUE"""),213.92)</f>
        <v>213.92</v>
      </c>
      <c r="F1307" s="1">
        <f ca="1">IFERROR(__xludf.DUMMYFUNCTION("""COMPUTED_VALUE"""),56309709)</f>
        <v>56309709</v>
      </c>
    </row>
    <row r="1308" spans="1:6" x14ac:dyDescent="0.2">
      <c r="A1308" s="2">
        <f ca="1">IFERROR(__xludf.DUMMYFUNCTION("""COMPUTED_VALUE"""),44173.6666666666)</f>
        <v>44173.666666666599</v>
      </c>
      <c r="B1308" s="1">
        <f ca="1">IFERROR(__xludf.DUMMYFUNCTION("""COMPUTED_VALUE"""),208.5)</f>
        <v>208.5</v>
      </c>
      <c r="C1308" s="1">
        <f ca="1">IFERROR(__xludf.DUMMYFUNCTION("""COMPUTED_VALUE"""),217.09)</f>
        <v>217.09</v>
      </c>
      <c r="D1308" s="1">
        <f ca="1">IFERROR(__xludf.DUMMYFUNCTION("""COMPUTED_VALUE"""),206.17)</f>
        <v>206.17</v>
      </c>
      <c r="E1308" s="1">
        <f ca="1">IFERROR(__xludf.DUMMYFUNCTION("""COMPUTED_VALUE"""),216.63)</f>
        <v>216.63</v>
      </c>
      <c r="F1308" s="1">
        <f ca="1">IFERROR(__xludf.DUMMYFUNCTION("""COMPUTED_VALUE"""),64265029)</f>
        <v>64265029</v>
      </c>
    </row>
    <row r="1309" spans="1:6" x14ac:dyDescent="0.2">
      <c r="A1309" s="2">
        <f ca="1">IFERROR(__xludf.DUMMYFUNCTION("""COMPUTED_VALUE"""),44174.6666666666)</f>
        <v>44174.666666666599</v>
      </c>
      <c r="B1309" s="1">
        <f ca="1">IFERROR(__xludf.DUMMYFUNCTION("""COMPUTED_VALUE"""),217.9)</f>
        <v>217.9</v>
      </c>
      <c r="C1309" s="1">
        <f ca="1">IFERROR(__xludf.DUMMYFUNCTION("""COMPUTED_VALUE"""),218.11)</f>
        <v>218.11</v>
      </c>
      <c r="D1309" s="1">
        <f ca="1">IFERROR(__xludf.DUMMYFUNCTION("""COMPUTED_VALUE"""),196)</f>
        <v>196</v>
      </c>
      <c r="E1309" s="1">
        <f ca="1">IFERROR(__xludf.DUMMYFUNCTION("""COMPUTED_VALUE"""),201.49)</f>
        <v>201.49</v>
      </c>
      <c r="F1309" s="1">
        <f ca="1">IFERROR(__xludf.DUMMYFUNCTION("""COMPUTED_VALUE"""),71291190)</f>
        <v>71291190</v>
      </c>
    </row>
    <row r="1310" spans="1:6" x14ac:dyDescent="0.2">
      <c r="A1310" s="2">
        <f ca="1">IFERROR(__xludf.DUMMYFUNCTION("""COMPUTED_VALUE"""),44175.6666666666)</f>
        <v>44175.666666666599</v>
      </c>
      <c r="B1310" s="1">
        <f ca="1">IFERROR(__xludf.DUMMYFUNCTION("""COMPUTED_VALUE"""),191.46)</f>
        <v>191.46</v>
      </c>
      <c r="C1310" s="1">
        <f ca="1">IFERROR(__xludf.DUMMYFUNCTION("""COMPUTED_VALUE"""),209.25)</f>
        <v>209.25</v>
      </c>
      <c r="D1310" s="1">
        <f ca="1">IFERROR(__xludf.DUMMYFUNCTION("""COMPUTED_VALUE"""),188.78)</f>
        <v>188.78</v>
      </c>
      <c r="E1310" s="1">
        <f ca="1">IFERROR(__xludf.DUMMYFUNCTION("""COMPUTED_VALUE"""),209.02)</f>
        <v>209.02</v>
      </c>
      <c r="F1310" s="1">
        <f ca="1">IFERROR(__xludf.DUMMYFUNCTION("""COMPUTED_VALUE"""),67083153)</f>
        <v>67083153</v>
      </c>
    </row>
    <row r="1311" spans="1:6" x14ac:dyDescent="0.2">
      <c r="A1311" s="2">
        <f ca="1">IFERROR(__xludf.DUMMYFUNCTION("""COMPUTED_VALUE"""),44176.6666666666)</f>
        <v>44176.666666666599</v>
      </c>
      <c r="B1311" s="1">
        <f ca="1">IFERROR(__xludf.DUMMYFUNCTION("""COMPUTED_VALUE"""),205)</f>
        <v>205</v>
      </c>
      <c r="C1311" s="1">
        <f ca="1">IFERROR(__xludf.DUMMYFUNCTION("""COMPUTED_VALUE"""),208)</f>
        <v>208</v>
      </c>
      <c r="D1311" s="1">
        <f ca="1">IFERROR(__xludf.DUMMYFUNCTION("""COMPUTED_VALUE"""),198.93)</f>
        <v>198.93</v>
      </c>
      <c r="E1311" s="1">
        <f ca="1">IFERROR(__xludf.DUMMYFUNCTION("""COMPUTED_VALUE"""),203.33)</f>
        <v>203.33</v>
      </c>
      <c r="F1311" s="1">
        <f ca="1">IFERROR(__xludf.DUMMYFUNCTION("""COMPUTED_VALUE"""),46474974)</f>
        <v>46474974</v>
      </c>
    </row>
    <row r="1312" spans="1:6" x14ac:dyDescent="0.2">
      <c r="A1312" s="2">
        <f ca="1">IFERROR(__xludf.DUMMYFUNCTION("""COMPUTED_VALUE"""),44179.6666666666)</f>
        <v>44179.666666666599</v>
      </c>
      <c r="B1312" s="1">
        <f ca="1">IFERROR(__xludf.DUMMYFUNCTION("""COMPUTED_VALUE"""),206.33)</f>
        <v>206.33</v>
      </c>
      <c r="C1312" s="1">
        <f ca="1">IFERROR(__xludf.DUMMYFUNCTION("""COMPUTED_VALUE"""),214.25)</f>
        <v>214.25</v>
      </c>
      <c r="D1312" s="1">
        <f ca="1">IFERROR(__xludf.DUMMYFUNCTION("""COMPUTED_VALUE"""),203.4)</f>
        <v>203.4</v>
      </c>
      <c r="E1312" s="1">
        <f ca="1">IFERROR(__xludf.DUMMYFUNCTION("""COMPUTED_VALUE"""),213.28)</f>
        <v>213.28</v>
      </c>
      <c r="F1312" s="1">
        <f ca="1">IFERROR(__xludf.DUMMYFUNCTION("""COMPUTED_VALUE"""),52040649)</f>
        <v>52040649</v>
      </c>
    </row>
    <row r="1313" spans="1:6" x14ac:dyDescent="0.2">
      <c r="A1313" s="2">
        <f ca="1">IFERROR(__xludf.DUMMYFUNCTION("""COMPUTED_VALUE"""),44180.6666666666)</f>
        <v>44180.666666666599</v>
      </c>
      <c r="B1313" s="1">
        <f ca="1">IFERROR(__xludf.DUMMYFUNCTION("""COMPUTED_VALUE"""),214.43)</f>
        <v>214.43</v>
      </c>
      <c r="C1313" s="1">
        <f ca="1">IFERROR(__xludf.DUMMYFUNCTION("""COMPUTED_VALUE"""),215.63)</f>
        <v>215.63</v>
      </c>
      <c r="D1313" s="1">
        <f ca="1">IFERROR(__xludf.DUMMYFUNCTION("""COMPUTED_VALUE"""),207.93)</f>
        <v>207.93</v>
      </c>
      <c r="E1313" s="1">
        <f ca="1">IFERROR(__xludf.DUMMYFUNCTION("""COMPUTED_VALUE"""),211.08)</f>
        <v>211.08</v>
      </c>
      <c r="F1313" s="1">
        <f ca="1">IFERROR(__xludf.DUMMYFUNCTION("""COMPUTED_VALUE"""),45223559)</f>
        <v>45223559</v>
      </c>
    </row>
    <row r="1314" spans="1:6" x14ac:dyDescent="0.2">
      <c r="A1314" s="2">
        <f ca="1">IFERROR(__xludf.DUMMYFUNCTION("""COMPUTED_VALUE"""),44181.6666666666)</f>
        <v>44181.666666666599</v>
      </c>
      <c r="B1314" s="1">
        <f ca="1">IFERROR(__xludf.DUMMYFUNCTION("""COMPUTED_VALUE"""),209.41)</f>
        <v>209.41</v>
      </c>
      <c r="C1314" s="1">
        <f ca="1">IFERROR(__xludf.DUMMYFUNCTION("""COMPUTED_VALUE"""),210.83)</f>
        <v>210.83</v>
      </c>
      <c r="D1314" s="1">
        <f ca="1">IFERROR(__xludf.DUMMYFUNCTION("""COMPUTED_VALUE"""),201.67)</f>
        <v>201.67</v>
      </c>
      <c r="E1314" s="1">
        <f ca="1">IFERROR(__xludf.DUMMYFUNCTION("""COMPUTED_VALUE"""),207.59)</f>
        <v>207.59</v>
      </c>
      <c r="F1314" s="1">
        <f ca="1">IFERROR(__xludf.DUMMYFUNCTION("""COMPUTED_VALUE"""),42095813)</f>
        <v>42095813</v>
      </c>
    </row>
    <row r="1315" spans="1:6" x14ac:dyDescent="0.2">
      <c r="A1315" s="2">
        <f ca="1">IFERROR(__xludf.DUMMYFUNCTION("""COMPUTED_VALUE"""),44182.6666666666)</f>
        <v>44182.666666666599</v>
      </c>
      <c r="B1315" s="1">
        <f ca="1">IFERROR(__xludf.DUMMYFUNCTION("""COMPUTED_VALUE"""),209.4)</f>
        <v>209.4</v>
      </c>
      <c r="C1315" s="1">
        <f ca="1">IFERROR(__xludf.DUMMYFUNCTION("""COMPUTED_VALUE"""),219.61)</f>
        <v>219.61</v>
      </c>
      <c r="D1315" s="1">
        <f ca="1">IFERROR(__xludf.DUMMYFUNCTION("""COMPUTED_VALUE"""),206.5)</f>
        <v>206.5</v>
      </c>
      <c r="E1315" s="1">
        <f ca="1">IFERROR(__xludf.DUMMYFUNCTION("""COMPUTED_VALUE"""),218.63)</f>
        <v>218.63</v>
      </c>
      <c r="F1315" s="1">
        <f ca="1">IFERROR(__xludf.DUMMYFUNCTION("""COMPUTED_VALUE"""),56270144)</f>
        <v>56270144</v>
      </c>
    </row>
    <row r="1316" spans="1:6" x14ac:dyDescent="0.2">
      <c r="A1316" s="2">
        <f ca="1">IFERROR(__xludf.DUMMYFUNCTION("""COMPUTED_VALUE"""),44183.6666666666)</f>
        <v>44183.666666666599</v>
      </c>
      <c r="B1316" s="1">
        <f ca="1">IFERROR(__xludf.DUMMYFUNCTION("""COMPUTED_VALUE"""),222.97)</f>
        <v>222.97</v>
      </c>
      <c r="C1316" s="1">
        <f ca="1">IFERROR(__xludf.DUMMYFUNCTION("""COMPUTED_VALUE"""),231.67)</f>
        <v>231.67</v>
      </c>
      <c r="D1316" s="1">
        <f ca="1">IFERROR(__xludf.DUMMYFUNCTION("""COMPUTED_VALUE"""),209.51)</f>
        <v>209.51</v>
      </c>
      <c r="E1316" s="1">
        <f ca="1">IFERROR(__xludf.DUMMYFUNCTION("""COMPUTED_VALUE"""),231.67)</f>
        <v>231.67</v>
      </c>
      <c r="F1316" s="1">
        <f ca="1">IFERROR(__xludf.DUMMYFUNCTION("""COMPUTED_VALUE"""),222126194)</f>
        <v>222126194</v>
      </c>
    </row>
    <row r="1317" spans="1:6" x14ac:dyDescent="0.2">
      <c r="A1317" s="2">
        <f ca="1">IFERROR(__xludf.DUMMYFUNCTION("""COMPUTED_VALUE"""),44186.6666666666)</f>
        <v>44186.666666666599</v>
      </c>
      <c r="B1317" s="1">
        <f ca="1">IFERROR(__xludf.DUMMYFUNCTION("""COMPUTED_VALUE"""),222.08)</f>
        <v>222.08</v>
      </c>
      <c r="C1317" s="1">
        <f ca="1">IFERROR(__xludf.DUMMYFUNCTION("""COMPUTED_VALUE"""),222.83)</f>
        <v>222.83</v>
      </c>
      <c r="D1317" s="1">
        <f ca="1">IFERROR(__xludf.DUMMYFUNCTION("""COMPUTED_VALUE"""),215.36)</f>
        <v>215.36</v>
      </c>
      <c r="E1317" s="1">
        <f ca="1">IFERROR(__xludf.DUMMYFUNCTION("""COMPUTED_VALUE"""),216.62)</f>
        <v>216.62</v>
      </c>
      <c r="F1317" s="1">
        <f ca="1">IFERROR(__xludf.DUMMYFUNCTION("""COMPUTED_VALUE"""),58045264)</f>
        <v>58045264</v>
      </c>
    </row>
    <row r="1318" spans="1:6" x14ac:dyDescent="0.2">
      <c r="A1318" s="2">
        <f ca="1">IFERROR(__xludf.DUMMYFUNCTION("""COMPUTED_VALUE"""),44187.6666666666)</f>
        <v>44187.666666666599</v>
      </c>
      <c r="B1318" s="1">
        <f ca="1">IFERROR(__xludf.DUMMYFUNCTION("""COMPUTED_VALUE"""),216)</f>
        <v>216</v>
      </c>
      <c r="C1318" s="1">
        <f ca="1">IFERROR(__xludf.DUMMYFUNCTION("""COMPUTED_VALUE"""),216.63)</f>
        <v>216.63</v>
      </c>
      <c r="D1318" s="1">
        <f ca="1">IFERROR(__xludf.DUMMYFUNCTION("""COMPUTED_VALUE"""),204.74)</f>
        <v>204.74</v>
      </c>
      <c r="E1318" s="1">
        <f ca="1">IFERROR(__xludf.DUMMYFUNCTION("""COMPUTED_VALUE"""),213.45)</f>
        <v>213.45</v>
      </c>
      <c r="F1318" s="1">
        <f ca="1">IFERROR(__xludf.DUMMYFUNCTION("""COMPUTED_VALUE"""),51861644)</f>
        <v>51861644</v>
      </c>
    </row>
    <row r="1319" spans="1:6" x14ac:dyDescent="0.2">
      <c r="A1319" s="2">
        <f ca="1">IFERROR(__xludf.DUMMYFUNCTION("""COMPUTED_VALUE"""),44188.6666666666)</f>
        <v>44188.666666666599</v>
      </c>
      <c r="B1319" s="1">
        <f ca="1">IFERROR(__xludf.DUMMYFUNCTION("""COMPUTED_VALUE"""),210.73)</f>
        <v>210.73</v>
      </c>
      <c r="C1319" s="1">
        <f ca="1">IFERROR(__xludf.DUMMYFUNCTION("""COMPUTED_VALUE"""),217.17)</f>
        <v>217.17</v>
      </c>
      <c r="D1319" s="1">
        <f ca="1">IFERROR(__xludf.DUMMYFUNCTION("""COMPUTED_VALUE"""),207.52)</f>
        <v>207.52</v>
      </c>
      <c r="E1319" s="1">
        <f ca="1">IFERROR(__xludf.DUMMYFUNCTION("""COMPUTED_VALUE"""),215.33)</f>
        <v>215.33</v>
      </c>
      <c r="F1319" s="1">
        <f ca="1">IFERROR(__xludf.DUMMYFUNCTION("""COMPUTED_VALUE"""),33172972)</f>
        <v>33172972</v>
      </c>
    </row>
    <row r="1320" spans="1:6" x14ac:dyDescent="0.2">
      <c r="A1320" s="2">
        <f ca="1">IFERROR(__xludf.DUMMYFUNCTION("""COMPUTED_VALUE"""),44189.5416666666)</f>
        <v>44189.541666666599</v>
      </c>
      <c r="B1320" s="1">
        <f ca="1">IFERROR(__xludf.DUMMYFUNCTION("""COMPUTED_VALUE"""),214.33)</f>
        <v>214.33</v>
      </c>
      <c r="C1320" s="1">
        <f ca="1">IFERROR(__xludf.DUMMYFUNCTION("""COMPUTED_VALUE"""),222.03)</f>
        <v>222.03</v>
      </c>
      <c r="D1320" s="1">
        <f ca="1">IFERROR(__xludf.DUMMYFUNCTION("""COMPUTED_VALUE"""),213.67)</f>
        <v>213.67</v>
      </c>
      <c r="E1320" s="1">
        <f ca="1">IFERROR(__xludf.DUMMYFUNCTION("""COMPUTED_VALUE"""),220.59)</f>
        <v>220.59</v>
      </c>
      <c r="F1320" s="1">
        <f ca="1">IFERROR(__xludf.DUMMYFUNCTION("""COMPUTED_VALUE"""),22865568)</f>
        <v>22865568</v>
      </c>
    </row>
    <row r="1321" spans="1:6" x14ac:dyDescent="0.2">
      <c r="A1321" s="2">
        <f ca="1">IFERROR(__xludf.DUMMYFUNCTION("""COMPUTED_VALUE"""),44193.6666666666)</f>
        <v>44193.666666666599</v>
      </c>
      <c r="B1321" s="1">
        <f ca="1">IFERROR(__xludf.DUMMYFUNCTION("""COMPUTED_VALUE"""),224.84)</f>
        <v>224.84</v>
      </c>
      <c r="C1321" s="1">
        <f ca="1">IFERROR(__xludf.DUMMYFUNCTION("""COMPUTED_VALUE"""),227.13)</f>
        <v>227.13</v>
      </c>
      <c r="D1321" s="1">
        <f ca="1">IFERROR(__xludf.DUMMYFUNCTION("""COMPUTED_VALUE"""),220.27)</f>
        <v>220.27</v>
      </c>
      <c r="E1321" s="1">
        <f ca="1">IFERROR(__xludf.DUMMYFUNCTION("""COMPUTED_VALUE"""),221.23)</f>
        <v>221.23</v>
      </c>
      <c r="F1321" s="1">
        <f ca="1">IFERROR(__xludf.DUMMYFUNCTION("""COMPUTED_VALUE"""),32278561)</f>
        <v>32278561</v>
      </c>
    </row>
    <row r="1322" spans="1:6" x14ac:dyDescent="0.2">
      <c r="A1322" s="2">
        <f ca="1">IFERROR(__xludf.DUMMYFUNCTION("""COMPUTED_VALUE"""),44194.6666666666)</f>
        <v>44194.666666666599</v>
      </c>
      <c r="B1322" s="1">
        <f ca="1">IFERROR(__xludf.DUMMYFUNCTION("""COMPUTED_VALUE"""),220.33)</f>
        <v>220.33</v>
      </c>
      <c r="C1322" s="1">
        <f ca="1">IFERROR(__xludf.DUMMYFUNCTION("""COMPUTED_VALUE"""),223.3)</f>
        <v>223.3</v>
      </c>
      <c r="D1322" s="1">
        <f ca="1">IFERROR(__xludf.DUMMYFUNCTION("""COMPUTED_VALUE"""),218.33)</f>
        <v>218.33</v>
      </c>
      <c r="E1322" s="1">
        <f ca="1">IFERROR(__xludf.DUMMYFUNCTION("""COMPUTED_VALUE"""),222)</f>
        <v>222</v>
      </c>
      <c r="F1322" s="1">
        <f ca="1">IFERROR(__xludf.DUMMYFUNCTION("""COMPUTED_VALUE"""),22910811)</f>
        <v>22910811</v>
      </c>
    </row>
    <row r="1323" spans="1:6" x14ac:dyDescent="0.2">
      <c r="A1323" s="2">
        <f ca="1">IFERROR(__xludf.DUMMYFUNCTION("""COMPUTED_VALUE"""),44195.6666666666)</f>
        <v>44195.666666666599</v>
      </c>
      <c r="B1323" s="1">
        <f ca="1">IFERROR(__xludf.DUMMYFUNCTION("""COMPUTED_VALUE"""),224)</f>
        <v>224</v>
      </c>
      <c r="C1323" s="1">
        <f ca="1">IFERROR(__xludf.DUMMYFUNCTION("""COMPUTED_VALUE"""),232.2)</f>
        <v>232.2</v>
      </c>
      <c r="D1323" s="1">
        <f ca="1">IFERROR(__xludf.DUMMYFUNCTION("""COMPUTED_VALUE"""),222.79)</f>
        <v>222.79</v>
      </c>
      <c r="E1323" s="1">
        <f ca="1">IFERROR(__xludf.DUMMYFUNCTION("""COMPUTED_VALUE"""),231.59)</f>
        <v>231.59</v>
      </c>
      <c r="F1323" s="1">
        <f ca="1">IFERROR(__xludf.DUMMYFUNCTION("""COMPUTED_VALUE"""),42846021)</f>
        <v>42846021</v>
      </c>
    </row>
    <row r="1324" spans="1:6" x14ac:dyDescent="0.2">
      <c r="A1324" s="2">
        <f ca="1">IFERROR(__xludf.DUMMYFUNCTION("""COMPUTED_VALUE"""),44196.6666666666)</f>
        <v>44196.666666666599</v>
      </c>
      <c r="B1324" s="1">
        <f ca="1">IFERROR(__xludf.DUMMYFUNCTION("""COMPUTED_VALUE"""),233.33)</f>
        <v>233.33</v>
      </c>
      <c r="C1324" s="1">
        <f ca="1">IFERROR(__xludf.DUMMYFUNCTION("""COMPUTED_VALUE"""),239.57)</f>
        <v>239.57</v>
      </c>
      <c r="D1324" s="1">
        <f ca="1">IFERROR(__xludf.DUMMYFUNCTION("""COMPUTED_VALUE"""),230.37)</f>
        <v>230.37</v>
      </c>
      <c r="E1324" s="1">
        <f ca="1">IFERROR(__xludf.DUMMYFUNCTION("""COMPUTED_VALUE"""),235.22)</f>
        <v>235.22</v>
      </c>
      <c r="F1324" s="1">
        <f ca="1">IFERROR(__xludf.DUMMYFUNCTION("""COMPUTED_VALUE"""),49649928)</f>
        <v>49649928</v>
      </c>
    </row>
    <row r="1325" spans="1:6" x14ac:dyDescent="0.2">
      <c r="A1325" s="2">
        <f ca="1">IFERROR(__xludf.DUMMYFUNCTION("""COMPUTED_VALUE"""),44200.6666666666)</f>
        <v>44200.666666666599</v>
      </c>
      <c r="B1325" s="1">
        <f ca="1">IFERROR(__xludf.DUMMYFUNCTION("""COMPUTED_VALUE"""),239.82)</f>
        <v>239.82</v>
      </c>
      <c r="C1325" s="1">
        <f ca="1">IFERROR(__xludf.DUMMYFUNCTION("""COMPUTED_VALUE"""),248.16)</f>
        <v>248.16</v>
      </c>
      <c r="D1325" s="1">
        <f ca="1">IFERROR(__xludf.DUMMYFUNCTION("""COMPUTED_VALUE"""),239.06)</f>
        <v>239.06</v>
      </c>
      <c r="E1325" s="1">
        <f ca="1">IFERROR(__xludf.DUMMYFUNCTION("""COMPUTED_VALUE"""),243.26)</f>
        <v>243.26</v>
      </c>
      <c r="F1325" s="1">
        <f ca="1">IFERROR(__xludf.DUMMYFUNCTION("""COMPUTED_VALUE"""),48638189)</f>
        <v>48638189</v>
      </c>
    </row>
    <row r="1326" spans="1:6" x14ac:dyDescent="0.2">
      <c r="A1326" s="2">
        <f ca="1">IFERROR(__xludf.DUMMYFUNCTION("""COMPUTED_VALUE"""),44201.6666666666)</f>
        <v>44201.666666666599</v>
      </c>
      <c r="B1326" s="1">
        <f ca="1">IFERROR(__xludf.DUMMYFUNCTION("""COMPUTED_VALUE"""),241.22)</f>
        <v>241.22</v>
      </c>
      <c r="C1326" s="1">
        <f ca="1">IFERROR(__xludf.DUMMYFUNCTION("""COMPUTED_VALUE"""),246.95)</f>
        <v>246.95</v>
      </c>
      <c r="D1326" s="1">
        <f ca="1">IFERROR(__xludf.DUMMYFUNCTION("""COMPUTED_VALUE"""),239.73)</f>
        <v>239.73</v>
      </c>
      <c r="E1326" s="1">
        <f ca="1">IFERROR(__xludf.DUMMYFUNCTION("""COMPUTED_VALUE"""),245.04)</f>
        <v>245.04</v>
      </c>
      <c r="F1326" s="1">
        <f ca="1">IFERROR(__xludf.DUMMYFUNCTION("""COMPUTED_VALUE"""),32245165)</f>
        <v>32245165</v>
      </c>
    </row>
    <row r="1327" spans="1:6" x14ac:dyDescent="0.2">
      <c r="A1327" s="2">
        <f ca="1">IFERROR(__xludf.DUMMYFUNCTION("""COMPUTED_VALUE"""),44202.6666666666)</f>
        <v>44202.666666666599</v>
      </c>
      <c r="B1327" s="1">
        <f ca="1">IFERROR(__xludf.DUMMYFUNCTION("""COMPUTED_VALUE"""),252.83)</f>
        <v>252.83</v>
      </c>
      <c r="C1327" s="1">
        <f ca="1">IFERROR(__xludf.DUMMYFUNCTION("""COMPUTED_VALUE"""),258)</f>
        <v>258</v>
      </c>
      <c r="D1327" s="1">
        <f ca="1">IFERROR(__xludf.DUMMYFUNCTION("""COMPUTED_VALUE"""),249.7)</f>
        <v>249.7</v>
      </c>
      <c r="E1327" s="1">
        <f ca="1">IFERROR(__xludf.DUMMYFUNCTION("""COMPUTED_VALUE"""),251.99)</f>
        <v>251.99</v>
      </c>
      <c r="F1327" s="1">
        <f ca="1">IFERROR(__xludf.DUMMYFUNCTION("""COMPUTED_VALUE"""),44699965)</f>
        <v>44699965</v>
      </c>
    </row>
    <row r="1328" spans="1:6" x14ac:dyDescent="0.2">
      <c r="A1328" s="2">
        <f ca="1">IFERROR(__xludf.DUMMYFUNCTION("""COMPUTED_VALUE"""),44203.6666666666)</f>
        <v>44203.666666666599</v>
      </c>
      <c r="B1328" s="1">
        <f ca="1">IFERROR(__xludf.DUMMYFUNCTION("""COMPUTED_VALUE"""),259.21)</f>
        <v>259.20999999999998</v>
      </c>
      <c r="C1328" s="1">
        <f ca="1">IFERROR(__xludf.DUMMYFUNCTION("""COMPUTED_VALUE"""),272.33)</f>
        <v>272.33</v>
      </c>
      <c r="D1328" s="1">
        <f ca="1">IFERROR(__xludf.DUMMYFUNCTION("""COMPUTED_VALUE"""),258.4)</f>
        <v>258.39999999999998</v>
      </c>
      <c r="E1328" s="1">
        <f ca="1">IFERROR(__xludf.DUMMYFUNCTION("""COMPUTED_VALUE"""),272.01)</f>
        <v>272.01</v>
      </c>
      <c r="F1328" s="1">
        <f ca="1">IFERROR(__xludf.DUMMYFUNCTION("""COMPUTED_VALUE"""),51498948)</f>
        <v>51498948</v>
      </c>
    </row>
    <row r="1329" spans="1:6" x14ac:dyDescent="0.2">
      <c r="A1329" s="2">
        <f ca="1">IFERROR(__xludf.DUMMYFUNCTION("""COMPUTED_VALUE"""),44204.6666666666)</f>
        <v>44204.666666666599</v>
      </c>
      <c r="B1329" s="1">
        <f ca="1">IFERROR(__xludf.DUMMYFUNCTION("""COMPUTED_VALUE"""),285.33)</f>
        <v>285.33</v>
      </c>
      <c r="C1329" s="1">
        <f ca="1">IFERROR(__xludf.DUMMYFUNCTION("""COMPUTED_VALUE"""),294.83)</f>
        <v>294.83</v>
      </c>
      <c r="D1329" s="1">
        <f ca="1">IFERROR(__xludf.DUMMYFUNCTION("""COMPUTED_VALUE"""),279.46)</f>
        <v>279.45999999999998</v>
      </c>
      <c r="E1329" s="1">
        <f ca="1">IFERROR(__xludf.DUMMYFUNCTION("""COMPUTED_VALUE"""),293.34)</f>
        <v>293.33999999999997</v>
      </c>
      <c r="F1329" s="1">
        <f ca="1">IFERROR(__xludf.DUMMYFUNCTION("""COMPUTED_VALUE"""),75055528)</f>
        <v>75055528</v>
      </c>
    </row>
    <row r="1330" spans="1:6" x14ac:dyDescent="0.2">
      <c r="A1330" s="2">
        <f ca="1">IFERROR(__xludf.DUMMYFUNCTION("""COMPUTED_VALUE"""),44207.6666666666)</f>
        <v>44207.666666666599</v>
      </c>
      <c r="B1330" s="1">
        <f ca="1">IFERROR(__xludf.DUMMYFUNCTION("""COMPUTED_VALUE"""),283.13)</f>
        <v>283.13</v>
      </c>
      <c r="C1330" s="1">
        <f ca="1">IFERROR(__xludf.DUMMYFUNCTION("""COMPUTED_VALUE"""),284.81)</f>
        <v>284.81</v>
      </c>
      <c r="D1330" s="1">
        <f ca="1">IFERROR(__xludf.DUMMYFUNCTION("""COMPUTED_VALUE"""),267.87)</f>
        <v>267.87</v>
      </c>
      <c r="E1330" s="1">
        <f ca="1">IFERROR(__xludf.DUMMYFUNCTION("""COMPUTED_VALUE"""),270.4)</f>
        <v>270.39999999999998</v>
      </c>
      <c r="F1330" s="1">
        <f ca="1">IFERROR(__xludf.DUMMYFUNCTION("""COMPUTED_VALUE"""),59554146)</f>
        <v>59554146</v>
      </c>
    </row>
    <row r="1331" spans="1:6" x14ac:dyDescent="0.2">
      <c r="A1331" s="2">
        <f ca="1">IFERROR(__xludf.DUMMYFUNCTION("""COMPUTED_VALUE"""),44208.6666666666)</f>
        <v>44208.666666666599</v>
      </c>
      <c r="B1331" s="1">
        <f ca="1">IFERROR(__xludf.DUMMYFUNCTION("""COMPUTED_VALUE"""),277)</f>
        <v>277</v>
      </c>
      <c r="C1331" s="1">
        <f ca="1">IFERROR(__xludf.DUMMYFUNCTION("""COMPUTED_VALUE"""),289.33)</f>
        <v>289.33</v>
      </c>
      <c r="D1331" s="1">
        <f ca="1">IFERROR(__xludf.DUMMYFUNCTION("""COMPUTED_VALUE"""),275.78)</f>
        <v>275.77999999999997</v>
      </c>
      <c r="E1331" s="1">
        <f ca="1">IFERROR(__xludf.DUMMYFUNCTION("""COMPUTED_VALUE"""),283.15)</f>
        <v>283.14999999999998</v>
      </c>
      <c r="F1331" s="1">
        <f ca="1">IFERROR(__xludf.DUMMYFUNCTION("""COMPUTED_VALUE"""),46270720)</f>
        <v>46270720</v>
      </c>
    </row>
    <row r="1332" spans="1:6" x14ac:dyDescent="0.2">
      <c r="A1332" s="2">
        <f ca="1">IFERROR(__xludf.DUMMYFUNCTION("""COMPUTED_VALUE"""),44209.6666666666)</f>
        <v>44209.666666666599</v>
      </c>
      <c r="B1332" s="1">
        <f ca="1">IFERROR(__xludf.DUMMYFUNCTION("""COMPUTED_VALUE"""),284.25)</f>
        <v>284.25</v>
      </c>
      <c r="C1332" s="1">
        <f ca="1">IFERROR(__xludf.DUMMYFUNCTION("""COMPUTED_VALUE"""),286.82)</f>
        <v>286.82</v>
      </c>
      <c r="D1332" s="1">
        <f ca="1">IFERROR(__xludf.DUMMYFUNCTION("""COMPUTED_VALUE"""),277.33)</f>
        <v>277.33</v>
      </c>
      <c r="E1332" s="1">
        <f ca="1">IFERROR(__xludf.DUMMYFUNCTION("""COMPUTED_VALUE"""),284.8)</f>
        <v>284.8</v>
      </c>
      <c r="F1332" s="1">
        <f ca="1">IFERROR(__xludf.DUMMYFUNCTION("""COMPUTED_VALUE"""),33312496)</f>
        <v>33312496</v>
      </c>
    </row>
    <row r="1333" spans="1:6" x14ac:dyDescent="0.2">
      <c r="A1333" s="2">
        <f ca="1">IFERROR(__xludf.DUMMYFUNCTION("""COMPUTED_VALUE"""),44210.6666666666)</f>
        <v>44210.666666666599</v>
      </c>
      <c r="B1333" s="1">
        <f ca="1">IFERROR(__xludf.DUMMYFUNCTION("""COMPUTED_VALUE"""),281.13)</f>
        <v>281.13</v>
      </c>
      <c r="C1333" s="1">
        <f ca="1">IFERROR(__xludf.DUMMYFUNCTION("""COMPUTED_VALUE"""),287.67)</f>
        <v>287.67</v>
      </c>
      <c r="D1333" s="1">
        <f ca="1">IFERROR(__xludf.DUMMYFUNCTION("""COMPUTED_VALUE"""),279.58)</f>
        <v>279.58</v>
      </c>
      <c r="E1333" s="1">
        <f ca="1">IFERROR(__xludf.DUMMYFUNCTION("""COMPUTED_VALUE"""),281.67)</f>
        <v>281.67</v>
      </c>
      <c r="F1333" s="1">
        <f ca="1">IFERROR(__xludf.DUMMYFUNCTION("""COMPUTED_VALUE"""),31266327)</f>
        <v>31266327</v>
      </c>
    </row>
    <row r="1334" spans="1:6" x14ac:dyDescent="0.2">
      <c r="A1334" s="2">
        <f ca="1">IFERROR(__xludf.DUMMYFUNCTION("""COMPUTED_VALUE"""),44211.6666666666)</f>
        <v>44211.666666666599</v>
      </c>
      <c r="B1334" s="1">
        <f ca="1">IFERROR(__xludf.DUMMYFUNCTION("""COMPUTED_VALUE"""),284)</f>
        <v>284</v>
      </c>
      <c r="C1334" s="1">
        <f ca="1">IFERROR(__xludf.DUMMYFUNCTION("""COMPUTED_VALUE"""),286.63)</f>
        <v>286.63</v>
      </c>
      <c r="D1334" s="1">
        <f ca="1">IFERROR(__xludf.DUMMYFUNCTION("""COMPUTED_VALUE"""),273.03)</f>
        <v>273.02999999999997</v>
      </c>
      <c r="E1334" s="1">
        <f ca="1">IFERROR(__xludf.DUMMYFUNCTION("""COMPUTED_VALUE"""),275.39)</f>
        <v>275.39</v>
      </c>
      <c r="F1334" s="1">
        <f ca="1">IFERROR(__xludf.DUMMYFUNCTION("""COMPUTED_VALUE"""),38777596)</f>
        <v>38777596</v>
      </c>
    </row>
    <row r="1335" spans="1:6" x14ac:dyDescent="0.2">
      <c r="A1335" s="2">
        <f ca="1">IFERROR(__xludf.DUMMYFUNCTION("""COMPUTED_VALUE"""),44215.6666666666)</f>
        <v>44215.666666666599</v>
      </c>
      <c r="B1335" s="1">
        <f ca="1">IFERROR(__xludf.DUMMYFUNCTION("""COMPUTED_VALUE"""),279.27)</f>
        <v>279.27</v>
      </c>
      <c r="C1335" s="1">
        <f ca="1">IFERROR(__xludf.DUMMYFUNCTION("""COMPUTED_VALUE"""),283.33)</f>
        <v>283.33</v>
      </c>
      <c r="D1335" s="1">
        <f ca="1">IFERROR(__xludf.DUMMYFUNCTION("""COMPUTED_VALUE"""),277.67)</f>
        <v>277.67</v>
      </c>
      <c r="E1335" s="1">
        <f ca="1">IFERROR(__xludf.DUMMYFUNCTION("""COMPUTED_VALUE"""),281.52)</f>
        <v>281.52</v>
      </c>
      <c r="F1335" s="1">
        <f ca="1">IFERROR(__xludf.DUMMYFUNCTION("""COMPUTED_VALUE"""),25366980)</f>
        <v>25366980</v>
      </c>
    </row>
    <row r="1336" spans="1:6" x14ac:dyDescent="0.2">
      <c r="A1336" s="2">
        <f ca="1">IFERROR(__xludf.DUMMYFUNCTION("""COMPUTED_VALUE"""),44216.6666666666)</f>
        <v>44216.666666666599</v>
      </c>
      <c r="B1336" s="1">
        <f ca="1">IFERROR(__xludf.DUMMYFUNCTION("""COMPUTED_VALUE"""),286.25)</f>
        <v>286.25</v>
      </c>
      <c r="C1336" s="1">
        <f ca="1">IFERROR(__xludf.DUMMYFUNCTION("""COMPUTED_VALUE"""),286.5)</f>
        <v>286.5</v>
      </c>
      <c r="D1336" s="1">
        <f ca="1">IFERROR(__xludf.DUMMYFUNCTION("""COMPUTED_VALUE"""),279.09)</f>
        <v>279.08999999999997</v>
      </c>
      <c r="E1336" s="1">
        <f ca="1">IFERROR(__xludf.DUMMYFUNCTION("""COMPUTED_VALUE"""),283.48)</f>
        <v>283.48</v>
      </c>
      <c r="F1336" s="1">
        <f ca="1">IFERROR(__xludf.DUMMYFUNCTION("""COMPUTED_VALUE"""),25665883)</f>
        <v>25665883</v>
      </c>
    </row>
    <row r="1337" spans="1:6" x14ac:dyDescent="0.2">
      <c r="A1337" s="2">
        <f ca="1">IFERROR(__xludf.DUMMYFUNCTION("""COMPUTED_VALUE"""),44217.6666666666)</f>
        <v>44217.666666666599</v>
      </c>
      <c r="B1337" s="1">
        <f ca="1">IFERROR(__xludf.DUMMYFUNCTION("""COMPUTED_VALUE"""),285)</f>
        <v>285</v>
      </c>
      <c r="C1337" s="1">
        <f ca="1">IFERROR(__xludf.DUMMYFUNCTION("""COMPUTED_VALUE"""),285.24)</f>
        <v>285.24</v>
      </c>
      <c r="D1337" s="1">
        <f ca="1">IFERROR(__xludf.DUMMYFUNCTION("""COMPUTED_VALUE"""),280.47)</f>
        <v>280.47000000000003</v>
      </c>
      <c r="E1337" s="1">
        <f ca="1">IFERROR(__xludf.DUMMYFUNCTION("""COMPUTED_VALUE"""),281.66)</f>
        <v>281.66000000000003</v>
      </c>
      <c r="F1337" s="1">
        <f ca="1">IFERROR(__xludf.DUMMYFUNCTION("""COMPUTED_VALUE"""),20598133)</f>
        <v>20598133</v>
      </c>
    </row>
    <row r="1338" spans="1:6" x14ac:dyDescent="0.2">
      <c r="A1338" s="2">
        <f ca="1">IFERROR(__xludf.DUMMYFUNCTION("""COMPUTED_VALUE"""),44218.6666666666)</f>
        <v>44218.666666666599</v>
      </c>
      <c r="B1338" s="1">
        <f ca="1">IFERROR(__xludf.DUMMYFUNCTION("""COMPUTED_VALUE"""),278.1)</f>
        <v>278.10000000000002</v>
      </c>
      <c r="C1338" s="1">
        <f ca="1">IFERROR(__xludf.DUMMYFUNCTION("""COMPUTED_VALUE"""),282.67)</f>
        <v>282.67</v>
      </c>
      <c r="D1338" s="1">
        <f ca="1">IFERROR(__xludf.DUMMYFUNCTION("""COMPUTED_VALUE"""),276.21)</f>
        <v>276.20999999999998</v>
      </c>
      <c r="E1338" s="1">
        <f ca="1">IFERROR(__xludf.DUMMYFUNCTION("""COMPUTED_VALUE"""),282.21)</f>
        <v>282.20999999999998</v>
      </c>
      <c r="F1338" s="1">
        <f ca="1">IFERROR(__xludf.DUMMYFUNCTION("""COMPUTED_VALUE"""),20066497)</f>
        <v>20066497</v>
      </c>
    </row>
    <row r="1339" spans="1:6" x14ac:dyDescent="0.2">
      <c r="A1339" s="2">
        <f ca="1">IFERROR(__xludf.DUMMYFUNCTION("""COMPUTED_VALUE"""),44221.6666666666)</f>
        <v>44221.666666666599</v>
      </c>
      <c r="B1339" s="1">
        <f ca="1">IFERROR(__xludf.DUMMYFUNCTION("""COMPUTED_VALUE"""),285)</f>
        <v>285</v>
      </c>
      <c r="C1339" s="1">
        <f ca="1">IFERROR(__xludf.DUMMYFUNCTION("""COMPUTED_VALUE"""),300.13)</f>
        <v>300.13</v>
      </c>
      <c r="D1339" s="1">
        <f ca="1">IFERROR(__xludf.DUMMYFUNCTION("""COMPUTED_VALUE"""),279.61)</f>
        <v>279.61</v>
      </c>
      <c r="E1339" s="1">
        <f ca="1">IFERROR(__xludf.DUMMYFUNCTION("""COMPUTED_VALUE"""),293.6)</f>
        <v>293.60000000000002</v>
      </c>
      <c r="F1339" s="1">
        <f ca="1">IFERROR(__xludf.DUMMYFUNCTION("""COMPUTED_VALUE"""),41173397)</f>
        <v>41173397</v>
      </c>
    </row>
    <row r="1340" spans="1:6" x14ac:dyDescent="0.2">
      <c r="A1340" s="2">
        <f ca="1">IFERROR(__xludf.DUMMYFUNCTION("""COMPUTED_VALUE"""),44222.6666666666)</f>
        <v>44222.666666666599</v>
      </c>
      <c r="B1340" s="1">
        <f ca="1">IFERROR(__xludf.DUMMYFUNCTION("""COMPUTED_VALUE"""),297.13)</f>
        <v>297.13</v>
      </c>
      <c r="C1340" s="1">
        <f ca="1">IFERROR(__xludf.DUMMYFUNCTION("""COMPUTED_VALUE"""),298.63)</f>
        <v>298.63</v>
      </c>
      <c r="D1340" s="1">
        <f ca="1">IFERROR(__xludf.DUMMYFUNCTION("""COMPUTED_VALUE"""),290.53)</f>
        <v>290.52999999999997</v>
      </c>
      <c r="E1340" s="1">
        <f ca="1">IFERROR(__xludf.DUMMYFUNCTION("""COMPUTED_VALUE"""),294.36)</f>
        <v>294.36</v>
      </c>
      <c r="F1340" s="1">
        <f ca="1">IFERROR(__xludf.DUMMYFUNCTION("""COMPUTED_VALUE"""),23131603)</f>
        <v>23131603</v>
      </c>
    </row>
    <row r="1341" spans="1:6" x14ac:dyDescent="0.2">
      <c r="A1341" s="2">
        <f ca="1">IFERROR(__xludf.DUMMYFUNCTION("""COMPUTED_VALUE"""),44223.6666666666)</f>
        <v>44223.666666666599</v>
      </c>
      <c r="B1341" s="1">
        <f ca="1">IFERROR(__xludf.DUMMYFUNCTION("""COMPUTED_VALUE"""),290.12)</f>
        <v>290.12</v>
      </c>
      <c r="C1341" s="1">
        <f ca="1">IFERROR(__xludf.DUMMYFUNCTION("""COMPUTED_VALUE"""),297.17)</f>
        <v>297.17</v>
      </c>
      <c r="D1341" s="1">
        <f ca="1">IFERROR(__xludf.DUMMYFUNCTION("""COMPUTED_VALUE"""),286.22)</f>
        <v>286.22000000000003</v>
      </c>
      <c r="E1341" s="1">
        <f ca="1">IFERROR(__xludf.DUMMYFUNCTION("""COMPUTED_VALUE"""),288.05)</f>
        <v>288.05</v>
      </c>
      <c r="F1341" s="1">
        <f ca="1">IFERROR(__xludf.DUMMYFUNCTION("""COMPUTED_VALUE"""),27333955)</f>
        <v>27333955</v>
      </c>
    </row>
    <row r="1342" spans="1:6" x14ac:dyDescent="0.2">
      <c r="A1342" s="2">
        <f ca="1">IFERROR(__xludf.DUMMYFUNCTION("""COMPUTED_VALUE"""),44224.6666666666)</f>
        <v>44224.666666666599</v>
      </c>
      <c r="B1342" s="1">
        <f ca="1">IFERROR(__xludf.DUMMYFUNCTION("""COMPUTED_VALUE"""),273.33)</f>
        <v>273.33</v>
      </c>
      <c r="C1342" s="1">
        <f ca="1">IFERROR(__xludf.DUMMYFUNCTION("""COMPUTED_VALUE"""),282.67)</f>
        <v>282.67</v>
      </c>
      <c r="D1342" s="1">
        <f ca="1">IFERROR(__xludf.DUMMYFUNCTION("""COMPUTED_VALUE"""),267)</f>
        <v>267</v>
      </c>
      <c r="E1342" s="1">
        <f ca="1">IFERROR(__xludf.DUMMYFUNCTION("""COMPUTED_VALUE"""),278.48)</f>
        <v>278.48</v>
      </c>
      <c r="F1342" s="1">
        <f ca="1">IFERROR(__xludf.DUMMYFUNCTION("""COMPUTED_VALUE"""),26378048)</f>
        <v>26378048</v>
      </c>
    </row>
    <row r="1343" spans="1:6" x14ac:dyDescent="0.2">
      <c r="A1343" s="2">
        <f ca="1">IFERROR(__xludf.DUMMYFUNCTION("""COMPUTED_VALUE"""),44225.6666666666)</f>
        <v>44225.666666666599</v>
      </c>
      <c r="B1343" s="1">
        <f ca="1">IFERROR(__xludf.DUMMYFUNCTION("""COMPUTED_VALUE"""),276.67)</f>
        <v>276.67</v>
      </c>
      <c r="C1343" s="1">
        <f ca="1">IFERROR(__xludf.DUMMYFUNCTION("""COMPUTED_VALUE"""),280.8)</f>
        <v>280.8</v>
      </c>
      <c r="D1343" s="1">
        <f ca="1">IFERROR(__xludf.DUMMYFUNCTION("""COMPUTED_VALUE"""),260.03)</f>
        <v>260.02999999999997</v>
      </c>
      <c r="E1343" s="1">
        <f ca="1">IFERROR(__xludf.DUMMYFUNCTION("""COMPUTED_VALUE"""),264.51)</f>
        <v>264.51</v>
      </c>
      <c r="F1343" s="1">
        <f ca="1">IFERROR(__xludf.DUMMYFUNCTION("""COMPUTED_VALUE"""),34990754)</f>
        <v>34990754</v>
      </c>
    </row>
    <row r="1344" spans="1:6" x14ac:dyDescent="0.2">
      <c r="A1344" s="2">
        <f ca="1">IFERROR(__xludf.DUMMYFUNCTION("""COMPUTED_VALUE"""),44228.6666666666)</f>
        <v>44228.666666666599</v>
      </c>
      <c r="B1344" s="1">
        <f ca="1">IFERROR(__xludf.DUMMYFUNCTION("""COMPUTED_VALUE"""),271.43)</f>
        <v>271.43</v>
      </c>
      <c r="C1344" s="1">
        <f ca="1">IFERROR(__xludf.DUMMYFUNCTION("""COMPUTED_VALUE"""),280.67)</f>
        <v>280.67</v>
      </c>
      <c r="D1344" s="1">
        <f ca="1">IFERROR(__xludf.DUMMYFUNCTION("""COMPUTED_VALUE"""),265.19)</f>
        <v>265.19</v>
      </c>
      <c r="E1344" s="1">
        <f ca="1">IFERROR(__xludf.DUMMYFUNCTION("""COMPUTED_VALUE"""),279.94)</f>
        <v>279.94</v>
      </c>
      <c r="F1344" s="1">
        <f ca="1">IFERROR(__xludf.DUMMYFUNCTION("""COMPUTED_VALUE"""),25391385)</f>
        <v>25391385</v>
      </c>
    </row>
    <row r="1345" spans="1:6" x14ac:dyDescent="0.2">
      <c r="A1345" s="2">
        <f ca="1">IFERROR(__xludf.DUMMYFUNCTION("""COMPUTED_VALUE"""),44229.6666666666)</f>
        <v>44229.666666666599</v>
      </c>
      <c r="B1345" s="1">
        <f ca="1">IFERROR(__xludf.DUMMYFUNCTION("""COMPUTED_VALUE"""),281.56)</f>
        <v>281.56</v>
      </c>
      <c r="C1345" s="1">
        <f ca="1">IFERROR(__xludf.DUMMYFUNCTION("""COMPUTED_VALUE"""),293.5)</f>
        <v>293.5</v>
      </c>
      <c r="D1345" s="1">
        <f ca="1">IFERROR(__xludf.DUMMYFUNCTION("""COMPUTED_VALUE"""),280.73)</f>
        <v>280.73</v>
      </c>
      <c r="E1345" s="1">
        <f ca="1">IFERROR(__xludf.DUMMYFUNCTION("""COMPUTED_VALUE"""),290.93)</f>
        <v>290.93</v>
      </c>
      <c r="F1345" s="1">
        <f ca="1">IFERROR(__xludf.DUMMYFUNCTION("""COMPUTED_VALUE"""),24346213)</f>
        <v>24346213</v>
      </c>
    </row>
    <row r="1346" spans="1:6" x14ac:dyDescent="0.2">
      <c r="A1346" s="2">
        <f ca="1">IFERROR(__xludf.DUMMYFUNCTION("""COMPUTED_VALUE"""),44230.6666666666)</f>
        <v>44230.666666666599</v>
      </c>
      <c r="B1346" s="1">
        <f ca="1">IFERROR(__xludf.DUMMYFUNCTION("""COMPUTED_VALUE"""),292.34)</f>
        <v>292.33999999999997</v>
      </c>
      <c r="C1346" s="1">
        <f ca="1">IFERROR(__xludf.DUMMYFUNCTION("""COMPUTED_VALUE"""),292.69)</f>
        <v>292.69</v>
      </c>
      <c r="D1346" s="1">
        <f ca="1">IFERROR(__xludf.DUMMYFUNCTION("""COMPUTED_VALUE"""),284.35)</f>
        <v>284.35000000000002</v>
      </c>
      <c r="E1346" s="1">
        <f ca="1">IFERROR(__xludf.DUMMYFUNCTION("""COMPUTED_VALUE"""),284.9)</f>
        <v>284.89999999999998</v>
      </c>
      <c r="F1346" s="1">
        <f ca="1">IFERROR(__xludf.DUMMYFUNCTION("""COMPUTED_VALUE"""),18343510)</f>
        <v>18343510</v>
      </c>
    </row>
    <row r="1347" spans="1:6" x14ac:dyDescent="0.2">
      <c r="A1347" s="2">
        <f ca="1">IFERROR(__xludf.DUMMYFUNCTION("""COMPUTED_VALUE"""),44231.6666666666)</f>
        <v>44231.666666666599</v>
      </c>
      <c r="B1347" s="1">
        <f ca="1">IFERROR(__xludf.DUMMYFUNCTION("""COMPUTED_VALUE"""),285)</f>
        <v>285</v>
      </c>
      <c r="C1347" s="1">
        <f ca="1">IFERROR(__xludf.DUMMYFUNCTION("""COMPUTED_VALUE"""),285.5)</f>
        <v>285.5</v>
      </c>
      <c r="D1347" s="1">
        <f ca="1">IFERROR(__xludf.DUMMYFUNCTION("""COMPUTED_VALUE"""),277.81)</f>
        <v>277.81</v>
      </c>
      <c r="E1347" s="1">
        <f ca="1">IFERROR(__xludf.DUMMYFUNCTION("""COMPUTED_VALUE"""),283.33)</f>
        <v>283.33</v>
      </c>
      <c r="F1347" s="1">
        <f ca="1">IFERROR(__xludf.DUMMYFUNCTION("""COMPUTED_VALUE"""),15812661)</f>
        <v>15812661</v>
      </c>
    </row>
    <row r="1348" spans="1:6" x14ac:dyDescent="0.2">
      <c r="A1348" s="2">
        <f ca="1">IFERROR(__xludf.DUMMYFUNCTION("""COMPUTED_VALUE"""),44232.6666666666)</f>
        <v>44232.666666666599</v>
      </c>
      <c r="B1348" s="1">
        <f ca="1">IFERROR(__xludf.DUMMYFUNCTION("""COMPUTED_VALUE"""),281.67)</f>
        <v>281.67</v>
      </c>
      <c r="C1348" s="1">
        <f ca="1">IFERROR(__xludf.DUMMYFUNCTION("""COMPUTED_VALUE"""),288.26)</f>
        <v>288.26</v>
      </c>
      <c r="D1348" s="1">
        <f ca="1">IFERROR(__xludf.DUMMYFUNCTION("""COMPUTED_VALUE"""),279.66)</f>
        <v>279.66000000000003</v>
      </c>
      <c r="E1348" s="1">
        <f ca="1">IFERROR(__xludf.DUMMYFUNCTION("""COMPUTED_VALUE"""),284.08)</f>
        <v>284.08</v>
      </c>
      <c r="F1348" s="1">
        <f ca="1">IFERROR(__xludf.DUMMYFUNCTION("""COMPUTED_VALUE"""),18566637)</f>
        <v>18566637</v>
      </c>
    </row>
    <row r="1349" spans="1:6" x14ac:dyDescent="0.2">
      <c r="A1349" s="2">
        <f ca="1">IFERROR(__xludf.DUMMYFUNCTION("""COMPUTED_VALUE"""),44235.6666666666)</f>
        <v>44235.666666666599</v>
      </c>
      <c r="B1349" s="1">
        <f ca="1">IFERROR(__xludf.DUMMYFUNCTION("""COMPUTED_VALUE"""),289.89)</f>
        <v>289.89</v>
      </c>
      <c r="C1349" s="1">
        <f ca="1">IFERROR(__xludf.DUMMYFUNCTION("""COMPUTED_VALUE"""),292.59)</f>
        <v>292.58999999999997</v>
      </c>
      <c r="D1349" s="1">
        <f ca="1">IFERROR(__xludf.DUMMYFUNCTION("""COMPUTED_VALUE"""),284.92)</f>
        <v>284.92</v>
      </c>
      <c r="E1349" s="1">
        <f ca="1">IFERROR(__xludf.DUMMYFUNCTION("""COMPUTED_VALUE"""),287.81)</f>
        <v>287.81</v>
      </c>
      <c r="F1349" s="1">
        <f ca="1">IFERROR(__xludf.DUMMYFUNCTION("""COMPUTED_VALUE"""),20161719)</f>
        <v>20161719</v>
      </c>
    </row>
    <row r="1350" spans="1:6" x14ac:dyDescent="0.2">
      <c r="A1350" s="2">
        <f ca="1">IFERROR(__xludf.DUMMYFUNCTION("""COMPUTED_VALUE"""),44236.6666666666)</f>
        <v>44236.666666666599</v>
      </c>
      <c r="B1350" s="1">
        <f ca="1">IFERROR(__xludf.DUMMYFUNCTION("""COMPUTED_VALUE"""),285.04)</f>
        <v>285.04000000000002</v>
      </c>
      <c r="C1350" s="1">
        <f ca="1">IFERROR(__xludf.DUMMYFUNCTION("""COMPUTED_VALUE"""),286.6)</f>
        <v>286.60000000000002</v>
      </c>
      <c r="D1350" s="1">
        <f ca="1">IFERROR(__xludf.DUMMYFUNCTION("""COMPUTED_VALUE"""),280.58)</f>
        <v>280.58</v>
      </c>
      <c r="E1350" s="1">
        <f ca="1">IFERROR(__xludf.DUMMYFUNCTION("""COMPUTED_VALUE"""),283.15)</f>
        <v>283.14999999999998</v>
      </c>
      <c r="F1350" s="1">
        <f ca="1">IFERROR(__xludf.DUMMYFUNCTION("""COMPUTED_VALUE"""),15157651)</f>
        <v>15157651</v>
      </c>
    </row>
    <row r="1351" spans="1:6" x14ac:dyDescent="0.2">
      <c r="A1351" s="2">
        <f ca="1">IFERROR(__xludf.DUMMYFUNCTION("""COMPUTED_VALUE"""),44237.6666666666)</f>
        <v>44237.666666666599</v>
      </c>
      <c r="B1351" s="1">
        <f ca="1">IFERROR(__xludf.DUMMYFUNCTION("""COMPUTED_VALUE"""),281.21)</f>
        <v>281.20999999999998</v>
      </c>
      <c r="C1351" s="1">
        <f ca="1">IFERROR(__xludf.DUMMYFUNCTION("""COMPUTED_VALUE"""),281.61)</f>
        <v>281.61</v>
      </c>
      <c r="D1351" s="1">
        <f ca="1">IFERROR(__xludf.DUMMYFUNCTION("""COMPUTED_VALUE"""),266.67)</f>
        <v>266.67</v>
      </c>
      <c r="E1351" s="1">
        <f ca="1">IFERROR(__xludf.DUMMYFUNCTION("""COMPUTED_VALUE"""),268.27)</f>
        <v>268.27</v>
      </c>
      <c r="F1351" s="1">
        <f ca="1">IFERROR(__xludf.DUMMYFUNCTION("""COMPUTED_VALUE"""),36216090)</f>
        <v>36216090</v>
      </c>
    </row>
    <row r="1352" spans="1:6" x14ac:dyDescent="0.2">
      <c r="A1352" s="2">
        <f ca="1">IFERROR(__xludf.DUMMYFUNCTION("""COMPUTED_VALUE"""),44238.6666666666)</f>
        <v>44238.666666666599</v>
      </c>
      <c r="B1352" s="1">
        <f ca="1">IFERROR(__xludf.DUMMYFUNCTION("""COMPUTED_VALUE"""),270.81)</f>
        <v>270.81</v>
      </c>
      <c r="C1352" s="1">
        <f ca="1">IFERROR(__xludf.DUMMYFUNCTION("""COMPUTED_VALUE"""),276.63)</f>
        <v>276.63</v>
      </c>
      <c r="D1352" s="1">
        <f ca="1">IFERROR(__xludf.DUMMYFUNCTION("""COMPUTED_VALUE"""),267.24)</f>
        <v>267.24</v>
      </c>
      <c r="E1352" s="1">
        <f ca="1">IFERROR(__xludf.DUMMYFUNCTION("""COMPUTED_VALUE"""),270.55)</f>
        <v>270.55</v>
      </c>
      <c r="F1352" s="1">
        <f ca="1">IFERROR(__xludf.DUMMYFUNCTION("""COMPUTED_VALUE"""),21622753)</f>
        <v>21622753</v>
      </c>
    </row>
    <row r="1353" spans="1:6" x14ac:dyDescent="0.2">
      <c r="A1353" s="2">
        <f ca="1">IFERROR(__xludf.DUMMYFUNCTION("""COMPUTED_VALUE"""),44239.6666666666)</f>
        <v>44239.666666666599</v>
      </c>
      <c r="B1353" s="1">
        <f ca="1">IFERROR(__xludf.DUMMYFUNCTION("""COMPUTED_VALUE"""),267.09)</f>
        <v>267.08999999999997</v>
      </c>
      <c r="C1353" s="1">
        <f ca="1">IFERROR(__xludf.DUMMYFUNCTION("""COMPUTED_VALUE"""),272.44)</f>
        <v>272.44</v>
      </c>
      <c r="D1353" s="1">
        <f ca="1">IFERROR(__xludf.DUMMYFUNCTION("""COMPUTED_VALUE"""),261.78)</f>
        <v>261.77999999999997</v>
      </c>
      <c r="E1353" s="1">
        <f ca="1">IFERROR(__xludf.DUMMYFUNCTION("""COMPUTED_VALUE"""),272.04)</f>
        <v>272.04000000000002</v>
      </c>
      <c r="F1353" s="1">
        <f ca="1">IFERROR(__xludf.DUMMYFUNCTION("""COMPUTED_VALUE"""),23768313)</f>
        <v>23768313</v>
      </c>
    </row>
    <row r="1354" spans="1:6" x14ac:dyDescent="0.2">
      <c r="A1354" s="2">
        <f ca="1">IFERROR(__xludf.DUMMYFUNCTION("""COMPUTED_VALUE"""),44243.6666666666)</f>
        <v>44243.666666666599</v>
      </c>
      <c r="B1354" s="1">
        <f ca="1">IFERROR(__xludf.DUMMYFUNCTION("""COMPUTED_VALUE"""),272.67)</f>
        <v>272.67</v>
      </c>
      <c r="C1354" s="1">
        <f ca="1">IFERROR(__xludf.DUMMYFUNCTION("""COMPUTED_VALUE"""),273.67)</f>
        <v>273.67</v>
      </c>
      <c r="D1354" s="1">
        <f ca="1">IFERROR(__xludf.DUMMYFUNCTION("""COMPUTED_VALUE"""),264.15)</f>
        <v>264.14999999999998</v>
      </c>
      <c r="E1354" s="1">
        <f ca="1">IFERROR(__xludf.DUMMYFUNCTION("""COMPUTED_VALUE"""),265.41)</f>
        <v>265.41000000000003</v>
      </c>
      <c r="F1354" s="1">
        <f ca="1">IFERROR(__xludf.DUMMYFUNCTION("""COMPUTED_VALUE"""),19802324)</f>
        <v>19802324</v>
      </c>
    </row>
    <row r="1355" spans="1:6" x14ac:dyDescent="0.2">
      <c r="A1355" s="2">
        <f ca="1">IFERROR(__xludf.DUMMYFUNCTION("""COMPUTED_VALUE"""),44244.6666666666)</f>
        <v>44244.666666666599</v>
      </c>
      <c r="B1355" s="1">
        <f ca="1">IFERROR(__xludf.DUMMYFUNCTION("""COMPUTED_VALUE"""),259.7)</f>
        <v>259.7</v>
      </c>
      <c r="C1355" s="1">
        <f ca="1">IFERROR(__xludf.DUMMYFUNCTION("""COMPUTED_VALUE"""),266.61)</f>
        <v>266.61</v>
      </c>
      <c r="D1355" s="1">
        <f ca="1">IFERROR(__xludf.DUMMYFUNCTION("""COMPUTED_VALUE"""),254)</f>
        <v>254</v>
      </c>
      <c r="E1355" s="1">
        <f ca="1">IFERROR(__xludf.DUMMYFUNCTION("""COMPUTED_VALUE"""),266.05)</f>
        <v>266.05</v>
      </c>
      <c r="F1355" s="1">
        <f ca="1">IFERROR(__xludf.DUMMYFUNCTION("""COMPUTED_VALUE"""),26078898)</f>
        <v>26078898</v>
      </c>
    </row>
    <row r="1356" spans="1:6" x14ac:dyDescent="0.2">
      <c r="A1356" s="2">
        <f ca="1">IFERROR(__xludf.DUMMYFUNCTION("""COMPUTED_VALUE"""),44245.6666666666)</f>
        <v>44245.666666666599</v>
      </c>
      <c r="B1356" s="1">
        <f ca="1">IFERROR(__xludf.DUMMYFUNCTION("""COMPUTED_VALUE"""),260.3)</f>
        <v>260.3</v>
      </c>
      <c r="C1356" s="1">
        <f ca="1">IFERROR(__xludf.DUMMYFUNCTION("""COMPUTED_VALUE"""),264.9)</f>
        <v>264.89999999999998</v>
      </c>
      <c r="D1356" s="1">
        <f ca="1">IFERROR(__xludf.DUMMYFUNCTION("""COMPUTED_VALUE"""),258.76)</f>
        <v>258.76</v>
      </c>
      <c r="E1356" s="1">
        <f ca="1">IFERROR(__xludf.DUMMYFUNCTION("""COMPUTED_VALUE"""),262.46)</f>
        <v>262.45999999999998</v>
      </c>
      <c r="F1356" s="1">
        <f ca="1">IFERROR(__xludf.DUMMYFUNCTION("""COMPUTED_VALUE"""),17957058)</f>
        <v>17957058</v>
      </c>
    </row>
    <row r="1357" spans="1:6" x14ac:dyDescent="0.2">
      <c r="A1357" s="2">
        <f ca="1">IFERROR(__xludf.DUMMYFUNCTION("""COMPUTED_VALUE"""),44246.6666666666)</f>
        <v>44246.666666666599</v>
      </c>
      <c r="B1357" s="1">
        <f ca="1">IFERROR(__xludf.DUMMYFUNCTION("""COMPUTED_VALUE"""),265)</f>
        <v>265</v>
      </c>
      <c r="C1357" s="1">
        <f ca="1">IFERROR(__xludf.DUMMYFUNCTION("""COMPUTED_VALUE"""),265.6)</f>
        <v>265.60000000000002</v>
      </c>
      <c r="D1357" s="1">
        <f ca="1">IFERROR(__xludf.DUMMYFUNCTION("""COMPUTED_VALUE"""),259.12)</f>
        <v>259.12</v>
      </c>
      <c r="E1357" s="1">
        <f ca="1">IFERROR(__xludf.DUMMYFUNCTION("""COMPUTED_VALUE"""),260.43)</f>
        <v>260.43</v>
      </c>
      <c r="F1357" s="1">
        <f ca="1">IFERROR(__xludf.DUMMYFUNCTION("""COMPUTED_VALUE"""),18958255)</f>
        <v>18958255</v>
      </c>
    </row>
    <row r="1358" spans="1:6" x14ac:dyDescent="0.2">
      <c r="A1358" s="2">
        <f ca="1">IFERROR(__xludf.DUMMYFUNCTION("""COMPUTED_VALUE"""),44249.6666666666)</f>
        <v>44249.666666666599</v>
      </c>
      <c r="B1358" s="1">
        <f ca="1">IFERROR(__xludf.DUMMYFUNCTION("""COMPUTED_VALUE"""),254.21)</f>
        <v>254.21</v>
      </c>
      <c r="C1358" s="1">
        <f ca="1">IFERROR(__xludf.DUMMYFUNCTION("""COMPUTED_VALUE"""),256.17)</f>
        <v>256.17</v>
      </c>
      <c r="D1358" s="1">
        <f ca="1">IFERROR(__xludf.DUMMYFUNCTION("""COMPUTED_VALUE"""),236.73)</f>
        <v>236.73</v>
      </c>
      <c r="E1358" s="1">
        <f ca="1">IFERROR(__xludf.DUMMYFUNCTION("""COMPUTED_VALUE"""),238.17)</f>
        <v>238.17</v>
      </c>
      <c r="F1358" s="1">
        <f ca="1">IFERROR(__xludf.DUMMYFUNCTION("""COMPUTED_VALUE"""),37269716)</f>
        <v>37269716</v>
      </c>
    </row>
    <row r="1359" spans="1:6" x14ac:dyDescent="0.2">
      <c r="A1359" s="2">
        <f ca="1">IFERROR(__xludf.DUMMYFUNCTION("""COMPUTED_VALUE"""),44250.6666666666)</f>
        <v>44250.666666666599</v>
      </c>
      <c r="B1359" s="1">
        <f ca="1">IFERROR(__xludf.DUMMYFUNCTION("""COMPUTED_VALUE"""),220.71)</f>
        <v>220.71</v>
      </c>
      <c r="C1359" s="1">
        <f ca="1">IFERROR(__xludf.DUMMYFUNCTION("""COMPUTED_VALUE"""),237.87)</f>
        <v>237.87</v>
      </c>
      <c r="D1359" s="1">
        <f ca="1">IFERROR(__xludf.DUMMYFUNCTION("""COMPUTED_VALUE"""),206.33)</f>
        <v>206.33</v>
      </c>
      <c r="E1359" s="1">
        <f ca="1">IFERROR(__xludf.DUMMYFUNCTION("""COMPUTED_VALUE"""),232.95)</f>
        <v>232.95</v>
      </c>
      <c r="F1359" s="1">
        <f ca="1">IFERROR(__xludf.DUMMYFUNCTION("""COMPUTED_VALUE"""),66606882)</f>
        <v>66606882</v>
      </c>
    </row>
    <row r="1360" spans="1:6" x14ac:dyDescent="0.2">
      <c r="A1360" s="2">
        <f ca="1">IFERROR(__xludf.DUMMYFUNCTION("""COMPUTED_VALUE"""),44251.6666666666)</f>
        <v>44251.666666666599</v>
      </c>
      <c r="B1360" s="1">
        <f ca="1">IFERROR(__xludf.DUMMYFUNCTION("""COMPUTED_VALUE"""),237.28)</f>
        <v>237.28</v>
      </c>
      <c r="C1360" s="1">
        <f ca="1">IFERROR(__xludf.DUMMYFUNCTION("""COMPUTED_VALUE"""),248.33)</f>
        <v>248.33</v>
      </c>
      <c r="D1360" s="1">
        <f ca="1">IFERROR(__xludf.DUMMYFUNCTION("""COMPUTED_VALUE"""),231.39)</f>
        <v>231.39</v>
      </c>
      <c r="E1360" s="1">
        <f ca="1">IFERROR(__xludf.DUMMYFUNCTION("""COMPUTED_VALUE"""),247.34)</f>
        <v>247.34</v>
      </c>
      <c r="F1360" s="1">
        <f ca="1">IFERROR(__xludf.DUMMYFUNCTION("""COMPUTED_VALUE"""),36766950)</f>
        <v>36766950</v>
      </c>
    </row>
    <row r="1361" spans="1:6" x14ac:dyDescent="0.2">
      <c r="A1361" s="2">
        <f ca="1">IFERROR(__xludf.DUMMYFUNCTION("""COMPUTED_VALUE"""),44252.6666666666)</f>
        <v>44252.666666666599</v>
      </c>
      <c r="B1361" s="1">
        <f ca="1">IFERROR(__xludf.DUMMYFUNCTION("""COMPUTED_VALUE"""),242.05)</f>
        <v>242.05</v>
      </c>
      <c r="C1361" s="1">
        <f ca="1">IFERROR(__xludf.DUMMYFUNCTION("""COMPUTED_VALUE"""),245.74)</f>
        <v>245.74</v>
      </c>
      <c r="D1361" s="1">
        <f ca="1">IFERROR(__xludf.DUMMYFUNCTION("""COMPUTED_VALUE"""),223.53)</f>
        <v>223.53</v>
      </c>
      <c r="E1361" s="1">
        <f ca="1">IFERROR(__xludf.DUMMYFUNCTION("""COMPUTED_VALUE"""),227.41)</f>
        <v>227.41</v>
      </c>
      <c r="F1361" s="1">
        <f ca="1">IFERROR(__xludf.DUMMYFUNCTION("""COMPUTED_VALUE"""),39023855)</f>
        <v>39023855</v>
      </c>
    </row>
    <row r="1362" spans="1:6" x14ac:dyDescent="0.2">
      <c r="A1362" s="2">
        <f ca="1">IFERROR(__xludf.DUMMYFUNCTION("""COMPUTED_VALUE"""),44253.6666666666)</f>
        <v>44253.666666666599</v>
      </c>
      <c r="B1362" s="1">
        <f ca="1">IFERROR(__xludf.DUMMYFUNCTION("""COMPUTED_VALUE"""),233.33)</f>
        <v>233.33</v>
      </c>
      <c r="C1362" s="1">
        <f ca="1">IFERROR(__xludf.DUMMYFUNCTION("""COMPUTED_VALUE"""),235.57)</f>
        <v>235.57</v>
      </c>
      <c r="D1362" s="1">
        <f ca="1">IFERROR(__xludf.DUMMYFUNCTION("""COMPUTED_VALUE"""),219.84)</f>
        <v>219.84</v>
      </c>
      <c r="E1362" s="1">
        <f ca="1">IFERROR(__xludf.DUMMYFUNCTION("""COMPUTED_VALUE"""),225.17)</f>
        <v>225.17</v>
      </c>
      <c r="F1362" s="1">
        <f ca="1">IFERROR(__xludf.DUMMYFUNCTION("""COMPUTED_VALUE"""),41089173)</f>
        <v>41089173</v>
      </c>
    </row>
    <row r="1363" spans="1:6" x14ac:dyDescent="0.2">
      <c r="A1363" s="2">
        <f ca="1">IFERROR(__xludf.DUMMYFUNCTION("""COMPUTED_VALUE"""),44256.6666666666)</f>
        <v>44256.666666666599</v>
      </c>
      <c r="B1363" s="1">
        <f ca="1">IFERROR(__xludf.DUMMYFUNCTION("""COMPUTED_VALUE"""),230.04)</f>
        <v>230.04</v>
      </c>
      <c r="C1363" s="1">
        <f ca="1">IFERROR(__xludf.DUMMYFUNCTION("""COMPUTED_VALUE"""),290.67)</f>
        <v>290.67</v>
      </c>
      <c r="D1363" s="1">
        <f ca="1">IFERROR(__xludf.DUMMYFUNCTION("""COMPUTED_VALUE"""),228.35)</f>
        <v>228.35</v>
      </c>
      <c r="E1363" s="1">
        <f ca="1">IFERROR(__xludf.DUMMYFUNCTION("""COMPUTED_VALUE"""),239.48)</f>
        <v>239.48</v>
      </c>
      <c r="F1363" s="1">
        <f ca="1">IFERROR(__xludf.DUMMYFUNCTION("""COMPUTED_VALUE"""),27136239)</f>
        <v>27136239</v>
      </c>
    </row>
    <row r="1364" spans="1:6" x14ac:dyDescent="0.2">
      <c r="A1364" s="2">
        <f ca="1">IFERROR(__xludf.DUMMYFUNCTION("""COMPUTED_VALUE"""),44257.6666666666)</f>
        <v>44257.666666666599</v>
      </c>
      <c r="B1364" s="1">
        <f ca="1">IFERROR(__xludf.DUMMYFUNCTION("""COMPUTED_VALUE"""),239.43)</f>
        <v>239.43</v>
      </c>
      <c r="C1364" s="1">
        <f ca="1">IFERROR(__xludf.DUMMYFUNCTION("""COMPUTED_VALUE"""),240.37)</f>
        <v>240.37</v>
      </c>
      <c r="D1364" s="1">
        <f ca="1">IFERROR(__xludf.DUMMYFUNCTION("""COMPUTED_VALUE"""),228.33)</f>
        <v>228.33</v>
      </c>
      <c r="E1364" s="1">
        <f ca="1">IFERROR(__xludf.DUMMYFUNCTION("""COMPUTED_VALUE"""),228.81)</f>
        <v>228.81</v>
      </c>
      <c r="F1364" s="1">
        <f ca="1">IFERROR(__xludf.DUMMYFUNCTION("""COMPUTED_VALUE"""),23732158)</f>
        <v>23732158</v>
      </c>
    </row>
    <row r="1365" spans="1:6" x14ac:dyDescent="0.2">
      <c r="A1365" s="2">
        <f ca="1">IFERROR(__xludf.DUMMYFUNCTION("""COMPUTED_VALUE"""),44258.6666666666)</f>
        <v>44258.666666666599</v>
      </c>
      <c r="B1365" s="1">
        <f ca="1">IFERROR(__xludf.DUMMYFUNCTION("""COMPUTED_VALUE"""),229.33)</f>
        <v>229.33</v>
      </c>
      <c r="C1365" s="1">
        <f ca="1">IFERROR(__xludf.DUMMYFUNCTION("""COMPUTED_VALUE"""),233.57)</f>
        <v>233.57</v>
      </c>
      <c r="D1365" s="1">
        <f ca="1">IFERROR(__xludf.DUMMYFUNCTION("""COMPUTED_VALUE"""),217.24)</f>
        <v>217.24</v>
      </c>
      <c r="E1365" s="1">
        <f ca="1">IFERROR(__xludf.DUMMYFUNCTION("""COMPUTED_VALUE"""),217.73)</f>
        <v>217.73</v>
      </c>
      <c r="F1365" s="1">
        <f ca="1">IFERROR(__xludf.DUMMYFUNCTION("""COMPUTED_VALUE"""),30207960)</f>
        <v>30207960</v>
      </c>
    </row>
    <row r="1366" spans="1:6" x14ac:dyDescent="0.2">
      <c r="A1366" s="2">
        <f ca="1">IFERROR(__xludf.DUMMYFUNCTION("""COMPUTED_VALUE"""),44259.6666666666)</f>
        <v>44259.666666666599</v>
      </c>
      <c r="B1366" s="1">
        <f ca="1">IFERROR(__xludf.DUMMYFUNCTION("""COMPUTED_VALUE"""),218.6)</f>
        <v>218.6</v>
      </c>
      <c r="C1366" s="1">
        <f ca="1">IFERROR(__xludf.DUMMYFUNCTION("""COMPUTED_VALUE"""),291.31)</f>
        <v>291.31</v>
      </c>
      <c r="D1366" s="1">
        <f ca="1">IFERROR(__xludf.DUMMYFUNCTION("""COMPUTED_VALUE"""),200)</f>
        <v>200</v>
      </c>
      <c r="E1366" s="1">
        <f ca="1">IFERROR(__xludf.DUMMYFUNCTION("""COMPUTED_VALUE"""),207.15)</f>
        <v>207.15</v>
      </c>
      <c r="F1366" s="1">
        <f ca="1">IFERROR(__xludf.DUMMYFUNCTION("""COMPUTED_VALUE"""),65919530)</f>
        <v>65919530</v>
      </c>
    </row>
    <row r="1367" spans="1:6" x14ac:dyDescent="0.2">
      <c r="A1367" s="2">
        <f ca="1">IFERROR(__xludf.DUMMYFUNCTION("""COMPUTED_VALUE"""),44260.6666666666)</f>
        <v>44260.666666666599</v>
      </c>
      <c r="B1367" s="1">
        <f ca="1">IFERROR(__xludf.DUMMYFUNCTION("""COMPUTED_VALUE"""),208.69)</f>
        <v>208.69</v>
      </c>
      <c r="C1367" s="1">
        <f ca="1">IFERROR(__xludf.DUMMYFUNCTION("""COMPUTED_VALUE"""),209.28)</f>
        <v>209.28</v>
      </c>
      <c r="D1367" s="1">
        <f ca="1">IFERROR(__xludf.DUMMYFUNCTION("""COMPUTED_VALUE"""),179.83)</f>
        <v>179.83</v>
      </c>
      <c r="E1367" s="1">
        <f ca="1">IFERROR(__xludf.DUMMYFUNCTION("""COMPUTED_VALUE"""),199.32)</f>
        <v>199.32</v>
      </c>
      <c r="F1367" s="1">
        <f ca="1">IFERROR(__xludf.DUMMYFUNCTION("""COMPUTED_VALUE"""),89396459)</f>
        <v>89396459</v>
      </c>
    </row>
    <row r="1368" spans="1:6" x14ac:dyDescent="0.2">
      <c r="A1368" s="2">
        <f ca="1">IFERROR(__xludf.DUMMYFUNCTION("""COMPUTED_VALUE"""),44263.6666666666)</f>
        <v>44263.666666666599</v>
      </c>
      <c r="B1368" s="1">
        <f ca="1">IFERROR(__xludf.DUMMYFUNCTION("""COMPUTED_VALUE"""),200.18)</f>
        <v>200.18</v>
      </c>
      <c r="C1368" s="1">
        <f ca="1">IFERROR(__xludf.DUMMYFUNCTION("""COMPUTED_VALUE"""),206.71)</f>
        <v>206.71</v>
      </c>
      <c r="D1368" s="1">
        <f ca="1">IFERROR(__xludf.DUMMYFUNCTION("""COMPUTED_VALUE"""),186.26)</f>
        <v>186.26</v>
      </c>
      <c r="E1368" s="1">
        <f ca="1">IFERROR(__xludf.DUMMYFUNCTION("""COMPUTED_VALUE"""),187.67)</f>
        <v>187.67</v>
      </c>
      <c r="F1368" s="1">
        <f ca="1">IFERROR(__xludf.DUMMYFUNCTION("""COMPUTED_VALUE"""),51786958)</f>
        <v>51786958</v>
      </c>
    </row>
    <row r="1369" spans="1:6" x14ac:dyDescent="0.2">
      <c r="A1369" s="2">
        <f ca="1">IFERROR(__xludf.DUMMYFUNCTION("""COMPUTED_VALUE"""),44264.6666666666)</f>
        <v>44264.666666666599</v>
      </c>
      <c r="B1369" s="1">
        <f ca="1">IFERROR(__xludf.DUMMYFUNCTION("""COMPUTED_VALUE"""),202.73)</f>
        <v>202.73</v>
      </c>
      <c r="C1369" s="1">
        <f ca="1">IFERROR(__xludf.DUMMYFUNCTION("""COMPUTED_VALUE"""),226.03)</f>
        <v>226.03</v>
      </c>
      <c r="D1369" s="1">
        <f ca="1">IFERROR(__xludf.DUMMYFUNCTION("""COMPUTED_VALUE"""),198.4)</f>
        <v>198.4</v>
      </c>
      <c r="E1369" s="1">
        <f ca="1">IFERROR(__xludf.DUMMYFUNCTION("""COMPUTED_VALUE"""),224.53)</f>
        <v>224.53</v>
      </c>
      <c r="F1369" s="1">
        <f ca="1">IFERROR(__xludf.DUMMYFUNCTION("""COMPUTED_VALUE"""),67523328)</f>
        <v>67523328</v>
      </c>
    </row>
    <row r="1370" spans="1:6" x14ac:dyDescent="0.2">
      <c r="A1370" s="2">
        <f ca="1">IFERROR(__xludf.DUMMYFUNCTION("""COMPUTED_VALUE"""),44265.6666666666)</f>
        <v>44265.666666666599</v>
      </c>
      <c r="B1370" s="1">
        <f ca="1">IFERROR(__xludf.DUMMYFUNCTION("""COMPUTED_VALUE"""),233.43)</f>
        <v>233.43</v>
      </c>
      <c r="C1370" s="1">
        <f ca="1">IFERROR(__xludf.DUMMYFUNCTION("""COMPUTED_VALUE"""),239.28)</f>
        <v>239.28</v>
      </c>
      <c r="D1370" s="1">
        <f ca="1">IFERROR(__xludf.DUMMYFUNCTION("""COMPUTED_VALUE"""),218.35)</f>
        <v>218.35</v>
      </c>
      <c r="E1370" s="1">
        <f ca="1">IFERROR(__xludf.DUMMYFUNCTION("""COMPUTED_VALUE"""),222.69)</f>
        <v>222.69</v>
      </c>
      <c r="F1370" s="1">
        <f ca="1">IFERROR(__xludf.DUMMYFUNCTION("""COMPUTED_VALUE"""),60605672)</f>
        <v>60605672</v>
      </c>
    </row>
    <row r="1371" spans="1:6" x14ac:dyDescent="0.2">
      <c r="A1371" s="2">
        <f ca="1">IFERROR(__xludf.DUMMYFUNCTION("""COMPUTED_VALUE"""),44266.6666666666)</f>
        <v>44266.666666666599</v>
      </c>
      <c r="B1371" s="1">
        <f ca="1">IFERROR(__xludf.DUMMYFUNCTION("""COMPUTED_VALUE"""),233.13)</f>
        <v>233.13</v>
      </c>
      <c r="C1371" s="1">
        <f ca="1">IFERROR(__xludf.DUMMYFUNCTION("""COMPUTED_VALUE"""),234.17)</f>
        <v>234.17</v>
      </c>
      <c r="D1371" s="1">
        <f ca="1">IFERROR(__xludf.DUMMYFUNCTION("""COMPUTED_VALUE"""),225.73)</f>
        <v>225.73</v>
      </c>
      <c r="E1371" s="1">
        <f ca="1">IFERROR(__xludf.DUMMYFUNCTION("""COMPUTED_VALUE"""),233.2)</f>
        <v>233.2</v>
      </c>
      <c r="F1371" s="1">
        <f ca="1">IFERROR(__xludf.DUMMYFUNCTION("""COMPUTED_VALUE"""),36253892)</f>
        <v>36253892</v>
      </c>
    </row>
    <row r="1372" spans="1:6" x14ac:dyDescent="0.2">
      <c r="A1372" s="2">
        <f ca="1">IFERROR(__xludf.DUMMYFUNCTION("""COMPUTED_VALUE"""),44267.6666666666)</f>
        <v>44267.666666666599</v>
      </c>
      <c r="B1372" s="1">
        <f ca="1">IFERROR(__xludf.DUMMYFUNCTION("""COMPUTED_VALUE"""),223.33)</f>
        <v>223.33</v>
      </c>
      <c r="C1372" s="1">
        <f ca="1">IFERROR(__xludf.DUMMYFUNCTION("""COMPUTED_VALUE"""),231.63)</f>
        <v>231.63</v>
      </c>
      <c r="D1372" s="1">
        <f ca="1">IFERROR(__xludf.DUMMYFUNCTION("""COMPUTED_VALUE"""),222.05)</f>
        <v>222.05</v>
      </c>
      <c r="E1372" s="1">
        <f ca="1">IFERROR(__xludf.DUMMYFUNCTION("""COMPUTED_VALUE"""),231.24)</f>
        <v>231.24</v>
      </c>
      <c r="F1372" s="1">
        <f ca="1">IFERROR(__xludf.DUMMYFUNCTION("""COMPUTED_VALUE"""),33583840)</f>
        <v>33583840</v>
      </c>
    </row>
    <row r="1373" spans="1:6" x14ac:dyDescent="0.2">
      <c r="A1373" s="2">
        <f ca="1">IFERROR(__xludf.DUMMYFUNCTION("""COMPUTED_VALUE"""),44270.6666666666)</f>
        <v>44270.666666666599</v>
      </c>
      <c r="B1373" s="1">
        <f ca="1">IFERROR(__xludf.DUMMYFUNCTION("""COMPUTED_VALUE"""),231.36)</f>
        <v>231.36</v>
      </c>
      <c r="C1373" s="1">
        <f ca="1">IFERROR(__xludf.DUMMYFUNCTION("""COMPUTED_VALUE"""),237.73)</f>
        <v>237.73</v>
      </c>
      <c r="D1373" s="1">
        <f ca="1">IFERROR(__xludf.DUMMYFUNCTION("""COMPUTED_VALUE"""),228.01)</f>
        <v>228.01</v>
      </c>
      <c r="E1373" s="1">
        <f ca="1">IFERROR(__xludf.DUMMYFUNCTION("""COMPUTED_VALUE"""),235.98)</f>
        <v>235.98</v>
      </c>
      <c r="F1373" s="1">
        <f ca="1">IFERROR(__xludf.DUMMYFUNCTION("""COMPUTED_VALUE"""),29423479)</f>
        <v>29423479</v>
      </c>
    </row>
    <row r="1374" spans="1:6" x14ac:dyDescent="0.2">
      <c r="A1374" s="2">
        <f ca="1">IFERROR(__xludf.DUMMYFUNCTION("""COMPUTED_VALUE"""),44271.6666666666)</f>
        <v>44271.666666666599</v>
      </c>
      <c r="B1374" s="1">
        <f ca="1">IFERROR(__xludf.DUMMYFUNCTION("""COMPUTED_VALUE"""),234.45)</f>
        <v>234.45</v>
      </c>
      <c r="C1374" s="1">
        <f ca="1">IFERROR(__xludf.DUMMYFUNCTION("""COMPUTED_VALUE"""),235.97)</f>
        <v>235.97</v>
      </c>
      <c r="D1374" s="1">
        <f ca="1">IFERROR(__xludf.DUMMYFUNCTION("""COMPUTED_VALUE"""),223.67)</f>
        <v>223.67</v>
      </c>
      <c r="E1374" s="1">
        <f ca="1">IFERROR(__xludf.DUMMYFUNCTION("""COMPUTED_VALUE"""),225.63)</f>
        <v>225.63</v>
      </c>
      <c r="F1374" s="1">
        <f ca="1">IFERROR(__xludf.DUMMYFUNCTION("""COMPUTED_VALUE"""),32195672)</f>
        <v>32195672</v>
      </c>
    </row>
    <row r="1375" spans="1:6" x14ac:dyDescent="0.2">
      <c r="A1375" s="2">
        <f ca="1">IFERROR(__xludf.DUMMYFUNCTION("""COMPUTED_VALUE"""),44272.6666666666)</f>
        <v>44272.666666666599</v>
      </c>
      <c r="B1375" s="1">
        <f ca="1">IFERROR(__xludf.DUMMYFUNCTION("""COMPUTED_VALUE"""),218.96)</f>
        <v>218.96</v>
      </c>
      <c r="C1375" s="1">
        <f ca="1">IFERROR(__xludf.DUMMYFUNCTION("""COMPUTED_VALUE"""),234.58)</f>
        <v>234.58</v>
      </c>
      <c r="D1375" s="1">
        <f ca="1">IFERROR(__xludf.DUMMYFUNCTION("""COMPUTED_VALUE"""),217)</f>
        <v>217</v>
      </c>
      <c r="E1375" s="1">
        <f ca="1">IFERROR(__xludf.DUMMYFUNCTION("""COMPUTED_VALUE"""),233.94)</f>
        <v>233.94</v>
      </c>
      <c r="F1375" s="1">
        <f ca="1">IFERROR(__xludf.DUMMYFUNCTION("""COMPUTED_VALUE"""),40372453)</f>
        <v>40372453</v>
      </c>
    </row>
    <row r="1376" spans="1:6" x14ac:dyDescent="0.2">
      <c r="A1376" s="2">
        <f ca="1">IFERROR(__xludf.DUMMYFUNCTION("""COMPUTED_VALUE"""),44273.6666666666)</f>
        <v>44273.666666666599</v>
      </c>
      <c r="B1376" s="1">
        <f ca="1">IFERROR(__xludf.DUMMYFUNCTION("""COMPUTED_VALUE"""),228.1)</f>
        <v>228.1</v>
      </c>
      <c r="C1376" s="1">
        <f ca="1">IFERROR(__xludf.DUMMYFUNCTION("""COMPUTED_VALUE"""),229.74)</f>
        <v>229.74</v>
      </c>
      <c r="D1376" s="1">
        <f ca="1">IFERROR(__xludf.DUMMYFUNCTION("""COMPUTED_VALUE"""),217.33)</f>
        <v>217.33</v>
      </c>
      <c r="E1376" s="1">
        <f ca="1">IFERROR(__xludf.DUMMYFUNCTION("""COMPUTED_VALUE"""),217.72)</f>
        <v>217.72</v>
      </c>
      <c r="F1376" s="1">
        <f ca="1">IFERROR(__xludf.DUMMYFUNCTION("""COMPUTED_VALUE"""),33369022)</f>
        <v>33369022</v>
      </c>
    </row>
    <row r="1377" spans="1:6" x14ac:dyDescent="0.2">
      <c r="A1377" s="2">
        <f ca="1">IFERROR(__xludf.DUMMYFUNCTION("""COMPUTED_VALUE"""),44274.6666666666)</f>
        <v>44274.666666666599</v>
      </c>
      <c r="B1377" s="1">
        <f ca="1">IFERROR(__xludf.DUMMYFUNCTION("""COMPUTED_VALUE"""),215.53)</f>
        <v>215.53</v>
      </c>
      <c r="C1377" s="1">
        <f ca="1">IFERROR(__xludf.DUMMYFUNCTION("""COMPUTED_VALUE"""),219.08)</f>
        <v>219.08</v>
      </c>
      <c r="D1377" s="1">
        <f ca="1">IFERROR(__xludf.DUMMYFUNCTION("""COMPUTED_VALUE"""),208.21)</f>
        <v>208.21</v>
      </c>
      <c r="E1377" s="1">
        <f ca="1">IFERROR(__xludf.DUMMYFUNCTION("""COMPUTED_VALUE"""),218.29)</f>
        <v>218.29</v>
      </c>
      <c r="F1377" s="1">
        <f ca="1">IFERROR(__xludf.DUMMYFUNCTION("""COMPUTED_VALUE"""),42893978)</f>
        <v>42893978</v>
      </c>
    </row>
    <row r="1378" spans="1:6" x14ac:dyDescent="0.2">
      <c r="A1378" s="2">
        <f ca="1">IFERROR(__xludf.DUMMYFUNCTION("""COMPUTED_VALUE"""),44277.6666666666)</f>
        <v>44277.666666666599</v>
      </c>
      <c r="B1378" s="1">
        <f ca="1">IFERROR(__xludf.DUMMYFUNCTION("""COMPUTED_VALUE"""),228.2)</f>
        <v>228.2</v>
      </c>
      <c r="C1378" s="1">
        <f ca="1">IFERROR(__xludf.DUMMYFUNCTION("""COMPUTED_VALUE"""),233.21)</f>
        <v>233.21</v>
      </c>
      <c r="D1378" s="1">
        <f ca="1">IFERROR(__xludf.DUMMYFUNCTION("""COMPUTED_VALUE"""),222.92)</f>
        <v>222.92</v>
      </c>
      <c r="E1378" s="1">
        <f ca="1">IFERROR(__xludf.DUMMYFUNCTION("""COMPUTED_VALUE"""),223.33)</f>
        <v>223.33</v>
      </c>
      <c r="F1378" s="1">
        <f ca="1">IFERROR(__xludf.DUMMYFUNCTION("""COMPUTED_VALUE"""),39512221)</f>
        <v>39512221</v>
      </c>
    </row>
    <row r="1379" spans="1:6" x14ac:dyDescent="0.2">
      <c r="A1379" s="2">
        <f ca="1">IFERROR(__xludf.DUMMYFUNCTION("""COMPUTED_VALUE"""),44278.6666666666)</f>
        <v>44278.666666666599</v>
      </c>
      <c r="B1379" s="1">
        <f ca="1">IFERROR(__xludf.DUMMYFUNCTION("""COMPUTED_VALUE"""),225.26)</f>
        <v>225.26</v>
      </c>
      <c r="C1379" s="1">
        <f ca="1">IFERROR(__xludf.DUMMYFUNCTION("""COMPUTED_VALUE"""),225.93)</f>
        <v>225.93</v>
      </c>
      <c r="D1379" s="1">
        <f ca="1">IFERROR(__xludf.DUMMYFUNCTION("""COMPUTED_VALUE"""),219.17)</f>
        <v>219.17</v>
      </c>
      <c r="E1379" s="1">
        <f ca="1">IFERROR(__xludf.DUMMYFUNCTION("""COMPUTED_VALUE"""),220.72)</f>
        <v>220.72</v>
      </c>
      <c r="F1379" s="1">
        <f ca="1">IFERROR(__xludf.DUMMYFUNCTION("""COMPUTED_VALUE"""),30491870)</f>
        <v>30491870</v>
      </c>
    </row>
    <row r="1380" spans="1:6" x14ac:dyDescent="0.2">
      <c r="A1380" s="2">
        <f ca="1">IFERROR(__xludf.DUMMYFUNCTION("""COMPUTED_VALUE"""),44279.6666666666)</f>
        <v>44279.666666666599</v>
      </c>
      <c r="B1380" s="1">
        <f ca="1">IFERROR(__xludf.DUMMYFUNCTION("""COMPUTED_VALUE"""),222.64)</f>
        <v>222.64</v>
      </c>
      <c r="C1380" s="1">
        <f ca="1">IFERROR(__xludf.DUMMYFUNCTION("""COMPUTED_VALUE"""),222.67)</f>
        <v>222.67</v>
      </c>
      <c r="D1380" s="1">
        <f ca="1">IFERROR(__xludf.DUMMYFUNCTION("""COMPUTED_VALUE"""),210.04)</f>
        <v>210.04</v>
      </c>
      <c r="E1380" s="1">
        <f ca="1">IFERROR(__xludf.DUMMYFUNCTION("""COMPUTED_VALUE"""),210.09)</f>
        <v>210.09</v>
      </c>
      <c r="F1380" s="1">
        <f ca="1">IFERROR(__xludf.DUMMYFUNCTION("""COMPUTED_VALUE"""),33795174)</f>
        <v>33795174</v>
      </c>
    </row>
    <row r="1381" spans="1:6" x14ac:dyDescent="0.2">
      <c r="A1381" s="2">
        <f ca="1">IFERROR(__xludf.DUMMYFUNCTION("""COMPUTED_VALUE"""),44280.6666666666)</f>
        <v>44280.666666666599</v>
      </c>
      <c r="B1381" s="1">
        <f ca="1">IFERROR(__xludf.DUMMYFUNCTION("""COMPUTED_VALUE"""),204.33)</f>
        <v>204.33</v>
      </c>
      <c r="C1381" s="1">
        <f ca="1">IFERROR(__xludf.DUMMYFUNCTION("""COMPUTED_VALUE"""),215.17)</f>
        <v>215.17</v>
      </c>
      <c r="D1381" s="1">
        <f ca="1">IFERROR(__xludf.DUMMYFUNCTION("""COMPUTED_VALUE"""),203.17)</f>
        <v>203.17</v>
      </c>
      <c r="E1381" s="1">
        <f ca="1">IFERROR(__xludf.DUMMYFUNCTION("""COMPUTED_VALUE"""),213.46)</f>
        <v>213.46</v>
      </c>
      <c r="F1381" s="1">
        <f ca="1">IFERROR(__xludf.DUMMYFUNCTION("""COMPUTED_VALUE"""),39224850)</f>
        <v>39224850</v>
      </c>
    </row>
    <row r="1382" spans="1:6" x14ac:dyDescent="0.2">
      <c r="A1382" s="2">
        <f ca="1">IFERROR(__xludf.DUMMYFUNCTION("""COMPUTED_VALUE"""),44281.6666666666)</f>
        <v>44281.666666666599</v>
      </c>
      <c r="B1382" s="1">
        <f ca="1">IFERROR(__xludf.DUMMYFUNCTION("""COMPUTED_VALUE"""),213.96)</f>
        <v>213.96</v>
      </c>
      <c r="C1382" s="1">
        <f ca="1">IFERROR(__xludf.DUMMYFUNCTION("""COMPUTED_VALUE"""),214.61)</f>
        <v>214.61</v>
      </c>
      <c r="D1382" s="1">
        <f ca="1">IFERROR(__xludf.DUMMYFUNCTION("""COMPUTED_VALUE"""),199.96)</f>
        <v>199.96</v>
      </c>
      <c r="E1382" s="1">
        <f ca="1">IFERROR(__xludf.DUMMYFUNCTION("""COMPUTED_VALUE"""),206.24)</f>
        <v>206.24</v>
      </c>
      <c r="F1382" s="1">
        <f ca="1">IFERROR(__xludf.DUMMYFUNCTION("""COMPUTED_VALUE"""),33852827)</f>
        <v>33852827</v>
      </c>
    </row>
    <row r="1383" spans="1:6" x14ac:dyDescent="0.2">
      <c r="A1383" s="2">
        <f ca="1">IFERROR(__xludf.DUMMYFUNCTION("""COMPUTED_VALUE"""),44284.6666666666)</f>
        <v>44284.666666666599</v>
      </c>
      <c r="B1383" s="1">
        <f ca="1">IFERROR(__xludf.DUMMYFUNCTION("""COMPUTED_VALUE"""),205.21)</f>
        <v>205.21</v>
      </c>
      <c r="C1383" s="1">
        <f ca="1">IFERROR(__xludf.DUMMYFUNCTION("""COMPUTED_VALUE"""),205.49)</f>
        <v>205.49</v>
      </c>
      <c r="D1383" s="1">
        <f ca="1">IFERROR(__xludf.DUMMYFUNCTION("""COMPUTED_VALUE"""),198.67)</f>
        <v>198.67</v>
      </c>
      <c r="E1383" s="1">
        <f ca="1">IFERROR(__xludf.DUMMYFUNCTION("""COMPUTED_VALUE"""),203.76)</f>
        <v>203.76</v>
      </c>
      <c r="F1383" s="1">
        <f ca="1">IFERROR(__xludf.DUMMYFUNCTION("""COMPUTED_VALUE"""),28636985)</f>
        <v>28636985</v>
      </c>
    </row>
    <row r="1384" spans="1:6" x14ac:dyDescent="0.2">
      <c r="A1384" s="2">
        <f ca="1">IFERROR(__xludf.DUMMYFUNCTION("""COMPUTED_VALUE"""),44285.6666666666)</f>
        <v>44285.666666666599</v>
      </c>
      <c r="B1384" s="1">
        <f ca="1">IFERROR(__xludf.DUMMYFUNCTION("""COMPUTED_VALUE"""),200.58)</f>
        <v>200.58</v>
      </c>
      <c r="C1384" s="1">
        <f ca="1">IFERROR(__xludf.DUMMYFUNCTION("""COMPUTED_VALUE"""),212.55)</f>
        <v>212.55</v>
      </c>
      <c r="D1384" s="1">
        <f ca="1">IFERROR(__xludf.DUMMYFUNCTION("""COMPUTED_VALUE"""),197)</f>
        <v>197</v>
      </c>
      <c r="E1384" s="1">
        <f ca="1">IFERROR(__xludf.DUMMYFUNCTION("""COMPUTED_VALUE"""),211.87)</f>
        <v>211.87</v>
      </c>
      <c r="F1384" s="1">
        <f ca="1">IFERROR(__xludf.DUMMYFUNCTION("""COMPUTED_VALUE"""),39432359)</f>
        <v>39432359</v>
      </c>
    </row>
    <row r="1385" spans="1:6" x14ac:dyDescent="0.2">
      <c r="A1385" s="2">
        <f ca="1">IFERROR(__xludf.DUMMYFUNCTION("""COMPUTED_VALUE"""),44286.6666666666)</f>
        <v>44286.666666666599</v>
      </c>
      <c r="B1385" s="1">
        <f ca="1">IFERROR(__xludf.DUMMYFUNCTION("""COMPUTED_VALUE"""),215.54)</f>
        <v>215.54</v>
      </c>
      <c r="C1385" s="1">
        <f ca="1">IFERROR(__xludf.DUMMYFUNCTION("""COMPUTED_VALUE"""),224)</f>
        <v>224</v>
      </c>
      <c r="D1385" s="1">
        <f ca="1">IFERROR(__xludf.DUMMYFUNCTION("""COMPUTED_VALUE"""),213.7)</f>
        <v>213.7</v>
      </c>
      <c r="E1385" s="1">
        <f ca="1">IFERROR(__xludf.DUMMYFUNCTION("""COMPUTED_VALUE"""),222.64)</f>
        <v>222.64</v>
      </c>
      <c r="F1385" s="1">
        <f ca="1">IFERROR(__xludf.DUMMYFUNCTION("""COMPUTED_VALUE"""),33337288)</f>
        <v>33337288</v>
      </c>
    </row>
    <row r="1386" spans="1:6" x14ac:dyDescent="0.2">
      <c r="A1386" s="2">
        <f ca="1">IFERROR(__xludf.DUMMYFUNCTION("""COMPUTED_VALUE"""),44287.6666666666)</f>
        <v>44287.666666666599</v>
      </c>
      <c r="B1386" s="1">
        <f ca="1">IFERROR(__xludf.DUMMYFUNCTION("""COMPUTED_VALUE"""),229.46)</f>
        <v>229.46</v>
      </c>
      <c r="C1386" s="1">
        <f ca="1">IFERROR(__xludf.DUMMYFUNCTION("""COMPUTED_VALUE"""),230.81)</f>
        <v>230.81</v>
      </c>
      <c r="D1386" s="1">
        <f ca="1">IFERROR(__xludf.DUMMYFUNCTION("""COMPUTED_VALUE"""),219.81)</f>
        <v>219.81</v>
      </c>
      <c r="E1386" s="1">
        <f ca="1">IFERROR(__xludf.DUMMYFUNCTION("""COMPUTED_VALUE"""),220.58)</f>
        <v>220.58</v>
      </c>
      <c r="F1386" s="1">
        <f ca="1">IFERROR(__xludf.DUMMYFUNCTION("""COMPUTED_VALUE"""),35298378)</f>
        <v>35298378</v>
      </c>
    </row>
    <row r="1387" spans="1:6" x14ac:dyDescent="0.2">
      <c r="A1387" s="2">
        <f ca="1">IFERROR(__xludf.DUMMYFUNCTION("""COMPUTED_VALUE"""),44291.6666666666)</f>
        <v>44291.666666666599</v>
      </c>
      <c r="B1387" s="1">
        <f ca="1">IFERROR(__xludf.DUMMYFUNCTION("""COMPUTED_VALUE"""),235.9)</f>
        <v>235.9</v>
      </c>
      <c r="C1387" s="1">
        <f ca="1">IFERROR(__xludf.DUMMYFUNCTION("""COMPUTED_VALUE"""),236.05)</f>
        <v>236.05</v>
      </c>
      <c r="D1387" s="1">
        <f ca="1">IFERROR(__xludf.DUMMYFUNCTION("""COMPUTED_VALUE"""),228.23)</f>
        <v>228.23</v>
      </c>
      <c r="E1387" s="1">
        <f ca="1">IFERROR(__xludf.DUMMYFUNCTION("""COMPUTED_VALUE"""),230.35)</f>
        <v>230.35</v>
      </c>
      <c r="F1387" s="1">
        <f ca="1">IFERROR(__xludf.DUMMYFUNCTION("""COMPUTED_VALUE"""),41842767)</f>
        <v>41842767</v>
      </c>
    </row>
    <row r="1388" spans="1:6" x14ac:dyDescent="0.2">
      <c r="A1388" s="2">
        <f ca="1">IFERROR(__xludf.DUMMYFUNCTION("""COMPUTED_VALUE"""),44292.6666666666)</f>
        <v>44292.666666666599</v>
      </c>
      <c r="B1388" s="1">
        <f ca="1">IFERROR(__xludf.DUMMYFUNCTION("""COMPUTED_VALUE"""),230.1)</f>
        <v>230.1</v>
      </c>
      <c r="C1388" s="1">
        <f ca="1">IFERROR(__xludf.DUMMYFUNCTION("""COMPUTED_VALUE"""),232.18)</f>
        <v>232.18</v>
      </c>
      <c r="D1388" s="1">
        <f ca="1">IFERROR(__xludf.DUMMYFUNCTION("""COMPUTED_VALUE"""),227.12)</f>
        <v>227.12</v>
      </c>
      <c r="E1388" s="1">
        <f ca="1">IFERROR(__xludf.DUMMYFUNCTION("""COMPUTED_VALUE"""),230.54)</f>
        <v>230.54</v>
      </c>
      <c r="F1388" s="1">
        <f ca="1">IFERROR(__xludf.DUMMYFUNCTION("""COMPUTED_VALUE"""),28271839)</f>
        <v>28271839</v>
      </c>
    </row>
    <row r="1389" spans="1:6" x14ac:dyDescent="0.2">
      <c r="A1389" s="2">
        <f ca="1">IFERROR(__xludf.DUMMYFUNCTION("""COMPUTED_VALUE"""),44293.6666666666)</f>
        <v>44293.666666666599</v>
      </c>
      <c r="B1389" s="1">
        <f ca="1">IFERROR(__xludf.DUMMYFUNCTION("""COMPUTED_VALUE"""),229)</f>
        <v>229</v>
      </c>
      <c r="C1389" s="1">
        <f ca="1">IFERROR(__xludf.DUMMYFUNCTION("""COMPUTED_VALUE"""),230.46)</f>
        <v>230.46</v>
      </c>
      <c r="D1389" s="1">
        <f ca="1">IFERROR(__xludf.DUMMYFUNCTION("""COMPUTED_VALUE"""),222.61)</f>
        <v>222.61</v>
      </c>
      <c r="E1389" s="1">
        <f ca="1">IFERROR(__xludf.DUMMYFUNCTION("""COMPUTED_VALUE"""),223.66)</f>
        <v>223.66</v>
      </c>
      <c r="F1389" s="1">
        <f ca="1">IFERROR(__xludf.DUMMYFUNCTION("""COMPUTED_VALUE"""),26309433)</f>
        <v>26309433</v>
      </c>
    </row>
    <row r="1390" spans="1:6" x14ac:dyDescent="0.2">
      <c r="A1390" s="2">
        <f ca="1">IFERROR(__xludf.DUMMYFUNCTION("""COMPUTED_VALUE"""),44294.6666666666)</f>
        <v>44294.666666666599</v>
      </c>
      <c r="B1390" s="1">
        <f ca="1">IFERROR(__xludf.DUMMYFUNCTION("""COMPUTED_VALUE"""),225.79)</f>
        <v>225.79</v>
      </c>
      <c r="C1390" s="1">
        <f ca="1">IFERROR(__xludf.DUMMYFUNCTION("""COMPUTED_VALUE"""),229.85)</f>
        <v>229.85</v>
      </c>
      <c r="D1390" s="1">
        <f ca="1">IFERROR(__xludf.DUMMYFUNCTION("""COMPUTED_VALUE"""),223.88)</f>
        <v>223.88</v>
      </c>
      <c r="E1390" s="1">
        <f ca="1">IFERROR(__xludf.DUMMYFUNCTION("""COMPUTED_VALUE"""),227.93)</f>
        <v>227.93</v>
      </c>
      <c r="F1390" s="1">
        <f ca="1">IFERROR(__xludf.DUMMYFUNCTION("""COMPUTED_VALUE"""),23924329)</f>
        <v>23924329</v>
      </c>
    </row>
    <row r="1391" spans="1:6" x14ac:dyDescent="0.2">
      <c r="A1391" s="2">
        <f ca="1">IFERROR(__xludf.DUMMYFUNCTION("""COMPUTED_VALUE"""),44295.6666666666)</f>
        <v>44295.666666666599</v>
      </c>
      <c r="B1391" s="1">
        <f ca="1">IFERROR(__xludf.DUMMYFUNCTION("""COMPUTED_VALUE"""),225.92)</f>
        <v>225.92</v>
      </c>
      <c r="C1391" s="1">
        <f ca="1">IFERROR(__xludf.DUMMYFUNCTION("""COMPUTED_VALUE"""),226.99)</f>
        <v>226.99</v>
      </c>
      <c r="D1391" s="1">
        <f ca="1">IFERROR(__xludf.DUMMYFUNCTION("""COMPUTED_VALUE"""),223.14)</f>
        <v>223.14</v>
      </c>
      <c r="E1391" s="1">
        <f ca="1">IFERROR(__xludf.DUMMYFUNCTION("""COMPUTED_VALUE"""),225.67)</f>
        <v>225.67</v>
      </c>
      <c r="F1391" s="1">
        <f ca="1">IFERROR(__xludf.DUMMYFUNCTION("""COMPUTED_VALUE"""),21437087)</f>
        <v>21437087</v>
      </c>
    </row>
    <row r="1392" spans="1:6" x14ac:dyDescent="0.2">
      <c r="A1392" s="2">
        <f ca="1">IFERROR(__xludf.DUMMYFUNCTION("""COMPUTED_VALUE"""),44298.6666666666)</f>
        <v>44298.666666666599</v>
      </c>
      <c r="B1392" s="1">
        <f ca="1">IFERROR(__xludf.DUMMYFUNCTION("""COMPUTED_VALUE"""),228.57)</f>
        <v>228.57</v>
      </c>
      <c r="C1392" s="1">
        <f ca="1">IFERROR(__xludf.DUMMYFUNCTION("""COMPUTED_VALUE"""),234.93)</f>
        <v>234.93</v>
      </c>
      <c r="D1392" s="1">
        <f ca="1">IFERROR(__xludf.DUMMYFUNCTION("""COMPUTED_VALUE"""),227.36)</f>
        <v>227.36</v>
      </c>
      <c r="E1392" s="1">
        <f ca="1">IFERROR(__xludf.DUMMYFUNCTION("""COMPUTED_VALUE"""),233.99)</f>
        <v>233.99</v>
      </c>
      <c r="F1392" s="1">
        <f ca="1">IFERROR(__xludf.DUMMYFUNCTION("""COMPUTED_VALUE"""),29135670)</f>
        <v>29135670</v>
      </c>
    </row>
    <row r="1393" spans="1:6" x14ac:dyDescent="0.2">
      <c r="A1393" s="2">
        <f ca="1">IFERROR(__xludf.DUMMYFUNCTION("""COMPUTED_VALUE"""),44299.6666666666)</f>
        <v>44299.666666666599</v>
      </c>
      <c r="B1393" s="1">
        <f ca="1">IFERROR(__xludf.DUMMYFUNCTION("""COMPUTED_VALUE"""),237.57)</f>
        <v>237.57</v>
      </c>
      <c r="C1393" s="1">
        <f ca="1">IFERROR(__xludf.DUMMYFUNCTION("""COMPUTED_VALUE"""),254.33)</f>
        <v>254.33</v>
      </c>
      <c r="D1393" s="1">
        <f ca="1">IFERROR(__xludf.DUMMYFUNCTION("""COMPUTED_VALUE"""),236.89)</f>
        <v>236.89</v>
      </c>
      <c r="E1393" s="1">
        <f ca="1">IFERROR(__xludf.DUMMYFUNCTION("""COMPUTED_VALUE"""),254.11)</f>
        <v>254.11</v>
      </c>
      <c r="F1393" s="1">
        <f ca="1">IFERROR(__xludf.DUMMYFUNCTION("""COMPUTED_VALUE"""),44652808)</f>
        <v>44652808</v>
      </c>
    </row>
    <row r="1394" spans="1:6" x14ac:dyDescent="0.2">
      <c r="A1394" s="2">
        <f ca="1">IFERROR(__xludf.DUMMYFUNCTION("""COMPUTED_VALUE"""),44300.6666666666)</f>
        <v>44300.666666666599</v>
      </c>
      <c r="B1394" s="1">
        <f ca="1">IFERROR(__xludf.DUMMYFUNCTION("""COMPUTED_VALUE"""),256.9)</f>
        <v>256.89999999999998</v>
      </c>
      <c r="C1394" s="1">
        <f ca="1">IFERROR(__xludf.DUMMYFUNCTION("""COMPUTED_VALUE"""),260.26)</f>
        <v>260.26</v>
      </c>
      <c r="D1394" s="1">
        <f ca="1">IFERROR(__xludf.DUMMYFUNCTION("""COMPUTED_VALUE"""),242.68)</f>
        <v>242.68</v>
      </c>
      <c r="E1394" s="1">
        <f ca="1">IFERROR(__xludf.DUMMYFUNCTION("""COMPUTED_VALUE"""),244.08)</f>
        <v>244.08</v>
      </c>
      <c r="F1394" s="1">
        <f ca="1">IFERROR(__xludf.DUMMYFUNCTION("""COMPUTED_VALUE"""),49017434)</f>
        <v>49017434</v>
      </c>
    </row>
    <row r="1395" spans="1:6" x14ac:dyDescent="0.2">
      <c r="A1395" s="2">
        <f ca="1">IFERROR(__xludf.DUMMYFUNCTION("""COMPUTED_VALUE"""),44301.6666666666)</f>
        <v>44301.666666666599</v>
      </c>
      <c r="B1395" s="1">
        <f ca="1">IFERROR(__xludf.DUMMYFUNCTION("""COMPUTED_VALUE"""),247.7)</f>
        <v>247.7</v>
      </c>
      <c r="C1395" s="1">
        <f ca="1">IFERROR(__xludf.DUMMYFUNCTION("""COMPUTED_VALUE"""),247.9)</f>
        <v>247.9</v>
      </c>
      <c r="D1395" s="1">
        <f ca="1">IFERROR(__xludf.DUMMYFUNCTION("""COMPUTED_VALUE"""),240.44)</f>
        <v>240.44</v>
      </c>
      <c r="E1395" s="1">
        <f ca="1">IFERROR(__xludf.DUMMYFUNCTION("""COMPUTED_VALUE"""),246.28)</f>
        <v>246.28</v>
      </c>
      <c r="F1395" s="1">
        <f ca="1">IFERROR(__xludf.DUMMYFUNCTION("""COMPUTED_VALUE"""),27848900)</f>
        <v>27848900</v>
      </c>
    </row>
    <row r="1396" spans="1:6" x14ac:dyDescent="0.2">
      <c r="A1396" s="2">
        <f ca="1">IFERROR(__xludf.DUMMYFUNCTION("""COMPUTED_VALUE"""),44302.6666666666)</f>
        <v>44302.666666666599</v>
      </c>
      <c r="B1396" s="1">
        <f ca="1">IFERROR(__xludf.DUMMYFUNCTION("""COMPUTED_VALUE"""),242.88)</f>
        <v>242.88</v>
      </c>
      <c r="C1396" s="1">
        <f ca="1">IFERROR(__xludf.DUMMYFUNCTION("""COMPUTED_VALUE"""),249.8)</f>
        <v>249.8</v>
      </c>
      <c r="D1396" s="1">
        <f ca="1">IFERROR(__xludf.DUMMYFUNCTION("""COMPUTED_VALUE"""),241.53)</f>
        <v>241.53</v>
      </c>
      <c r="E1396" s="1">
        <f ca="1">IFERROR(__xludf.DUMMYFUNCTION("""COMPUTED_VALUE"""),246.59)</f>
        <v>246.59</v>
      </c>
      <c r="F1396" s="1">
        <f ca="1">IFERROR(__xludf.DUMMYFUNCTION("""COMPUTED_VALUE"""),27979526)</f>
        <v>27979526</v>
      </c>
    </row>
    <row r="1397" spans="1:6" x14ac:dyDescent="0.2">
      <c r="A1397" s="2">
        <f ca="1">IFERROR(__xludf.DUMMYFUNCTION("""COMPUTED_VALUE"""),44305.6666666666)</f>
        <v>44305.666666666599</v>
      </c>
      <c r="B1397" s="1">
        <f ca="1">IFERROR(__xludf.DUMMYFUNCTION("""COMPUTED_VALUE"""),239.87)</f>
        <v>239.87</v>
      </c>
      <c r="C1397" s="1">
        <f ca="1">IFERROR(__xludf.DUMMYFUNCTION("""COMPUTED_VALUE"""),241.8)</f>
        <v>241.8</v>
      </c>
      <c r="D1397" s="1">
        <f ca="1">IFERROR(__xludf.DUMMYFUNCTION("""COMPUTED_VALUE"""),230.6)</f>
        <v>230.6</v>
      </c>
      <c r="E1397" s="1">
        <f ca="1">IFERROR(__xludf.DUMMYFUNCTION("""COMPUTED_VALUE"""),238.21)</f>
        <v>238.21</v>
      </c>
      <c r="F1397" s="1">
        <f ca="1">IFERROR(__xludf.DUMMYFUNCTION("""COMPUTED_VALUE"""),39686226)</f>
        <v>39686226</v>
      </c>
    </row>
    <row r="1398" spans="1:6" x14ac:dyDescent="0.2">
      <c r="A1398" s="2">
        <f ca="1">IFERROR(__xludf.DUMMYFUNCTION("""COMPUTED_VALUE"""),44306.6666666666)</f>
        <v>44306.666666666599</v>
      </c>
      <c r="B1398" s="1">
        <f ca="1">IFERROR(__xludf.DUMMYFUNCTION("""COMPUTED_VALUE"""),239.14)</f>
        <v>239.14</v>
      </c>
      <c r="C1398" s="1">
        <f ca="1">IFERROR(__xludf.DUMMYFUNCTION("""COMPUTED_VALUE"""),245.75)</f>
        <v>245.75</v>
      </c>
      <c r="D1398" s="1">
        <f ca="1">IFERROR(__xludf.DUMMYFUNCTION("""COMPUTED_VALUE"""),236.9)</f>
        <v>236.9</v>
      </c>
      <c r="E1398" s="1">
        <f ca="1">IFERROR(__xludf.DUMMYFUNCTION("""COMPUTED_VALUE"""),239.66)</f>
        <v>239.66</v>
      </c>
      <c r="F1398" s="1">
        <f ca="1">IFERROR(__xludf.DUMMYFUNCTION("""COMPUTED_VALUE"""),35609038)</f>
        <v>35609038</v>
      </c>
    </row>
    <row r="1399" spans="1:6" x14ac:dyDescent="0.2">
      <c r="A1399" s="2">
        <f ca="1">IFERROR(__xludf.DUMMYFUNCTION("""COMPUTED_VALUE"""),44307.6666666666)</f>
        <v>44307.666666666599</v>
      </c>
      <c r="B1399" s="1">
        <f ca="1">IFERROR(__xludf.DUMMYFUNCTION("""COMPUTED_VALUE"""),234.92)</f>
        <v>234.92</v>
      </c>
      <c r="C1399" s="1">
        <f ca="1">IFERROR(__xludf.DUMMYFUNCTION("""COMPUTED_VALUE"""),248.28)</f>
        <v>248.28</v>
      </c>
      <c r="D1399" s="1">
        <f ca="1">IFERROR(__xludf.DUMMYFUNCTION("""COMPUTED_VALUE"""),232.67)</f>
        <v>232.67</v>
      </c>
      <c r="E1399" s="1">
        <f ca="1">IFERROR(__xludf.DUMMYFUNCTION("""COMPUTED_VALUE"""),248.04)</f>
        <v>248.04</v>
      </c>
      <c r="F1399" s="1">
        <f ca="1">IFERROR(__xludf.DUMMYFUNCTION("""COMPUTED_VALUE"""),31215514)</f>
        <v>31215514</v>
      </c>
    </row>
    <row r="1400" spans="1:6" x14ac:dyDescent="0.2">
      <c r="A1400" s="2">
        <f ca="1">IFERROR(__xludf.DUMMYFUNCTION("""COMPUTED_VALUE"""),44308.6666666666)</f>
        <v>44308.666666666599</v>
      </c>
      <c r="B1400" s="1">
        <f ca="1">IFERROR(__xludf.DUMMYFUNCTION("""COMPUTED_VALUE"""),247.17)</f>
        <v>247.17</v>
      </c>
      <c r="C1400" s="1">
        <f ca="1">IFERROR(__xludf.DUMMYFUNCTION("""COMPUTED_VALUE"""),251.26)</f>
        <v>251.26</v>
      </c>
      <c r="D1400" s="1">
        <f ca="1">IFERROR(__xludf.DUMMYFUNCTION("""COMPUTED_VALUE"""),239.35)</f>
        <v>239.35</v>
      </c>
      <c r="E1400" s="1">
        <f ca="1">IFERROR(__xludf.DUMMYFUNCTION("""COMPUTED_VALUE"""),239.9)</f>
        <v>239.9</v>
      </c>
      <c r="F1400" s="1">
        <f ca="1">IFERROR(__xludf.DUMMYFUNCTION("""COMPUTED_VALUE"""),35590255)</f>
        <v>35590255</v>
      </c>
    </row>
    <row r="1401" spans="1:6" x14ac:dyDescent="0.2">
      <c r="A1401" s="2">
        <f ca="1">IFERROR(__xludf.DUMMYFUNCTION("""COMPUTED_VALUE"""),44309.6666666666)</f>
        <v>44309.666666666599</v>
      </c>
      <c r="B1401" s="1">
        <f ca="1">IFERROR(__xludf.DUMMYFUNCTION("""COMPUTED_VALUE"""),239.93)</f>
        <v>239.93</v>
      </c>
      <c r="C1401" s="1">
        <f ca="1">IFERROR(__xludf.DUMMYFUNCTION("""COMPUTED_VALUE"""),245.79)</f>
        <v>245.79</v>
      </c>
      <c r="D1401" s="1">
        <f ca="1">IFERROR(__xludf.DUMMYFUNCTION("""COMPUTED_VALUE"""),238.49)</f>
        <v>238.49</v>
      </c>
      <c r="E1401" s="1">
        <f ca="1">IFERROR(__xludf.DUMMYFUNCTION("""COMPUTED_VALUE"""),243.13)</f>
        <v>243.13</v>
      </c>
      <c r="F1401" s="1">
        <f ca="1">IFERROR(__xludf.DUMMYFUNCTION("""COMPUTED_VALUE"""),28413889)</f>
        <v>28413889</v>
      </c>
    </row>
    <row r="1402" spans="1:6" x14ac:dyDescent="0.2">
      <c r="A1402" s="2">
        <f ca="1">IFERROR(__xludf.DUMMYFUNCTION("""COMPUTED_VALUE"""),44312.6666666666)</f>
        <v>44312.666666666599</v>
      </c>
      <c r="B1402" s="1">
        <f ca="1">IFERROR(__xludf.DUMMYFUNCTION("""COMPUTED_VALUE"""),247)</f>
        <v>247</v>
      </c>
      <c r="C1402" s="1">
        <f ca="1">IFERROR(__xludf.DUMMYFUNCTION("""COMPUTED_VALUE"""),249.77)</f>
        <v>249.77</v>
      </c>
      <c r="D1402" s="1">
        <f ca="1">IFERROR(__xludf.DUMMYFUNCTION("""COMPUTED_VALUE"""),244.2)</f>
        <v>244.2</v>
      </c>
      <c r="E1402" s="1">
        <f ca="1">IFERROR(__xludf.DUMMYFUNCTION("""COMPUTED_VALUE"""),246.07)</f>
        <v>246.07</v>
      </c>
      <c r="F1402" s="1">
        <f ca="1">IFERROR(__xludf.DUMMYFUNCTION("""COMPUTED_VALUE"""),31038502)</f>
        <v>31038502</v>
      </c>
    </row>
    <row r="1403" spans="1:6" x14ac:dyDescent="0.2">
      <c r="A1403" s="2">
        <f ca="1">IFERROR(__xludf.DUMMYFUNCTION("""COMPUTED_VALUE"""),44313.6666666666)</f>
        <v>44313.666666666599</v>
      </c>
      <c r="B1403" s="1">
        <f ca="1">IFERROR(__xludf.DUMMYFUNCTION("""COMPUTED_VALUE"""),239.32)</f>
        <v>239.32</v>
      </c>
      <c r="C1403" s="1">
        <f ca="1">IFERROR(__xludf.DUMMYFUNCTION("""COMPUTED_VALUE"""),241.33)</f>
        <v>241.33</v>
      </c>
      <c r="D1403" s="1">
        <f ca="1">IFERROR(__xludf.DUMMYFUNCTION("""COMPUTED_VALUE"""),234.45)</f>
        <v>234.45</v>
      </c>
      <c r="E1403" s="1">
        <f ca="1">IFERROR(__xludf.DUMMYFUNCTION("""COMPUTED_VALUE"""),234.91)</f>
        <v>234.91</v>
      </c>
      <c r="F1403" s="1">
        <f ca="1">IFERROR(__xludf.DUMMYFUNCTION("""COMPUTED_VALUE"""),29436995)</f>
        <v>29436995</v>
      </c>
    </row>
    <row r="1404" spans="1:6" x14ac:dyDescent="0.2">
      <c r="A1404" s="2">
        <f ca="1">IFERROR(__xludf.DUMMYFUNCTION("""COMPUTED_VALUE"""),44314.6666666666)</f>
        <v>44314.666666666599</v>
      </c>
      <c r="B1404" s="1">
        <f ca="1">IFERROR(__xludf.DUMMYFUNCTION("""COMPUTED_VALUE"""),232.14)</f>
        <v>232.14</v>
      </c>
      <c r="C1404" s="1">
        <f ca="1">IFERROR(__xludf.DUMMYFUNCTION("""COMPUTED_VALUE"""),236.17)</f>
        <v>236.17</v>
      </c>
      <c r="D1404" s="1">
        <f ca="1">IFERROR(__xludf.DUMMYFUNCTION("""COMPUTED_VALUE"""),231.2)</f>
        <v>231.2</v>
      </c>
      <c r="E1404" s="1">
        <f ca="1">IFERROR(__xludf.DUMMYFUNCTION("""COMPUTED_VALUE"""),231.47)</f>
        <v>231.47</v>
      </c>
      <c r="F1404" s="1">
        <f ca="1">IFERROR(__xludf.DUMMYFUNCTION("""COMPUTED_VALUE"""),22271047)</f>
        <v>22271047</v>
      </c>
    </row>
    <row r="1405" spans="1:6" x14ac:dyDescent="0.2">
      <c r="A1405" s="2">
        <f ca="1">IFERROR(__xludf.DUMMYFUNCTION("""COMPUTED_VALUE"""),44315.6666666666)</f>
        <v>44315.666666666599</v>
      </c>
      <c r="B1405" s="1">
        <f ca="1">IFERROR(__xludf.DUMMYFUNCTION("""COMPUTED_VALUE"""),233.17)</f>
        <v>233.17</v>
      </c>
      <c r="C1405" s="1">
        <f ca="1">IFERROR(__xludf.DUMMYFUNCTION("""COMPUTED_VALUE"""),234.08)</f>
        <v>234.08</v>
      </c>
      <c r="D1405" s="1">
        <f ca="1">IFERROR(__xludf.DUMMYFUNCTION("""COMPUTED_VALUE"""),222.83)</f>
        <v>222.83</v>
      </c>
      <c r="E1405" s="1">
        <f ca="1">IFERROR(__xludf.DUMMYFUNCTION("""COMPUTED_VALUE"""),225.67)</f>
        <v>225.67</v>
      </c>
      <c r="F1405" s="1">
        <f ca="1">IFERROR(__xludf.DUMMYFUNCTION("""COMPUTED_VALUE"""),28845449)</f>
        <v>28845449</v>
      </c>
    </row>
    <row r="1406" spans="1:6" x14ac:dyDescent="0.2">
      <c r="A1406" s="2">
        <f ca="1">IFERROR(__xludf.DUMMYFUNCTION("""COMPUTED_VALUE"""),44316.6666666666)</f>
        <v>44316.666666666599</v>
      </c>
      <c r="B1406" s="1">
        <f ca="1">IFERROR(__xludf.DUMMYFUNCTION("""COMPUTED_VALUE"""),222.53)</f>
        <v>222.53</v>
      </c>
      <c r="C1406" s="1">
        <f ca="1">IFERROR(__xludf.DUMMYFUNCTION("""COMPUTED_VALUE"""),238.49)</f>
        <v>238.49</v>
      </c>
      <c r="D1406" s="1">
        <f ca="1">IFERROR(__xludf.DUMMYFUNCTION("""COMPUTED_VALUE"""),222.05)</f>
        <v>222.05</v>
      </c>
      <c r="E1406" s="1">
        <f ca="1">IFERROR(__xludf.DUMMYFUNCTION("""COMPUTED_VALUE"""),236.48)</f>
        <v>236.48</v>
      </c>
      <c r="F1406" s="1">
        <f ca="1">IFERROR(__xludf.DUMMYFUNCTION("""COMPUTED_VALUE"""),40758722)</f>
        <v>40758722</v>
      </c>
    </row>
    <row r="1407" spans="1:6" x14ac:dyDescent="0.2">
      <c r="A1407" s="2">
        <f ca="1">IFERROR(__xludf.DUMMYFUNCTION("""COMPUTED_VALUE"""),44319.6666666666)</f>
        <v>44319.666666666599</v>
      </c>
      <c r="B1407" s="1">
        <f ca="1">IFERROR(__xludf.DUMMYFUNCTION("""COMPUTED_VALUE"""),234.6)</f>
        <v>234.6</v>
      </c>
      <c r="C1407" s="1">
        <f ca="1">IFERROR(__xludf.DUMMYFUNCTION("""COMPUTED_VALUE"""),235.33)</f>
        <v>235.33</v>
      </c>
      <c r="D1407" s="1">
        <f ca="1">IFERROR(__xludf.DUMMYFUNCTION("""COMPUTED_VALUE"""),226.83)</f>
        <v>226.83</v>
      </c>
      <c r="E1407" s="1">
        <f ca="1">IFERROR(__xludf.DUMMYFUNCTION("""COMPUTED_VALUE"""),228.3)</f>
        <v>228.3</v>
      </c>
      <c r="F1407" s="1">
        <f ca="1">IFERROR(__xludf.DUMMYFUNCTION("""COMPUTED_VALUE"""),27043143)</f>
        <v>27043143</v>
      </c>
    </row>
    <row r="1408" spans="1:6" x14ac:dyDescent="0.2">
      <c r="A1408" s="2">
        <f ca="1">IFERROR(__xludf.DUMMYFUNCTION("""COMPUTED_VALUE"""),44320.6666666666)</f>
        <v>44320.666666666599</v>
      </c>
      <c r="B1408" s="1">
        <f ca="1">IFERROR(__xludf.DUMMYFUNCTION("""COMPUTED_VALUE"""),226.31)</f>
        <v>226.31</v>
      </c>
      <c r="C1408" s="1">
        <f ca="1">IFERROR(__xludf.DUMMYFUNCTION("""COMPUTED_VALUE"""),227.82)</f>
        <v>227.82</v>
      </c>
      <c r="D1408" s="1">
        <f ca="1">IFERROR(__xludf.DUMMYFUNCTION("""COMPUTED_VALUE"""),219.23)</f>
        <v>219.23</v>
      </c>
      <c r="E1408" s="1">
        <f ca="1">IFERROR(__xludf.DUMMYFUNCTION("""COMPUTED_VALUE"""),224.53)</f>
        <v>224.53</v>
      </c>
      <c r="F1408" s="1">
        <f ca="1">IFERROR(__xludf.DUMMYFUNCTION("""COMPUTED_VALUE"""),29739319)</f>
        <v>29739319</v>
      </c>
    </row>
    <row r="1409" spans="1:6" x14ac:dyDescent="0.2">
      <c r="A1409" s="2">
        <f ca="1">IFERROR(__xludf.DUMMYFUNCTION("""COMPUTED_VALUE"""),44321.6666666666)</f>
        <v>44321.666666666599</v>
      </c>
      <c r="B1409" s="1">
        <f ca="1">IFERROR(__xludf.DUMMYFUNCTION("""COMPUTED_VALUE"""),227.02)</f>
        <v>227.02</v>
      </c>
      <c r="C1409" s="1">
        <f ca="1">IFERROR(__xludf.DUMMYFUNCTION("""COMPUTED_VALUE"""),228.43)</f>
        <v>228.43</v>
      </c>
      <c r="D1409" s="1">
        <f ca="1">IFERROR(__xludf.DUMMYFUNCTION("""COMPUTED_VALUE"""),222.45)</f>
        <v>222.45</v>
      </c>
      <c r="E1409" s="1">
        <f ca="1">IFERROR(__xludf.DUMMYFUNCTION("""COMPUTED_VALUE"""),223.65)</f>
        <v>223.65</v>
      </c>
      <c r="F1409" s="1">
        <f ca="1">IFERROR(__xludf.DUMMYFUNCTION("""COMPUTED_VALUE"""),21901894)</f>
        <v>21901894</v>
      </c>
    </row>
    <row r="1410" spans="1:6" x14ac:dyDescent="0.2">
      <c r="A1410" s="2">
        <f ca="1">IFERROR(__xludf.DUMMYFUNCTION("""COMPUTED_VALUE"""),44322.6666666666)</f>
        <v>44322.666666666599</v>
      </c>
      <c r="B1410" s="1">
        <f ca="1">IFERROR(__xludf.DUMMYFUNCTION("""COMPUTED_VALUE"""),226.92)</f>
        <v>226.92</v>
      </c>
      <c r="C1410" s="1">
        <f ca="1">IFERROR(__xludf.DUMMYFUNCTION("""COMPUTED_VALUE"""),227.01)</f>
        <v>227.01</v>
      </c>
      <c r="D1410" s="1">
        <f ca="1">IFERROR(__xludf.DUMMYFUNCTION("""COMPUTED_VALUE"""),216.67)</f>
        <v>216.67</v>
      </c>
      <c r="E1410" s="1">
        <f ca="1">IFERROR(__xludf.DUMMYFUNCTION("""COMPUTED_VALUE"""),221.18)</f>
        <v>221.18</v>
      </c>
      <c r="F1410" s="1">
        <f ca="1">IFERROR(__xludf.DUMMYFUNCTION("""COMPUTED_VALUE"""),27784619)</f>
        <v>27784619</v>
      </c>
    </row>
    <row r="1411" spans="1:6" x14ac:dyDescent="0.2">
      <c r="A1411" s="2">
        <f ca="1">IFERROR(__xludf.DUMMYFUNCTION("""COMPUTED_VALUE"""),44323.6666666666)</f>
        <v>44323.666666666599</v>
      </c>
      <c r="B1411" s="1">
        <f ca="1">IFERROR(__xludf.DUMMYFUNCTION("""COMPUTED_VALUE"""),221.93)</f>
        <v>221.93</v>
      </c>
      <c r="C1411" s="1">
        <f ca="1">IFERROR(__xludf.DUMMYFUNCTION("""COMPUTED_VALUE"""),230)</f>
        <v>230</v>
      </c>
      <c r="D1411" s="1">
        <f ca="1">IFERROR(__xludf.DUMMYFUNCTION("""COMPUTED_VALUE"""),220.07)</f>
        <v>220.07</v>
      </c>
      <c r="E1411" s="1">
        <f ca="1">IFERROR(__xludf.DUMMYFUNCTION("""COMPUTED_VALUE"""),224.12)</f>
        <v>224.12</v>
      </c>
      <c r="F1411" s="1">
        <f ca="1">IFERROR(__xludf.DUMMYFUNCTION("""COMPUTED_VALUE"""),23469172)</f>
        <v>23469172</v>
      </c>
    </row>
    <row r="1412" spans="1:6" x14ac:dyDescent="0.2">
      <c r="A1412" s="2">
        <f ca="1">IFERROR(__xludf.DUMMYFUNCTION("""COMPUTED_VALUE"""),44326.6666666666)</f>
        <v>44326.666666666599</v>
      </c>
      <c r="B1412" s="1">
        <f ca="1">IFERROR(__xludf.DUMMYFUNCTION("""COMPUTED_VALUE"""),221.63)</f>
        <v>221.63</v>
      </c>
      <c r="C1412" s="1">
        <f ca="1">IFERROR(__xludf.DUMMYFUNCTION("""COMPUTED_VALUE"""),221.68)</f>
        <v>221.68</v>
      </c>
      <c r="D1412" s="1">
        <f ca="1">IFERROR(__xludf.DUMMYFUNCTION("""COMPUTED_VALUE"""),209.2)</f>
        <v>209.2</v>
      </c>
      <c r="E1412" s="1">
        <f ca="1">IFERROR(__xludf.DUMMYFUNCTION("""COMPUTED_VALUE"""),209.68)</f>
        <v>209.68</v>
      </c>
      <c r="F1412" s="1">
        <f ca="1">IFERROR(__xludf.DUMMYFUNCTION("""COMPUTED_VALUE"""),31392417)</f>
        <v>31392417</v>
      </c>
    </row>
    <row r="1413" spans="1:6" x14ac:dyDescent="0.2">
      <c r="A1413" s="2">
        <f ca="1">IFERROR(__xludf.DUMMYFUNCTION("""COMPUTED_VALUE"""),44327.6666666666)</f>
        <v>44327.666666666599</v>
      </c>
      <c r="B1413" s="1">
        <f ca="1">IFERROR(__xludf.DUMMYFUNCTION("""COMPUTED_VALUE"""),199.75)</f>
        <v>199.75</v>
      </c>
      <c r="C1413" s="1">
        <f ca="1">IFERROR(__xludf.DUMMYFUNCTION("""COMPUTED_VALUE"""),209.03)</f>
        <v>209.03</v>
      </c>
      <c r="D1413" s="1">
        <f ca="1">IFERROR(__xludf.DUMMYFUNCTION("""COMPUTED_VALUE"""),198.53)</f>
        <v>198.53</v>
      </c>
      <c r="E1413" s="1">
        <f ca="1">IFERROR(__xludf.DUMMYFUNCTION("""COMPUTED_VALUE"""),205.73)</f>
        <v>205.73</v>
      </c>
      <c r="F1413" s="1">
        <f ca="1">IFERROR(__xludf.DUMMYFUNCTION("""COMPUTED_VALUE"""),46503896)</f>
        <v>46503896</v>
      </c>
    </row>
    <row r="1414" spans="1:6" x14ac:dyDescent="0.2">
      <c r="A1414" s="2">
        <f ca="1">IFERROR(__xludf.DUMMYFUNCTION("""COMPUTED_VALUE"""),44328.6666666666)</f>
        <v>44328.666666666599</v>
      </c>
      <c r="B1414" s="1">
        <f ca="1">IFERROR(__xludf.DUMMYFUNCTION("""COMPUTED_VALUE"""),200.83)</f>
        <v>200.83</v>
      </c>
      <c r="C1414" s="1">
        <f ca="1">IFERROR(__xludf.DUMMYFUNCTION("""COMPUTED_VALUE"""),206.8)</f>
        <v>206.8</v>
      </c>
      <c r="D1414" s="1">
        <f ca="1">IFERROR(__xludf.DUMMYFUNCTION("""COMPUTED_VALUE"""),195.59)</f>
        <v>195.59</v>
      </c>
      <c r="E1414" s="1">
        <f ca="1">IFERROR(__xludf.DUMMYFUNCTION("""COMPUTED_VALUE"""),196.63)</f>
        <v>196.63</v>
      </c>
      <c r="F1414" s="1">
        <f ca="1">IFERROR(__xludf.DUMMYFUNCTION("""COMPUTED_VALUE"""),33823646)</f>
        <v>33823646</v>
      </c>
    </row>
    <row r="1415" spans="1:6" x14ac:dyDescent="0.2">
      <c r="A1415" s="2">
        <f ca="1">IFERROR(__xludf.DUMMYFUNCTION("""COMPUTED_VALUE"""),44329.6666666666)</f>
        <v>44329.666666666599</v>
      </c>
      <c r="B1415" s="1">
        <f ca="1">IFERROR(__xludf.DUMMYFUNCTION("""COMPUTED_VALUE"""),200.52)</f>
        <v>200.52</v>
      </c>
      <c r="C1415" s="1">
        <f ca="1">IFERROR(__xludf.DUMMYFUNCTION("""COMPUTED_VALUE"""),202.15)</f>
        <v>202.15</v>
      </c>
      <c r="D1415" s="1">
        <f ca="1">IFERROR(__xludf.DUMMYFUNCTION("""COMPUTED_VALUE"""),186.55)</f>
        <v>186.55</v>
      </c>
      <c r="E1415" s="1">
        <f ca="1">IFERROR(__xludf.DUMMYFUNCTION("""COMPUTED_VALUE"""),190.56)</f>
        <v>190.56</v>
      </c>
      <c r="F1415" s="1">
        <f ca="1">IFERROR(__xludf.DUMMYFUNCTION("""COMPUTED_VALUE"""),44184916)</f>
        <v>44184916</v>
      </c>
    </row>
    <row r="1416" spans="1:6" x14ac:dyDescent="0.2">
      <c r="A1416" s="2">
        <f ca="1">IFERROR(__xludf.DUMMYFUNCTION("""COMPUTED_VALUE"""),44330.6666666666)</f>
        <v>44330.666666666599</v>
      </c>
      <c r="B1416" s="1">
        <f ca="1">IFERROR(__xludf.DUMMYFUNCTION("""COMPUTED_VALUE"""),194.47)</f>
        <v>194.47</v>
      </c>
      <c r="C1416" s="1">
        <f ca="1">IFERROR(__xludf.DUMMYFUNCTION("""COMPUTED_VALUE"""),197.62)</f>
        <v>197.62</v>
      </c>
      <c r="D1416" s="1">
        <f ca="1">IFERROR(__xludf.DUMMYFUNCTION("""COMPUTED_VALUE"""),190.15)</f>
        <v>190.15</v>
      </c>
      <c r="E1416" s="1">
        <f ca="1">IFERROR(__xludf.DUMMYFUNCTION("""COMPUTED_VALUE"""),196.58)</f>
        <v>196.58</v>
      </c>
      <c r="F1416" s="1">
        <f ca="1">IFERROR(__xludf.DUMMYFUNCTION("""COMPUTED_VALUE"""),33370856)</f>
        <v>33370856</v>
      </c>
    </row>
    <row r="1417" spans="1:6" x14ac:dyDescent="0.2">
      <c r="A1417" s="2">
        <f ca="1">IFERROR(__xludf.DUMMYFUNCTION("""COMPUTED_VALUE"""),44333.6666666666)</f>
        <v>44333.666666666599</v>
      </c>
      <c r="B1417" s="1">
        <f ca="1">IFERROR(__xludf.DUMMYFUNCTION("""COMPUTED_VALUE"""),191.85)</f>
        <v>191.85</v>
      </c>
      <c r="C1417" s="1">
        <f ca="1">IFERROR(__xludf.DUMMYFUNCTION("""COMPUTED_VALUE"""),196.58)</f>
        <v>196.58</v>
      </c>
      <c r="D1417" s="1">
        <f ca="1">IFERROR(__xludf.DUMMYFUNCTION("""COMPUTED_VALUE"""),187.07)</f>
        <v>187.07</v>
      </c>
      <c r="E1417" s="1">
        <f ca="1">IFERROR(__xludf.DUMMYFUNCTION("""COMPUTED_VALUE"""),192.28)</f>
        <v>192.28</v>
      </c>
      <c r="F1417" s="1">
        <f ca="1">IFERROR(__xludf.DUMMYFUNCTION("""COMPUTED_VALUE"""),32390360)</f>
        <v>32390360</v>
      </c>
    </row>
    <row r="1418" spans="1:6" x14ac:dyDescent="0.2">
      <c r="A1418" s="2">
        <f ca="1">IFERROR(__xludf.DUMMYFUNCTION("""COMPUTED_VALUE"""),44334.6666666666)</f>
        <v>44334.666666666599</v>
      </c>
      <c r="B1418" s="1">
        <f ca="1">IFERROR(__xludf.DUMMYFUNCTION("""COMPUTED_VALUE"""),189.33)</f>
        <v>189.33</v>
      </c>
      <c r="C1418" s="1">
        <f ca="1">IFERROR(__xludf.DUMMYFUNCTION("""COMPUTED_VALUE"""),198.75)</f>
        <v>198.75</v>
      </c>
      <c r="D1418" s="1">
        <f ca="1">IFERROR(__xludf.DUMMYFUNCTION("""COMPUTED_VALUE"""),187.79)</f>
        <v>187.79</v>
      </c>
      <c r="E1418" s="1">
        <f ca="1">IFERROR(__xludf.DUMMYFUNCTION("""COMPUTED_VALUE"""),192.62)</f>
        <v>192.62</v>
      </c>
      <c r="F1418" s="1">
        <f ca="1">IFERROR(__xludf.DUMMYFUNCTION("""COMPUTED_VALUE"""),36830567)</f>
        <v>36830567</v>
      </c>
    </row>
    <row r="1419" spans="1:6" x14ac:dyDescent="0.2">
      <c r="A1419" s="2">
        <f ca="1">IFERROR(__xludf.DUMMYFUNCTION("""COMPUTED_VALUE"""),44335.6666666666)</f>
        <v>44335.666666666599</v>
      </c>
      <c r="B1419" s="1">
        <f ca="1">IFERROR(__xludf.DUMMYFUNCTION("""COMPUTED_VALUE"""),184.18)</f>
        <v>184.18</v>
      </c>
      <c r="C1419" s="1">
        <f ca="1">IFERROR(__xludf.DUMMYFUNCTION("""COMPUTED_VALUE"""),188.74)</f>
        <v>188.74</v>
      </c>
      <c r="D1419" s="1">
        <f ca="1">IFERROR(__xludf.DUMMYFUNCTION("""COMPUTED_VALUE"""),182.33)</f>
        <v>182.33</v>
      </c>
      <c r="E1419" s="1">
        <f ca="1">IFERROR(__xludf.DUMMYFUNCTION("""COMPUTED_VALUE"""),187.82)</f>
        <v>187.82</v>
      </c>
      <c r="F1419" s="1">
        <f ca="1">IFERROR(__xludf.DUMMYFUNCTION("""COMPUTED_VALUE"""),39578395)</f>
        <v>39578395</v>
      </c>
    </row>
    <row r="1420" spans="1:6" x14ac:dyDescent="0.2">
      <c r="A1420" s="2">
        <f ca="1">IFERROR(__xludf.DUMMYFUNCTION("""COMPUTED_VALUE"""),44336.6666666666)</f>
        <v>44336.666666666599</v>
      </c>
      <c r="B1420" s="1">
        <f ca="1">IFERROR(__xludf.DUMMYFUNCTION("""COMPUTED_VALUE"""),191.67)</f>
        <v>191.67</v>
      </c>
      <c r="C1420" s="1">
        <f ca="1">IFERROR(__xludf.DUMMYFUNCTION("""COMPUTED_VALUE"""),196.28)</f>
        <v>196.28</v>
      </c>
      <c r="D1420" s="1">
        <f ca="1">IFERROR(__xludf.DUMMYFUNCTION("""COMPUTED_VALUE"""),190.36)</f>
        <v>190.36</v>
      </c>
      <c r="E1420" s="1">
        <f ca="1">IFERROR(__xludf.DUMMYFUNCTION("""COMPUTED_VALUE"""),195.59)</f>
        <v>195.59</v>
      </c>
      <c r="F1420" s="1">
        <f ca="1">IFERROR(__xludf.DUMMYFUNCTION("""COMPUTED_VALUE"""),30821119)</f>
        <v>30821119</v>
      </c>
    </row>
    <row r="1421" spans="1:6" x14ac:dyDescent="0.2">
      <c r="A1421" s="2">
        <f ca="1">IFERROR(__xludf.DUMMYFUNCTION("""COMPUTED_VALUE"""),44337.6666666666)</f>
        <v>44337.666666666599</v>
      </c>
      <c r="B1421" s="1">
        <f ca="1">IFERROR(__xludf.DUMMYFUNCTION("""COMPUTED_VALUE"""),198.7)</f>
        <v>198.7</v>
      </c>
      <c r="C1421" s="1">
        <f ca="1">IFERROR(__xludf.DUMMYFUNCTION("""COMPUTED_VALUE"""),198.89)</f>
        <v>198.89</v>
      </c>
      <c r="D1421" s="1">
        <f ca="1">IFERROR(__xludf.DUMMYFUNCTION("""COMPUTED_VALUE"""),193.33)</f>
        <v>193.33</v>
      </c>
      <c r="E1421" s="1">
        <f ca="1">IFERROR(__xludf.DUMMYFUNCTION("""COMPUTED_VALUE"""),193.63)</f>
        <v>193.63</v>
      </c>
      <c r="F1421" s="1">
        <f ca="1">IFERROR(__xludf.DUMMYFUNCTION("""COMPUTED_VALUE"""),26030595)</f>
        <v>26030595</v>
      </c>
    </row>
    <row r="1422" spans="1:6" x14ac:dyDescent="0.2">
      <c r="A1422" s="2">
        <f ca="1">IFERROR(__xludf.DUMMYFUNCTION("""COMPUTED_VALUE"""),44340.6666666666)</f>
        <v>44340.666666666599</v>
      </c>
      <c r="B1422" s="1">
        <f ca="1">IFERROR(__xludf.DUMMYFUNCTION("""COMPUTED_VALUE"""),193.87)</f>
        <v>193.87</v>
      </c>
      <c r="C1422" s="1">
        <f ca="1">IFERROR(__xludf.DUMMYFUNCTION("""COMPUTED_VALUE"""),204.83)</f>
        <v>204.83</v>
      </c>
      <c r="D1422" s="1">
        <f ca="1">IFERROR(__xludf.DUMMYFUNCTION("""COMPUTED_VALUE"""),191.22)</f>
        <v>191.22</v>
      </c>
      <c r="E1422" s="1">
        <f ca="1">IFERROR(__xludf.DUMMYFUNCTION("""COMPUTED_VALUE"""),202.15)</f>
        <v>202.15</v>
      </c>
      <c r="F1422" s="1">
        <f ca="1">IFERROR(__xludf.DUMMYFUNCTION("""COMPUTED_VALUE"""),34558089)</f>
        <v>34558089</v>
      </c>
    </row>
    <row r="1423" spans="1:6" x14ac:dyDescent="0.2">
      <c r="A1423" s="2">
        <f ca="1">IFERROR(__xludf.DUMMYFUNCTION("""COMPUTED_VALUE"""),44341.6666666666)</f>
        <v>44341.666666666599</v>
      </c>
      <c r="B1423" s="1">
        <f ca="1">IFERROR(__xludf.DUMMYFUNCTION("""COMPUTED_VALUE"""),202.44)</f>
        <v>202.44</v>
      </c>
      <c r="C1423" s="1">
        <f ca="1">IFERROR(__xludf.DUMMYFUNCTION("""COMPUTED_VALUE"""),204.66)</f>
        <v>204.66</v>
      </c>
      <c r="D1423" s="1">
        <f ca="1">IFERROR(__xludf.DUMMYFUNCTION("""COMPUTED_VALUE"""),198.57)</f>
        <v>198.57</v>
      </c>
      <c r="E1423" s="1">
        <f ca="1">IFERROR(__xludf.DUMMYFUNCTION("""COMPUTED_VALUE"""),201.56)</f>
        <v>201.56</v>
      </c>
      <c r="F1423" s="1">
        <f ca="1">IFERROR(__xludf.DUMMYFUNCTION("""COMPUTED_VALUE"""),28005933)</f>
        <v>28005933</v>
      </c>
    </row>
    <row r="1424" spans="1:6" x14ac:dyDescent="0.2">
      <c r="A1424" s="2">
        <f ca="1">IFERROR(__xludf.DUMMYFUNCTION("""COMPUTED_VALUE"""),44342.6666666666)</f>
        <v>44342.666666666599</v>
      </c>
      <c r="B1424" s="1">
        <f ca="1">IFERROR(__xludf.DUMMYFUNCTION("""COMPUTED_VALUE"""),202.52)</f>
        <v>202.52</v>
      </c>
      <c r="C1424" s="1">
        <f ca="1">IFERROR(__xludf.DUMMYFUNCTION("""COMPUTED_VALUE"""),208.72)</f>
        <v>208.72</v>
      </c>
      <c r="D1424" s="1">
        <f ca="1">IFERROR(__xludf.DUMMYFUNCTION("""COMPUTED_VALUE"""),200.5)</f>
        <v>200.5</v>
      </c>
      <c r="E1424" s="1">
        <f ca="1">IFERROR(__xludf.DUMMYFUNCTION("""COMPUTED_VALUE"""),206.38)</f>
        <v>206.38</v>
      </c>
      <c r="F1424" s="1">
        <f ca="1">IFERROR(__xludf.DUMMYFUNCTION("""COMPUTED_VALUE"""),28639305)</f>
        <v>28639305</v>
      </c>
    </row>
    <row r="1425" spans="1:6" x14ac:dyDescent="0.2">
      <c r="A1425" s="2">
        <f ca="1">IFERROR(__xludf.DUMMYFUNCTION("""COMPUTED_VALUE"""),44343.6666666666)</f>
        <v>44343.666666666599</v>
      </c>
      <c r="B1425" s="1">
        <f ca="1">IFERROR(__xludf.DUMMYFUNCTION("""COMPUTED_VALUE"""),206.75)</f>
        <v>206.75</v>
      </c>
      <c r="C1425" s="1">
        <f ca="1">IFERROR(__xludf.DUMMYFUNCTION("""COMPUTED_VALUE"""),210.38)</f>
        <v>210.38</v>
      </c>
      <c r="D1425" s="1">
        <f ca="1">IFERROR(__xludf.DUMMYFUNCTION("""COMPUTED_VALUE"""),205.4)</f>
        <v>205.4</v>
      </c>
      <c r="E1425" s="1">
        <f ca="1">IFERROR(__xludf.DUMMYFUNCTION("""COMPUTED_VALUE"""),210.28)</f>
        <v>210.28</v>
      </c>
      <c r="F1425" s="1">
        <f ca="1">IFERROR(__xludf.DUMMYFUNCTION("""COMPUTED_VALUE"""),26370593)</f>
        <v>26370593</v>
      </c>
    </row>
    <row r="1426" spans="1:6" x14ac:dyDescent="0.2">
      <c r="A1426" s="2">
        <f ca="1">IFERROR(__xludf.DUMMYFUNCTION("""COMPUTED_VALUE"""),44344.6666666666)</f>
        <v>44344.666666666599</v>
      </c>
      <c r="B1426" s="1">
        <f ca="1">IFERROR(__xludf.DUMMYFUNCTION("""COMPUTED_VALUE"""),209.5)</f>
        <v>209.5</v>
      </c>
      <c r="C1426" s="1">
        <f ca="1">IFERROR(__xludf.DUMMYFUNCTION("""COMPUTED_VALUE"""),211.86)</f>
        <v>211.86</v>
      </c>
      <c r="D1426" s="1">
        <f ca="1">IFERROR(__xludf.DUMMYFUNCTION("""COMPUTED_VALUE"""),207.46)</f>
        <v>207.46</v>
      </c>
      <c r="E1426" s="1">
        <f ca="1">IFERROR(__xludf.DUMMYFUNCTION("""COMPUTED_VALUE"""),208.41)</f>
        <v>208.41</v>
      </c>
      <c r="F1426" s="1">
        <f ca="1">IFERROR(__xludf.DUMMYFUNCTION("""COMPUTED_VALUE"""),22737038)</f>
        <v>22737038</v>
      </c>
    </row>
    <row r="1427" spans="1:6" x14ac:dyDescent="0.2">
      <c r="A1427" s="2">
        <f ca="1">IFERROR(__xludf.DUMMYFUNCTION("""COMPUTED_VALUE"""),44348.6666666666)</f>
        <v>44348.666666666599</v>
      </c>
      <c r="B1427" s="1">
        <f ca="1">IFERROR(__xludf.DUMMYFUNCTION("""COMPUTED_VALUE"""),209.27)</f>
        <v>209.27</v>
      </c>
      <c r="C1427" s="1">
        <f ca="1">IFERROR(__xludf.DUMMYFUNCTION("""COMPUTED_VALUE"""),211.27)</f>
        <v>211.27</v>
      </c>
      <c r="D1427" s="1">
        <f ca="1">IFERROR(__xludf.DUMMYFUNCTION("""COMPUTED_VALUE"""),206.85)</f>
        <v>206.85</v>
      </c>
      <c r="E1427" s="1">
        <f ca="1">IFERROR(__xludf.DUMMYFUNCTION("""COMPUTED_VALUE"""),207.97)</f>
        <v>207.97</v>
      </c>
      <c r="F1427" s="1">
        <f ca="1">IFERROR(__xludf.DUMMYFUNCTION("""COMPUTED_VALUE"""),18084890)</f>
        <v>18084890</v>
      </c>
    </row>
    <row r="1428" spans="1:6" x14ac:dyDescent="0.2">
      <c r="A1428" s="2">
        <f ca="1">IFERROR(__xludf.DUMMYFUNCTION("""COMPUTED_VALUE"""),44349.6666666666)</f>
        <v>44349.666666666599</v>
      </c>
      <c r="B1428" s="1">
        <f ca="1">IFERROR(__xludf.DUMMYFUNCTION("""COMPUTED_VALUE"""),206.71)</f>
        <v>206.71</v>
      </c>
      <c r="C1428" s="1">
        <f ca="1">IFERROR(__xludf.DUMMYFUNCTION("""COMPUTED_VALUE"""),207.79)</f>
        <v>207.79</v>
      </c>
      <c r="D1428" s="1">
        <f ca="1">IFERROR(__xludf.DUMMYFUNCTION("""COMPUTED_VALUE"""),199.71)</f>
        <v>199.71</v>
      </c>
      <c r="E1428" s="1">
        <f ca="1">IFERROR(__xludf.DUMMYFUNCTION("""COMPUTED_VALUE"""),201.71)</f>
        <v>201.71</v>
      </c>
      <c r="F1428" s="1">
        <f ca="1">IFERROR(__xludf.DUMMYFUNCTION("""COMPUTED_VALUE"""),23302779)</f>
        <v>23302779</v>
      </c>
    </row>
    <row r="1429" spans="1:6" x14ac:dyDescent="0.2">
      <c r="A1429" s="2">
        <f ca="1">IFERROR(__xludf.DUMMYFUNCTION("""COMPUTED_VALUE"""),44350.6666666666)</f>
        <v>44350.666666666599</v>
      </c>
      <c r="B1429" s="1">
        <f ca="1">IFERROR(__xludf.DUMMYFUNCTION("""COMPUTED_VALUE"""),200.6)</f>
        <v>200.6</v>
      </c>
      <c r="C1429" s="1">
        <f ca="1">IFERROR(__xludf.DUMMYFUNCTION("""COMPUTED_VALUE"""),201.52)</f>
        <v>201.52</v>
      </c>
      <c r="D1429" s="1">
        <f ca="1">IFERROR(__xludf.DUMMYFUNCTION("""COMPUTED_VALUE"""),190.41)</f>
        <v>190.41</v>
      </c>
      <c r="E1429" s="1">
        <f ca="1">IFERROR(__xludf.DUMMYFUNCTION("""COMPUTED_VALUE"""),190.95)</f>
        <v>190.95</v>
      </c>
      <c r="F1429" s="1">
        <f ca="1">IFERROR(__xludf.DUMMYFUNCTION("""COMPUTED_VALUE"""),30111893)</f>
        <v>30111893</v>
      </c>
    </row>
    <row r="1430" spans="1:6" x14ac:dyDescent="0.2">
      <c r="A1430" s="2">
        <f ca="1">IFERROR(__xludf.DUMMYFUNCTION("""COMPUTED_VALUE"""),44351.6666666666)</f>
        <v>44351.666666666599</v>
      </c>
      <c r="B1430" s="1">
        <f ca="1">IFERROR(__xludf.DUMMYFUNCTION("""COMPUTED_VALUE"""),193.24)</f>
        <v>193.24</v>
      </c>
      <c r="C1430" s="1">
        <f ca="1">IFERROR(__xludf.DUMMYFUNCTION("""COMPUTED_VALUE"""),200.2)</f>
        <v>200.2</v>
      </c>
      <c r="D1430" s="1">
        <f ca="1">IFERROR(__xludf.DUMMYFUNCTION("""COMPUTED_VALUE"""),192.4)</f>
        <v>192.4</v>
      </c>
      <c r="E1430" s="1">
        <f ca="1">IFERROR(__xludf.DUMMYFUNCTION("""COMPUTED_VALUE"""),199.68)</f>
        <v>199.68</v>
      </c>
      <c r="F1430" s="1">
        <f ca="1">IFERROR(__xludf.DUMMYFUNCTION("""COMPUTED_VALUE"""),24036896)</f>
        <v>24036896</v>
      </c>
    </row>
    <row r="1431" spans="1:6" x14ac:dyDescent="0.2">
      <c r="A1431" s="2">
        <f ca="1">IFERROR(__xludf.DUMMYFUNCTION("""COMPUTED_VALUE"""),44354.6666666666)</f>
        <v>44354.666666666599</v>
      </c>
      <c r="B1431" s="1">
        <f ca="1">IFERROR(__xludf.DUMMYFUNCTION("""COMPUTED_VALUE"""),197.28)</f>
        <v>197.28</v>
      </c>
      <c r="C1431" s="1">
        <f ca="1">IFERROR(__xludf.DUMMYFUNCTION("""COMPUTED_VALUE"""),203.33)</f>
        <v>203.33</v>
      </c>
      <c r="D1431" s="1">
        <f ca="1">IFERROR(__xludf.DUMMYFUNCTION("""COMPUTED_VALUE"""),194.29)</f>
        <v>194.29</v>
      </c>
      <c r="E1431" s="1">
        <f ca="1">IFERROR(__xludf.DUMMYFUNCTION("""COMPUTED_VALUE"""),201.71)</f>
        <v>201.71</v>
      </c>
      <c r="F1431" s="1">
        <f ca="1">IFERROR(__xludf.DUMMYFUNCTION("""COMPUTED_VALUE"""),22543682)</f>
        <v>22543682</v>
      </c>
    </row>
    <row r="1432" spans="1:6" x14ac:dyDescent="0.2">
      <c r="A1432" s="2">
        <f ca="1">IFERROR(__xludf.DUMMYFUNCTION("""COMPUTED_VALUE"""),44355.6666666666)</f>
        <v>44355.666666666599</v>
      </c>
      <c r="B1432" s="1">
        <f ca="1">IFERROR(__xludf.DUMMYFUNCTION("""COMPUTED_VALUE"""),207.67)</f>
        <v>207.67</v>
      </c>
      <c r="C1432" s="1">
        <f ca="1">IFERROR(__xludf.DUMMYFUNCTION("""COMPUTED_VALUE"""),207.7)</f>
        <v>207.7</v>
      </c>
      <c r="D1432" s="1">
        <f ca="1">IFERROR(__xludf.DUMMYFUNCTION("""COMPUTED_VALUE"""),198.5)</f>
        <v>198.5</v>
      </c>
      <c r="E1432" s="1">
        <f ca="1">IFERROR(__xludf.DUMMYFUNCTION("""COMPUTED_VALUE"""),201.2)</f>
        <v>201.2</v>
      </c>
      <c r="F1432" s="1">
        <f ca="1">IFERROR(__xludf.DUMMYFUNCTION("""COMPUTED_VALUE"""),26053405)</f>
        <v>26053405</v>
      </c>
    </row>
    <row r="1433" spans="1:6" x14ac:dyDescent="0.2">
      <c r="A1433" s="2">
        <f ca="1">IFERROR(__xludf.DUMMYFUNCTION("""COMPUTED_VALUE"""),44356.6666666666)</f>
        <v>44356.666666666599</v>
      </c>
      <c r="B1433" s="1">
        <f ca="1">IFERROR(__xludf.DUMMYFUNCTION("""COMPUTED_VALUE"""),200.72)</f>
        <v>200.72</v>
      </c>
      <c r="C1433" s="1">
        <f ca="1">IFERROR(__xludf.DUMMYFUNCTION("""COMPUTED_VALUE"""),203.93)</f>
        <v>203.93</v>
      </c>
      <c r="D1433" s="1">
        <f ca="1">IFERROR(__xludf.DUMMYFUNCTION("""COMPUTED_VALUE"""),199.21)</f>
        <v>199.21</v>
      </c>
      <c r="E1433" s="1">
        <f ca="1">IFERROR(__xludf.DUMMYFUNCTION("""COMPUTED_VALUE"""),199.59)</f>
        <v>199.59</v>
      </c>
      <c r="F1433" s="1">
        <f ca="1">IFERROR(__xludf.DUMMYFUNCTION("""COMPUTED_VALUE"""),16584566)</f>
        <v>16584566</v>
      </c>
    </row>
    <row r="1434" spans="1:6" x14ac:dyDescent="0.2">
      <c r="A1434" s="2">
        <f ca="1">IFERROR(__xludf.DUMMYFUNCTION("""COMPUTED_VALUE"""),44357.6666666666)</f>
        <v>44357.666666666599</v>
      </c>
      <c r="B1434" s="1">
        <f ca="1">IFERROR(__xludf.DUMMYFUNCTION("""COMPUTED_VALUE"""),201.29)</f>
        <v>201.29</v>
      </c>
      <c r="C1434" s="1">
        <f ca="1">IFERROR(__xludf.DUMMYFUNCTION("""COMPUTED_VALUE"""),205.53)</f>
        <v>205.53</v>
      </c>
      <c r="D1434" s="1">
        <f ca="1">IFERROR(__xludf.DUMMYFUNCTION("""COMPUTED_VALUE"""),200.17)</f>
        <v>200.17</v>
      </c>
      <c r="E1434" s="1">
        <f ca="1">IFERROR(__xludf.DUMMYFUNCTION("""COMPUTED_VALUE"""),203.37)</f>
        <v>203.37</v>
      </c>
      <c r="F1434" s="1">
        <f ca="1">IFERROR(__xludf.DUMMYFUNCTION("""COMPUTED_VALUE"""),23919606)</f>
        <v>23919606</v>
      </c>
    </row>
    <row r="1435" spans="1:6" x14ac:dyDescent="0.2">
      <c r="A1435" s="2">
        <f ca="1">IFERROR(__xludf.DUMMYFUNCTION("""COMPUTED_VALUE"""),44358.6666666666)</f>
        <v>44358.666666666599</v>
      </c>
      <c r="B1435" s="1">
        <f ca="1">IFERROR(__xludf.DUMMYFUNCTION("""COMPUTED_VALUE"""),203.41)</f>
        <v>203.41</v>
      </c>
      <c r="C1435" s="1">
        <f ca="1">IFERROR(__xludf.DUMMYFUNCTION("""COMPUTED_VALUE"""),204.19)</f>
        <v>204.19</v>
      </c>
      <c r="D1435" s="1">
        <f ca="1">IFERROR(__xludf.DUMMYFUNCTION("""COMPUTED_VALUE"""),200.51)</f>
        <v>200.51</v>
      </c>
      <c r="E1435" s="1">
        <f ca="1">IFERROR(__xludf.DUMMYFUNCTION("""COMPUTED_VALUE"""),203.3)</f>
        <v>203.3</v>
      </c>
      <c r="F1435" s="1">
        <f ca="1">IFERROR(__xludf.DUMMYFUNCTION("""COMPUTED_VALUE"""),16205303)</f>
        <v>16205303</v>
      </c>
    </row>
    <row r="1436" spans="1:6" x14ac:dyDescent="0.2">
      <c r="A1436" s="2">
        <f ca="1">IFERROR(__xludf.DUMMYFUNCTION("""COMPUTED_VALUE"""),44361.6666666666)</f>
        <v>44361.666666666599</v>
      </c>
      <c r="B1436" s="1">
        <f ca="1">IFERROR(__xludf.DUMMYFUNCTION("""COMPUTED_VALUE"""),204.08)</f>
        <v>204.08</v>
      </c>
      <c r="C1436" s="1">
        <f ca="1">IFERROR(__xludf.DUMMYFUNCTION("""COMPUTED_VALUE"""),208.5)</f>
        <v>208.5</v>
      </c>
      <c r="D1436" s="1">
        <f ca="1">IFERROR(__xludf.DUMMYFUNCTION("""COMPUTED_VALUE"""),203.06)</f>
        <v>203.06</v>
      </c>
      <c r="E1436" s="1">
        <f ca="1">IFERROR(__xludf.DUMMYFUNCTION("""COMPUTED_VALUE"""),205.9)</f>
        <v>205.9</v>
      </c>
      <c r="F1436" s="1">
        <f ca="1">IFERROR(__xludf.DUMMYFUNCTION("""COMPUTED_VALUE"""),20423983)</f>
        <v>20423983</v>
      </c>
    </row>
    <row r="1437" spans="1:6" x14ac:dyDescent="0.2">
      <c r="A1437" s="2">
        <f ca="1">IFERROR(__xludf.DUMMYFUNCTION("""COMPUTED_VALUE"""),44362.6666666666)</f>
        <v>44362.666666666599</v>
      </c>
      <c r="B1437" s="1">
        <f ca="1">IFERROR(__xludf.DUMMYFUNCTION("""COMPUTED_VALUE"""),205.56)</f>
        <v>205.56</v>
      </c>
      <c r="C1437" s="1">
        <f ca="1">IFERROR(__xludf.DUMMYFUNCTION("""COMPUTED_VALUE"""),205.6)</f>
        <v>205.6</v>
      </c>
      <c r="D1437" s="1">
        <f ca="1">IFERROR(__xludf.DUMMYFUNCTION("""COMPUTED_VALUE"""),199.41)</f>
        <v>199.41</v>
      </c>
      <c r="E1437" s="1">
        <f ca="1">IFERROR(__xludf.DUMMYFUNCTION("""COMPUTED_VALUE"""),199.79)</f>
        <v>199.79</v>
      </c>
      <c r="F1437" s="1">
        <f ca="1">IFERROR(__xludf.DUMMYFUNCTION("""COMPUTED_VALUE"""),17764145)</f>
        <v>17764145</v>
      </c>
    </row>
    <row r="1438" spans="1:6" x14ac:dyDescent="0.2">
      <c r="A1438" s="2">
        <f ca="1">IFERROR(__xludf.DUMMYFUNCTION("""COMPUTED_VALUE"""),44363.6666666666)</f>
        <v>44363.666666666599</v>
      </c>
      <c r="B1438" s="1">
        <f ca="1">IFERROR(__xludf.DUMMYFUNCTION("""COMPUTED_VALUE"""),199.18)</f>
        <v>199.18</v>
      </c>
      <c r="C1438" s="1">
        <f ca="1">IFERROR(__xludf.DUMMYFUNCTION("""COMPUTED_VALUE"""),202.83)</f>
        <v>202.83</v>
      </c>
      <c r="D1438" s="1">
        <f ca="1">IFERROR(__xludf.DUMMYFUNCTION("""COMPUTED_VALUE"""),197.83)</f>
        <v>197.83</v>
      </c>
      <c r="E1438" s="1">
        <f ca="1">IFERROR(__xludf.DUMMYFUNCTION("""COMPUTED_VALUE"""),201.62)</f>
        <v>201.62</v>
      </c>
      <c r="F1438" s="1">
        <f ca="1">IFERROR(__xludf.DUMMYFUNCTION("""COMPUTED_VALUE"""),22144127)</f>
        <v>22144127</v>
      </c>
    </row>
    <row r="1439" spans="1:6" x14ac:dyDescent="0.2">
      <c r="A1439" s="2">
        <f ca="1">IFERROR(__xludf.DUMMYFUNCTION("""COMPUTED_VALUE"""),44364.6666666666)</f>
        <v>44364.666666666599</v>
      </c>
      <c r="B1439" s="1">
        <f ca="1">IFERROR(__xludf.DUMMYFUNCTION("""COMPUTED_VALUE"""),200.63)</f>
        <v>200.63</v>
      </c>
      <c r="C1439" s="1">
        <f ca="1">IFERROR(__xludf.DUMMYFUNCTION("""COMPUTED_VALUE"""),207.16)</f>
        <v>207.16</v>
      </c>
      <c r="D1439" s="1">
        <f ca="1">IFERROR(__xludf.DUMMYFUNCTION("""COMPUTED_VALUE"""),200.45)</f>
        <v>200.45</v>
      </c>
      <c r="E1439" s="1">
        <f ca="1">IFERROR(__xludf.DUMMYFUNCTION("""COMPUTED_VALUE"""),205.53)</f>
        <v>205.53</v>
      </c>
      <c r="F1439" s="1">
        <f ca="1">IFERROR(__xludf.DUMMYFUNCTION("""COMPUTED_VALUE"""),22701350)</f>
        <v>22701350</v>
      </c>
    </row>
    <row r="1440" spans="1:6" x14ac:dyDescent="0.2">
      <c r="A1440" s="2">
        <f ca="1">IFERROR(__xludf.DUMMYFUNCTION("""COMPUTED_VALUE"""),44365.6666666666)</f>
        <v>44365.666666666599</v>
      </c>
      <c r="B1440" s="1">
        <f ca="1">IFERROR(__xludf.DUMMYFUNCTION("""COMPUTED_VALUE"""),204.46)</f>
        <v>204.46</v>
      </c>
      <c r="C1440" s="1">
        <f ca="1">IFERROR(__xludf.DUMMYFUNCTION("""COMPUTED_VALUE"""),209.45)</f>
        <v>209.45</v>
      </c>
      <c r="D1440" s="1">
        <f ca="1">IFERROR(__xludf.DUMMYFUNCTION("""COMPUTED_VALUE"""),203.93)</f>
        <v>203.93</v>
      </c>
      <c r="E1440" s="1">
        <f ca="1">IFERROR(__xludf.DUMMYFUNCTION("""COMPUTED_VALUE"""),207.77)</f>
        <v>207.77</v>
      </c>
      <c r="F1440" s="1">
        <f ca="1">IFERROR(__xludf.DUMMYFUNCTION("""COMPUTED_VALUE"""),24560905)</f>
        <v>24560905</v>
      </c>
    </row>
    <row r="1441" spans="1:6" x14ac:dyDescent="0.2">
      <c r="A1441" s="2">
        <f ca="1">IFERROR(__xludf.DUMMYFUNCTION("""COMPUTED_VALUE"""),44368.6666666666)</f>
        <v>44368.666666666599</v>
      </c>
      <c r="B1441" s="1">
        <f ca="1">IFERROR(__xludf.DUMMYFUNCTION("""COMPUTED_VALUE"""),208.16)</f>
        <v>208.16</v>
      </c>
      <c r="C1441" s="1">
        <f ca="1">IFERROR(__xludf.DUMMYFUNCTION("""COMPUTED_VALUE"""),210.46)</f>
        <v>210.46</v>
      </c>
      <c r="D1441" s="1">
        <f ca="1">IFERROR(__xludf.DUMMYFUNCTION("""COMPUTED_VALUE"""),202.96)</f>
        <v>202.96</v>
      </c>
      <c r="E1441" s="1">
        <f ca="1">IFERROR(__xludf.DUMMYFUNCTION("""COMPUTED_VALUE"""),206.94)</f>
        <v>206.94</v>
      </c>
      <c r="F1441" s="1">
        <f ca="1">IFERROR(__xludf.DUMMYFUNCTION("""COMPUTED_VALUE"""),24812741)</f>
        <v>24812741</v>
      </c>
    </row>
    <row r="1442" spans="1:6" x14ac:dyDescent="0.2">
      <c r="A1442" s="2">
        <f ca="1">IFERROR(__xludf.DUMMYFUNCTION("""COMPUTED_VALUE"""),44369.6666666666)</f>
        <v>44369.666666666599</v>
      </c>
      <c r="B1442" s="1">
        <f ca="1">IFERROR(__xludf.DUMMYFUNCTION("""COMPUTED_VALUE"""),206.08)</f>
        <v>206.08</v>
      </c>
      <c r="C1442" s="1">
        <f ca="1">IFERROR(__xludf.DUMMYFUNCTION("""COMPUTED_VALUE"""),209.52)</f>
        <v>209.52</v>
      </c>
      <c r="D1442" s="1">
        <f ca="1">IFERROR(__xludf.DUMMYFUNCTION("""COMPUTED_VALUE"""),205.17)</f>
        <v>205.17</v>
      </c>
      <c r="E1442" s="1">
        <f ca="1">IFERROR(__xludf.DUMMYFUNCTION("""COMPUTED_VALUE"""),207.9)</f>
        <v>207.9</v>
      </c>
      <c r="F1442" s="1">
        <f ca="1">IFERROR(__xludf.DUMMYFUNCTION("""COMPUTED_VALUE"""),19158892)</f>
        <v>19158892</v>
      </c>
    </row>
    <row r="1443" spans="1:6" x14ac:dyDescent="0.2">
      <c r="A1443" s="2">
        <f ca="1">IFERROR(__xludf.DUMMYFUNCTION("""COMPUTED_VALUE"""),44370.6666666666)</f>
        <v>44370.666666666599</v>
      </c>
      <c r="B1443" s="1">
        <f ca="1">IFERROR(__xludf.DUMMYFUNCTION("""COMPUTED_VALUE"""),210.67)</f>
        <v>210.67</v>
      </c>
      <c r="C1443" s="1">
        <f ca="1">IFERROR(__xludf.DUMMYFUNCTION("""COMPUTED_VALUE"""),219.07)</f>
        <v>219.07</v>
      </c>
      <c r="D1443" s="1">
        <f ca="1">IFERROR(__xludf.DUMMYFUNCTION("""COMPUTED_VALUE"""),210.01)</f>
        <v>210.01</v>
      </c>
      <c r="E1443" s="1">
        <f ca="1">IFERROR(__xludf.DUMMYFUNCTION("""COMPUTED_VALUE"""),218.86)</f>
        <v>218.86</v>
      </c>
      <c r="F1443" s="1">
        <f ca="1">IFERROR(__xludf.DUMMYFUNCTION("""COMPUTED_VALUE"""),31099228)</f>
        <v>31099228</v>
      </c>
    </row>
    <row r="1444" spans="1:6" x14ac:dyDescent="0.2">
      <c r="A1444" s="2">
        <f ca="1">IFERROR(__xludf.DUMMYFUNCTION("""COMPUTED_VALUE"""),44371.6666666666)</f>
        <v>44371.666666666599</v>
      </c>
      <c r="B1444" s="1">
        <f ca="1">IFERROR(__xludf.DUMMYFUNCTION("""COMPUTED_VALUE"""),225)</f>
        <v>225</v>
      </c>
      <c r="C1444" s="1">
        <f ca="1">IFERROR(__xludf.DUMMYFUNCTION("""COMPUTED_VALUE"""),232.54)</f>
        <v>232.54</v>
      </c>
      <c r="D1444" s="1">
        <f ca="1">IFERROR(__xludf.DUMMYFUNCTION("""COMPUTED_VALUE"""),222.54)</f>
        <v>222.54</v>
      </c>
      <c r="E1444" s="1">
        <f ca="1">IFERROR(__xludf.DUMMYFUNCTION("""COMPUTED_VALUE"""),226.61)</f>
        <v>226.61</v>
      </c>
      <c r="F1444" s="1">
        <f ca="1">IFERROR(__xludf.DUMMYFUNCTION("""COMPUTED_VALUE"""),45982386)</f>
        <v>45982386</v>
      </c>
    </row>
    <row r="1445" spans="1:6" x14ac:dyDescent="0.2">
      <c r="A1445" s="2">
        <f ca="1">IFERROR(__xludf.DUMMYFUNCTION("""COMPUTED_VALUE"""),44372.6666666666)</f>
        <v>44372.666666666599</v>
      </c>
      <c r="B1445" s="1">
        <f ca="1">IFERROR(__xludf.DUMMYFUNCTION("""COMPUTED_VALUE"""),229.86)</f>
        <v>229.86</v>
      </c>
      <c r="C1445" s="1">
        <f ca="1">IFERROR(__xludf.DUMMYFUNCTION("""COMPUTED_VALUE"""),231.27)</f>
        <v>231.27</v>
      </c>
      <c r="D1445" s="1">
        <f ca="1">IFERROR(__xludf.DUMMYFUNCTION("""COMPUTED_VALUE"""),222.9)</f>
        <v>222.9</v>
      </c>
      <c r="E1445" s="1">
        <f ca="1">IFERROR(__xludf.DUMMYFUNCTION("""COMPUTED_VALUE"""),223.96)</f>
        <v>223.96</v>
      </c>
      <c r="F1445" s="1">
        <f ca="1">IFERROR(__xludf.DUMMYFUNCTION("""COMPUTED_VALUE"""),32496707)</f>
        <v>32496707</v>
      </c>
    </row>
    <row r="1446" spans="1:6" x14ac:dyDescent="0.2">
      <c r="A1446" s="2">
        <f ca="1">IFERROR(__xludf.DUMMYFUNCTION("""COMPUTED_VALUE"""),44375.6666666666)</f>
        <v>44375.666666666599</v>
      </c>
      <c r="B1446" s="1">
        <f ca="1">IFERROR(__xludf.DUMMYFUNCTION("""COMPUTED_VALUE"""),223.88)</f>
        <v>223.88</v>
      </c>
      <c r="C1446" s="1">
        <f ca="1">IFERROR(__xludf.DUMMYFUNCTION("""COMPUTED_VALUE"""),231.57)</f>
        <v>231.57</v>
      </c>
      <c r="D1446" s="1">
        <f ca="1">IFERROR(__xludf.DUMMYFUNCTION("""COMPUTED_VALUE"""),223.44)</f>
        <v>223.44</v>
      </c>
      <c r="E1446" s="1">
        <f ca="1">IFERROR(__xludf.DUMMYFUNCTION("""COMPUTED_VALUE"""),229.57)</f>
        <v>229.57</v>
      </c>
      <c r="F1446" s="1">
        <f ca="1">IFERROR(__xludf.DUMMYFUNCTION("""COMPUTED_VALUE"""),21628159)</f>
        <v>21628159</v>
      </c>
    </row>
    <row r="1447" spans="1:6" x14ac:dyDescent="0.2">
      <c r="A1447" s="2">
        <f ca="1">IFERROR(__xludf.DUMMYFUNCTION("""COMPUTED_VALUE"""),44376.6666666666)</f>
        <v>44376.666666666599</v>
      </c>
      <c r="B1447" s="1">
        <f ca="1">IFERROR(__xludf.DUMMYFUNCTION("""COMPUTED_VALUE"""),228.22)</f>
        <v>228.22</v>
      </c>
      <c r="C1447" s="1">
        <f ca="1">IFERROR(__xludf.DUMMYFUNCTION("""COMPUTED_VALUE"""),229.17)</f>
        <v>229.17</v>
      </c>
      <c r="D1447" s="1">
        <f ca="1">IFERROR(__xludf.DUMMYFUNCTION("""COMPUTED_VALUE"""),225.3)</f>
        <v>225.3</v>
      </c>
      <c r="E1447" s="1">
        <f ca="1">IFERROR(__xludf.DUMMYFUNCTION("""COMPUTED_VALUE"""),226.92)</f>
        <v>226.92</v>
      </c>
      <c r="F1447" s="1">
        <f ca="1">IFERROR(__xludf.DUMMYFUNCTION("""COMPUTED_VALUE"""),17381313)</f>
        <v>17381313</v>
      </c>
    </row>
    <row r="1448" spans="1:6" x14ac:dyDescent="0.2">
      <c r="A1448" s="2">
        <f ca="1">IFERROR(__xludf.DUMMYFUNCTION("""COMPUTED_VALUE"""),44377.6666666666)</f>
        <v>44377.666666666599</v>
      </c>
      <c r="B1448" s="1">
        <f ca="1">IFERROR(__xludf.DUMMYFUNCTION("""COMPUTED_VALUE"""),226.59)</f>
        <v>226.59</v>
      </c>
      <c r="C1448" s="1">
        <f ca="1">IFERROR(__xludf.DUMMYFUNCTION("""COMPUTED_VALUE"""),230.94)</f>
        <v>230.94</v>
      </c>
      <c r="D1448" s="1">
        <f ca="1">IFERROR(__xludf.DUMMYFUNCTION("""COMPUTED_VALUE"""),226.05)</f>
        <v>226.05</v>
      </c>
      <c r="E1448" s="1">
        <f ca="1">IFERROR(__xludf.DUMMYFUNCTION("""COMPUTED_VALUE"""),226.57)</f>
        <v>226.57</v>
      </c>
      <c r="F1448" s="1">
        <f ca="1">IFERROR(__xludf.DUMMYFUNCTION("""COMPUTED_VALUE"""),18924862)</f>
        <v>18924862</v>
      </c>
    </row>
    <row r="1449" spans="1:6" x14ac:dyDescent="0.2">
      <c r="A1449" s="2">
        <f ca="1">IFERROR(__xludf.DUMMYFUNCTION("""COMPUTED_VALUE"""),44378.6666666666)</f>
        <v>44378.666666666599</v>
      </c>
      <c r="B1449" s="1">
        <f ca="1">IFERROR(__xludf.DUMMYFUNCTION("""COMPUTED_VALUE"""),227.97)</f>
        <v>227.97</v>
      </c>
      <c r="C1449" s="1">
        <f ca="1">IFERROR(__xludf.DUMMYFUNCTION("""COMPUTED_VALUE"""),229.33)</f>
        <v>229.33</v>
      </c>
      <c r="D1449" s="1">
        <f ca="1">IFERROR(__xludf.DUMMYFUNCTION("""COMPUTED_VALUE"""),224.27)</f>
        <v>224.27</v>
      </c>
      <c r="E1449" s="1">
        <f ca="1">IFERROR(__xludf.DUMMYFUNCTION("""COMPUTED_VALUE"""),225.97)</f>
        <v>225.97</v>
      </c>
      <c r="F1449" s="1">
        <f ca="1">IFERROR(__xludf.DUMMYFUNCTION("""COMPUTED_VALUE"""),18634522)</f>
        <v>18634522</v>
      </c>
    </row>
    <row r="1450" spans="1:6" x14ac:dyDescent="0.2">
      <c r="A1450" s="2">
        <f ca="1">IFERROR(__xludf.DUMMYFUNCTION("""COMPUTED_VALUE"""),44379.6666666666)</f>
        <v>44379.666666666599</v>
      </c>
      <c r="B1450" s="1">
        <f ca="1">IFERROR(__xludf.DUMMYFUNCTION("""COMPUTED_VALUE"""),226.33)</f>
        <v>226.33</v>
      </c>
      <c r="C1450" s="1">
        <f ca="1">IFERROR(__xludf.DUMMYFUNCTION("""COMPUTED_VALUE"""),233.33)</f>
        <v>233.33</v>
      </c>
      <c r="D1450" s="1">
        <f ca="1">IFERROR(__xludf.DUMMYFUNCTION("""COMPUTED_VALUE"""),224.42)</f>
        <v>224.42</v>
      </c>
      <c r="E1450" s="1">
        <f ca="1">IFERROR(__xludf.DUMMYFUNCTION("""COMPUTED_VALUE"""),226.3)</f>
        <v>226.3</v>
      </c>
      <c r="F1450" s="1">
        <f ca="1">IFERROR(__xludf.DUMMYFUNCTION("""COMPUTED_VALUE"""),27097374)</f>
        <v>27097374</v>
      </c>
    </row>
    <row r="1451" spans="1:6" x14ac:dyDescent="0.2">
      <c r="A1451" s="2">
        <f ca="1">IFERROR(__xludf.DUMMYFUNCTION("""COMPUTED_VALUE"""),44383.6666666666)</f>
        <v>44383.666666666599</v>
      </c>
      <c r="B1451" s="1">
        <f ca="1">IFERROR(__xludf.DUMMYFUNCTION("""COMPUTED_VALUE"""),227.24)</f>
        <v>227.24</v>
      </c>
      <c r="C1451" s="1">
        <f ca="1">IFERROR(__xludf.DUMMYFUNCTION("""COMPUTED_VALUE"""),228)</f>
        <v>228</v>
      </c>
      <c r="D1451" s="1">
        <f ca="1">IFERROR(__xludf.DUMMYFUNCTION("""COMPUTED_VALUE"""),217.13)</f>
        <v>217.13</v>
      </c>
      <c r="E1451" s="1">
        <f ca="1">IFERROR(__xludf.DUMMYFUNCTION("""COMPUTED_VALUE"""),219.86)</f>
        <v>219.86</v>
      </c>
      <c r="F1451" s="1">
        <f ca="1">IFERROR(__xludf.DUMMYFUNCTION("""COMPUTED_VALUE"""),23284450)</f>
        <v>23284450</v>
      </c>
    </row>
    <row r="1452" spans="1:6" x14ac:dyDescent="0.2">
      <c r="A1452" s="2">
        <f ca="1">IFERROR(__xludf.DUMMYFUNCTION("""COMPUTED_VALUE"""),44384.6666666666)</f>
        <v>44384.666666666599</v>
      </c>
      <c r="B1452" s="1">
        <f ca="1">IFERROR(__xludf.DUMMYFUNCTION("""COMPUTED_VALUE"""),221.42)</f>
        <v>221.42</v>
      </c>
      <c r="C1452" s="1">
        <f ca="1">IFERROR(__xludf.DUMMYFUNCTION("""COMPUTED_VALUE"""),221.9)</f>
        <v>221.9</v>
      </c>
      <c r="D1452" s="1">
        <f ca="1">IFERROR(__xludf.DUMMYFUNCTION("""COMPUTED_VALUE"""),212.77)</f>
        <v>212.77</v>
      </c>
      <c r="E1452" s="1">
        <f ca="1">IFERROR(__xludf.DUMMYFUNCTION("""COMPUTED_VALUE"""),214.88)</f>
        <v>214.88</v>
      </c>
      <c r="F1452" s="1">
        <f ca="1">IFERROR(__xludf.DUMMYFUNCTION("""COMPUTED_VALUE"""),18791960)</f>
        <v>18791960</v>
      </c>
    </row>
    <row r="1453" spans="1:6" x14ac:dyDescent="0.2">
      <c r="A1453" s="2">
        <f ca="1">IFERROR(__xludf.DUMMYFUNCTION("""COMPUTED_VALUE"""),44385.6666666666)</f>
        <v>44385.666666666599</v>
      </c>
      <c r="B1453" s="1">
        <f ca="1">IFERROR(__xludf.DUMMYFUNCTION("""COMPUTED_VALUE"""),209.46)</f>
        <v>209.46</v>
      </c>
      <c r="C1453" s="1">
        <f ca="1">IFERROR(__xludf.DUMMYFUNCTION("""COMPUTED_VALUE"""),218.14)</f>
        <v>218.14</v>
      </c>
      <c r="D1453" s="1">
        <f ca="1">IFERROR(__xludf.DUMMYFUNCTION("""COMPUTED_VALUE"""),206.82)</f>
        <v>206.82</v>
      </c>
      <c r="E1453" s="1">
        <f ca="1">IFERROR(__xludf.DUMMYFUNCTION("""COMPUTED_VALUE"""),217.6)</f>
        <v>217.6</v>
      </c>
      <c r="F1453" s="1">
        <f ca="1">IFERROR(__xludf.DUMMYFUNCTION("""COMPUTED_VALUE"""),22773316)</f>
        <v>22773316</v>
      </c>
    </row>
    <row r="1454" spans="1:6" x14ac:dyDescent="0.2">
      <c r="A1454" s="2">
        <f ca="1">IFERROR(__xludf.DUMMYFUNCTION("""COMPUTED_VALUE"""),44386.6666666666)</f>
        <v>44386.666666666599</v>
      </c>
      <c r="B1454" s="1">
        <f ca="1">IFERROR(__xludf.DUMMYFUNCTION("""COMPUTED_VALUE"""),217.73)</f>
        <v>217.73</v>
      </c>
      <c r="C1454" s="1">
        <f ca="1">IFERROR(__xludf.DUMMYFUNCTION("""COMPUTED_VALUE"""),219.64)</f>
        <v>219.64</v>
      </c>
      <c r="D1454" s="1">
        <f ca="1">IFERROR(__xludf.DUMMYFUNCTION("""COMPUTED_VALUE"""),214.9)</f>
        <v>214.9</v>
      </c>
      <c r="E1454" s="1">
        <f ca="1">IFERROR(__xludf.DUMMYFUNCTION("""COMPUTED_VALUE"""),218.98)</f>
        <v>218.98</v>
      </c>
      <c r="F1454" s="1">
        <f ca="1">IFERROR(__xludf.DUMMYFUNCTION("""COMPUTED_VALUE"""),18140548)</f>
        <v>18140548</v>
      </c>
    </row>
    <row r="1455" spans="1:6" x14ac:dyDescent="0.2">
      <c r="A1455" s="2">
        <f ca="1">IFERROR(__xludf.DUMMYFUNCTION("""COMPUTED_VALUE"""),44389.6666666666)</f>
        <v>44389.666666666599</v>
      </c>
      <c r="B1455" s="1">
        <f ca="1">IFERROR(__xludf.DUMMYFUNCTION("""COMPUTED_VALUE"""),220.73)</f>
        <v>220.73</v>
      </c>
      <c r="C1455" s="1">
        <f ca="1">IFERROR(__xludf.DUMMYFUNCTION("""COMPUTED_VALUE"""),229.08)</f>
        <v>229.08</v>
      </c>
      <c r="D1455" s="1">
        <f ca="1">IFERROR(__xludf.DUMMYFUNCTION("""COMPUTED_VALUE"""),220.72)</f>
        <v>220.72</v>
      </c>
      <c r="E1455" s="1">
        <f ca="1">IFERROR(__xludf.DUMMYFUNCTION("""COMPUTED_VALUE"""),228.57)</f>
        <v>228.57</v>
      </c>
      <c r="F1455" s="1">
        <f ca="1">IFERROR(__xludf.DUMMYFUNCTION("""COMPUTED_VALUE"""),25927042)</f>
        <v>25927042</v>
      </c>
    </row>
    <row r="1456" spans="1:6" x14ac:dyDescent="0.2">
      <c r="A1456" s="2">
        <f ca="1">IFERROR(__xludf.DUMMYFUNCTION("""COMPUTED_VALUE"""),44390.6666666666)</f>
        <v>44390.666666666599</v>
      </c>
      <c r="B1456" s="1">
        <f ca="1">IFERROR(__xludf.DUMMYFUNCTION("""COMPUTED_VALUE"""),228.77)</f>
        <v>228.77</v>
      </c>
      <c r="C1456" s="1">
        <f ca="1">IFERROR(__xludf.DUMMYFUNCTION("""COMPUTED_VALUE"""),231.09)</f>
        <v>231.09</v>
      </c>
      <c r="D1456" s="1">
        <f ca="1">IFERROR(__xludf.DUMMYFUNCTION("""COMPUTED_VALUE"""),222.1)</f>
        <v>222.1</v>
      </c>
      <c r="E1456" s="1">
        <f ca="1">IFERROR(__xludf.DUMMYFUNCTION("""COMPUTED_VALUE"""),222.85)</f>
        <v>222.85</v>
      </c>
      <c r="F1456" s="1">
        <f ca="1">IFERROR(__xludf.DUMMYFUNCTION("""COMPUTED_VALUE"""),20966092)</f>
        <v>20966092</v>
      </c>
    </row>
    <row r="1457" spans="1:6" x14ac:dyDescent="0.2">
      <c r="A1457" s="2">
        <f ca="1">IFERROR(__xludf.DUMMYFUNCTION("""COMPUTED_VALUE"""),44391.6666666666)</f>
        <v>44391.666666666599</v>
      </c>
      <c r="B1457" s="1">
        <f ca="1">IFERROR(__xludf.DUMMYFUNCTION("""COMPUTED_VALUE"""),223.58)</f>
        <v>223.58</v>
      </c>
      <c r="C1457" s="1">
        <f ca="1">IFERROR(__xludf.DUMMYFUNCTION("""COMPUTED_VALUE"""),226.2)</f>
        <v>226.2</v>
      </c>
      <c r="D1457" s="1">
        <f ca="1">IFERROR(__xludf.DUMMYFUNCTION("""COMPUTED_VALUE"""),217.61)</f>
        <v>217.61</v>
      </c>
      <c r="E1457" s="1">
        <f ca="1">IFERROR(__xludf.DUMMYFUNCTION("""COMPUTED_VALUE"""),217.79)</f>
        <v>217.79</v>
      </c>
      <c r="F1457" s="1">
        <f ca="1">IFERROR(__xludf.DUMMYFUNCTION("""COMPUTED_VALUE"""),21641190)</f>
        <v>21641190</v>
      </c>
    </row>
    <row r="1458" spans="1:6" x14ac:dyDescent="0.2">
      <c r="A1458" s="2">
        <f ca="1">IFERROR(__xludf.DUMMYFUNCTION("""COMPUTED_VALUE"""),44392.6666666666)</f>
        <v>44392.666666666599</v>
      </c>
      <c r="B1458" s="1">
        <f ca="1">IFERROR(__xludf.DUMMYFUNCTION("""COMPUTED_VALUE"""),219.46)</f>
        <v>219.46</v>
      </c>
      <c r="C1458" s="1">
        <f ca="1">IFERROR(__xludf.DUMMYFUNCTION("""COMPUTED_VALUE"""),222.05)</f>
        <v>222.05</v>
      </c>
      <c r="D1458" s="1">
        <f ca="1">IFERROR(__xludf.DUMMYFUNCTION("""COMPUTED_VALUE"""),212.63)</f>
        <v>212.63</v>
      </c>
      <c r="E1458" s="1">
        <f ca="1">IFERROR(__xludf.DUMMYFUNCTION("""COMPUTED_VALUE"""),216.87)</f>
        <v>216.87</v>
      </c>
      <c r="F1458" s="1">
        <f ca="1">IFERROR(__xludf.DUMMYFUNCTION("""COMPUTED_VALUE"""),20209571)</f>
        <v>20209571</v>
      </c>
    </row>
    <row r="1459" spans="1:6" x14ac:dyDescent="0.2">
      <c r="A1459" s="2">
        <f ca="1">IFERROR(__xludf.DUMMYFUNCTION("""COMPUTED_VALUE"""),44393.6666666666)</f>
        <v>44393.666666666599</v>
      </c>
      <c r="B1459" s="1">
        <f ca="1">IFERROR(__xludf.DUMMYFUNCTION("""COMPUTED_VALUE"""),218.23)</f>
        <v>218.23</v>
      </c>
      <c r="C1459" s="1">
        <f ca="1">IFERROR(__xludf.DUMMYFUNCTION("""COMPUTED_VALUE"""),218.9)</f>
        <v>218.9</v>
      </c>
      <c r="D1459" s="1">
        <f ca="1">IFERROR(__xludf.DUMMYFUNCTION("""COMPUTED_VALUE"""),214.07)</f>
        <v>214.07</v>
      </c>
      <c r="E1459" s="1">
        <f ca="1">IFERROR(__xludf.DUMMYFUNCTION("""COMPUTED_VALUE"""),214.74)</f>
        <v>214.74</v>
      </c>
      <c r="F1459" s="1">
        <f ca="1">IFERROR(__xludf.DUMMYFUNCTION("""COMPUTED_VALUE"""),16370970)</f>
        <v>16370970</v>
      </c>
    </row>
    <row r="1460" spans="1:6" x14ac:dyDescent="0.2">
      <c r="A1460" s="2">
        <f ca="1">IFERROR(__xludf.DUMMYFUNCTION("""COMPUTED_VALUE"""),44396.6666666666)</f>
        <v>44396.666666666599</v>
      </c>
      <c r="B1460" s="1">
        <f ca="1">IFERROR(__xludf.DUMMYFUNCTION("""COMPUTED_VALUE"""),209.96)</f>
        <v>209.96</v>
      </c>
      <c r="C1460" s="1">
        <f ca="1">IFERROR(__xludf.DUMMYFUNCTION("""COMPUTED_VALUE"""),215.73)</f>
        <v>215.73</v>
      </c>
      <c r="D1460" s="1">
        <f ca="1">IFERROR(__xludf.DUMMYFUNCTION("""COMPUTED_VALUE"""),207.1)</f>
        <v>207.1</v>
      </c>
      <c r="E1460" s="1">
        <f ca="1">IFERROR(__xludf.DUMMYFUNCTION("""COMPUTED_VALUE"""),215.41)</f>
        <v>215.41</v>
      </c>
      <c r="F1460" s="1">
        <f ca="1">IFERROR(__xludf.DUMMYFUNCTION("""COMPUTED_VALUE"""),21297090)</f>
        <v>21297090</v>
      </c>
    </row>
    <row r="1461" spans="1:6" x14ac:dyDescent="0.2">
      <c r="A1461" s="2">
        <f ca="1">IFERROR(__xludf.DUMMYFUNCTION("""COMPUTED_VALUE"""),44397.6666666666)</f>
        <v>44397.666666666599</v>
      </c>
      <c r="B1461" s="1">
        <f ca="1">IFERROR(__xludf.DUMMYFUNCTION("""COMPUTED_VALUE"""),217.33)</f>
        <v>217.33</v>
      </c>
      <c r="C1461" s="1">
        <f ca="1">IFERROR(__xludf.DUMMYFUNCTION("""COMPUTED_VALUE"""),220.8)</f>
        <v>220.8</v>
      </c>
      <c r="D1461" s="1">
        <f ca="1">IFERROR(__xludf.DUMMYFUNCTION("""COMPUTED_VALUE"""),213.5)</f>
        <v>213.5</v>
      </c>
      <c r="E1461" s="1">
        <f ca="1">IFERROR(__xludf.DUMMYFUNCTION("""COMPUTED_VALUE"""),220.17)</f>
        <v>220.17</v>
      </c>
      <c r="F1461" s="1">
        <f ca="1">IFERROR(__xludf.DUMMYFUNCTION("""COMPUTED_VALUE"""),15487127)</f>
        <v>15487127</v>
      </c>
    </row>
    <row r="1462" spans="1:6" x14ac:dyDescent="0.2">
      <c r="A1462" s="2">
        <f ca="1">IFERROR(__xludf.DUMMYFUNCTION("""COMPUTED_VALUE"""),44398.6666666666)</f>
        <v>44398.666666666599</v>
      </c>
      <c r="B1462" s="1">
        <f ca="1">IFERROR(__xludf.DUMMYFUNCTION("""COMPUTED_VALUE"""),219.87)</f>
        <v>219.87</v>
      </c>
      <c r="C1462" s="1">
        <f ca="1">IFERROR(__xludf.DUMMYFUNCTION("""COMPUTED_VALUE"""),221.62)</f>
        <v>221.62</v>
      </c>
      <c r="D1462" s="1">
        <f ca="1">IFERROR(__xludf.DUMMYFUNCTION("""COMPUTED_VALUE"""),216.76)</f>
        <v>216.76</v>
      </c>
      <c r="E1462" s="1">
        <f ca="1">IFERROR(__xludf.DUMMYFUNCTION("""COMPUTED_VALUE"""),218.43)</f>
        <v>218.43</v>
      </c>
      <c r="F1462" s="1">
        <f ca="1">IFERROR(__xludf.DUMMYFUNCTION("""COMPUTED_VALUE"""),13953338)</f>
        <v>13953338</v>
      </c>
    </row>
    <row r="1463" spans="1:6" x14ac:dyDescent="0.2">
      <c r="A1463" s="2">
        <f ca="1">IFERROR(__xludf.DUMMYFUNCTION("""COMPUTED_VALUE"""),44399.6666666666)</f>
        <v>44399.666666666599</v>
      </c>
      <c r="B1463" s="1">
        <f ca="1">IFERROR(__xludf.DUMMYFUNCTION("""COMPUTED_VALUE"""),218.81)</f>
        <v>218.81</v>
      </c>
      <c r="C1463" s="1">
        <f ca="1">IFERROR(__xludf.DUMMYFUNCTION("""COMPUTED_VALUE"""),220.72)</f>
        <v>220.72</v>
      </c>
      <c r="D1463" s="1">
        <f ca="1">IFERROR(__xludf.DUMMYFUNCTION("""COMPUTED_VALUE"""),214.87)</f>
        <v>214.87</v>
      </c>
      <c r="E1463" s="1">
        <f ca="1">IFERROR(__xludf.DUMMYFUNCTION("""COMPUTED_VALUE"""),216.42)</f>
        <v>216.42</v>
      </c>
      <c r="F1463" s="1">
        <f ca="1">IFERROR(__xludf.DUMMYFUNCTION("""COMPUTED_VALUE"""),15105727)</f>
        <v>15105727</v>
      </c>
    </row>
    <row r="1464" spans="1:6" x14ac:dyDescent="0.2">
      <c r="A1464" s="2">
        <f ca="1">IFERROR(__xludf.DUMMYFUNCTION("""COMPUTED_VALUE"""),44400.6666666666)</f>
        <v>44400.666666666599</v>
      </c>
      <c r="B1464" s="1">
        <f ca="1">IFERROR(__xludf.DUMMYFUNCTION("""COMPUTED_VALUE"""),215.45)</f>
        <v>215.45</v>
      </c>
      <c r="C1464" s="1">
        <f ca="1">IFERROR(__xludf.DUMMYFUNCTION("""COMPUTED_VALUE"""),216.27)</f>
        <v>216.27</v>
      </c>
      <c r="D1464" s="1">
        <f ca="1">IFERROR(__xludf.DUMMYFUNCTION("""COMPUTED_VALUE"""),212.43)</f>
        <v>212.43</v>
      </c>
      <c r="E1464" s="1">
        <f ca="1">IFERROR(__xludf.DUMMYFUNCTION("""COMPUTED_VALUE"""),214.46)</f>
        <v>214.46</v>
      </c>
      <c r="F1464" s="1">
        <f ca="1">IFERROR(__xludf.DUMMYFUNCTION("""COMPUTED_VALUE"""),14604944)</f>
        <v>14604944</v>
      </c>
    </row>
    <row r="1465" spans="1:6" x14ac:dyDescent="0.2">
      <c r="A1465" s="2">
        <f ca="1">IFERROR(__xludf.DUMMYFUNCTION("""COMPUTED_VALUE"""),44403.6666666666)</f>
        <v>44403.666666666599</v>
      </c>
      <c r="B1465" s="1">
        <f ca="1">IFERROR(__xludf.DUMMYFUNCTION("""COMPUTED_VALUE"""),216.99)</f>
        <v>216.99</v>
      </c>
      <c r="C1465" s="1">
        <f ca="1">IFERROR(__xludf.DUMMYFUNCTION("""COMPUTED_VALUE"""),222.73)</f>
        <v>222.73</v>
      </c>
      <c r="D1465" s="1">
        <f ca="1">IFERROR(__xludf.DUMMYFUNCTION("""COMPUTED_VALUE"""),215.7)</f>
        <v>215.7</v>
      </c>
      <c r="E1465" s="1">
        <f ca="1">IFERROR(__xludf.DUMMYFUNCTION("""COMPUTED_VALUE"""),219.21)</f>
        <v>219.21</v>
      </c>
      <c r="F1465" s="1">
        <f ca="1">IFERROR(__xludf.DUMMYFUNCTION("""COMPUTED_VALUE"""),25336556)</f>
        <v>25336556</v>
      </c>
    </row>
    <row r="1466" spans="1:6" x14ac:dyDescent="0.2">
      <c r="A1466" s="2">
        <f ca="1">IFERROR(__xludf.DUMMYFUNCTION("""COMPUTED_VALUE"""),44404.6666666666)</f>
        <v>44404.666666666599</v>
      </c>
      <c r="B1466" s="1">
        <f ca="1">IFERROR(__xludf.DUMMYFUNCTION("""COMPUTED_VALUE"""),221.13)</f>
        <v>221.13</v>
      </c>
      <c r="C1466" s="1">
        <f ca="1">IFERROR(__xludf.DUMMYFUNCTION("""COMPUTED_VALUE"""),222.17)</f>
        <v>222.17</v>
      </c>
      <c r="D1466" s="1">
        <f ca="1">IFERROR(__xludf.DUMMYFUNCTION("""COMPUTED_VALUE"""),209.08)</f>
        <v>209.08</v>
      </c>
      <c r="E1466" s="1">
        <f ca="1">IFERROR(__xludf.DUMMYFUNCTION("""COMPUTED_VALUE"""),214.93)</f>
        <v>214.93</v>
      </c>
      <c r="F1466" s="1">
        <f ca="1">IFERROR(__xludf.DUMMYFUNCTION("""COMPUTED_VALUE"""),32813290)</f>
        <v>32813290</v>
      </c>
    </row>
    <row r="1467" spans="1:6" x14ac:dyDescent="0.2">
      <c r="A1467" s="2">
        <f ca="1">IFERROR(__xludf.DUMMYFUNCTION("""COMPUTED_VALUE"""),44405.6666666666)</f>
        <v>44405.666666666599</v>
      </c>
      <c r="B1467" s="1">
        <f ca="1">IFERROR(__xludf.DUMMYFUNCTION("""COMPUTED_VALUE"""),215.67)</f>
        <v>215.67</v>
      </c>
      <c r="C1467" s="1">
        <f ca="1">IFERROR(__xludf.DUMMYFUNCTION("""COMPUTED_VALUE"""),218.32)</f>
        <v>218.32</v>
      </c>
      <c r="D1467" s="1">
        <f ca="1">IFERROR(__xludf.DUMMYFUNCTION("""COMPUTED_VALUE"""),213.13)</f>
        <v>213.13</v>
      </c>
      <c r="E1467" s="1">
        <f ca="1">IFERROR(__xludf.DUMMYFUNCTION("""COMPUTED_VALUE"""),215.66)</f>
        <v>215.66</v>
      </c>
      <c r="F1467" s="1">
        <f ca="1">IFERROR(__xludf.DUMMYFUNCTION("""COMPUTED_VALUE"""),16006596)</f>
        <v>16006596</v>
      </c>
    </row>
    <row r="1468" spans="1:6" x14ac:dyDescent="0.2">
      <c r="A1468" s="2">
        <f ca="1">IFERROR(__xludf.DUMMYFUNCTION("""COMPUTED_VALUE"""),44406.6666666666)</f>
        <v>44406.666666666599</v>
      </c>
      <c r="B1468" s="1">
        <f ca="1">IFERROR(__xludf.DUMMYFUNCTION("""COMPUTED_VALUE"""),216.6)</f>
        <v>216.6</v>
      </c>
      <c r="C1468" s="1">
        <f ca="1">IFERROR(__xludf.DUMMYFUNCTION("""COMPUTED_VALUE"""),227.9)</f>
        <v>227.9</v>
      </c>
      <c r="D1468" s="1">
        <f ca="1">IFERROR(__xludf.DUMMYFUNCTION("""COMPUTED_VALUE"""),216.27)</f>
        <v>216.27</v>
      </c>
      <c r="E1468" s="1">
        <f ca="1">IFERROR(__xludf.DUMMYFUNCTION("""COMPUTED_VALUE"""),225.78)</f>
        <v>225.78</v>
      </c>
      <c r="F1468" s="1">
        <f ca="1">IFERROR(__xludf.DUMMYFUNCTION("""COMPUTED_VALUE"""),30394637)</f>
        <v>30394637</v>
      </c>
    </row>
    <row r="1469" spans="1:6" x14ac:dyDescent="0.2">
      <c r="A1469" s="2">
        <f ca="1">IFERROR(__xludf.DUMMYFUNCTION("""COMPUTED_VALUE"""),44407.6666666666)</f>
        <v>44407.666666666599</v>
      </c>
      <c r="B1469" s="1">
        <f ca="1">IFERROR(__xludf.DUMMYFUNCTION("""COMPUTED_VALUE"""),223.92)</f>
        <v>223.92</v>
      </c>
      <c r="C1469" s="1">
        <f ca="1">IFERROR(__xludf.DUMMYFUNCTION("""COMPUTED_VALUE"""),232.51)</f>
        <v>232.51</v>
      </c>
      <c r="D1469" s="1">
        <f ca="1">IFERROR(__xludf.DUMMYFUNCTION("""COMPUTED_VALUE"""),223)</f>
        <v>223</v>
      </c>
      <c r="E1469" s="1">
        <f ca="1">IFERROR(__xludf.DUMMYFUNCTION("""COMPUTED_VALUE"""),229.07)</f>
        <v>229.07</v>
      </c>
      <c r="F1469" s="1">
        <f ca="1">IFERROR(__xludf.DUMMYFUNCTION("""COMPUTED_VALUE"""),29656411)</f>
        <v>29656411</v>
      </c>
    </row>
    <row r="1470" spans="1:6" x14ac:dyDescent="0.2">
      <c r="A1470" s="2">
        <f ca="1">IFERROR(__xludf.DUMMYFUNCTION("""COMPUTED_VALUE"""),44410.6666666666)</f>
        <v>44410.666666666599</v>
      </c>
      <c r="B1470" s="1">
        <f ca="1">IFERROR(__xludf.DUMMYFUNCTION("""COMPUTED_VALUE"""),233.33)</f>
        <v>233.33</v>
      </c>
      <c r="C1470" s="1">
        <f ca="1">IFERROR(__xludf.DUMMYFUNCTION("""COMPUTED_VALUE"""),242.31)</f>
        <v>242.31</v>
      </c>
      <c r="D1470" s="1">
        <f ca="1">IFERROR(__xludf.DUMMYFUNCTION("""COMPUTED_VALUE"""),232.8)</f>
        <v>232.8</v>
      </c>
      <c r="E1470" s="1">
        <f ca="1">IFERROR(__xludf.DUMMYFUNCTION("""COMPUTED_VALUE"""),236.56)</f>
        <v>236.56</v>
      </c>
      <c r="F1470" s="1">
        <f ca="1">IFERROR(__xludf.DUMMYFUNCTION("""COMPUTED_VALUE"""),33615765)</f>
        <v>33615765</v>
      </c>
    </row>
    <row r="1471" spans="1:6" x14ac:dyDescent="0.2">
      <c r="A1471" s="2">
        <f ca="1">IFERROR(__xludf.DUMMYFUNCTION("""COMPUTED_VALUE"""),44411.6666666666)</f>
        <v>44411.666666666599</v>
      </c>
      <c r="B1471" s="1">
        <f ca="1">IFERROR(__xludf.DUMMYFUNCTION("""COMPUTED_VALUE"""),239.67)</f>
        <v>239.67</v>
      </c>
      <c r="C1471" s="1">
        <f ca="1">IFERROR(__xludf.DUMMYFUNCTION("""COMPUTED_VALUE"""),240.88)</f>
        <v>240.88</v>
      </c>
      <c r="D1471" s="1">
        <f ca="1">IFERROR(__xludf.DUMMYFUNCTION("""COMPUTED_VALUE"""),233.67)</f>
        <v>233.67</v>
      </c>
      <c r="E1471" s="1">
        <f ca="1">IFERROR(__xludf.DUMMYFUNCTION("""COMPUTED_VALUE"""),236.58)</f>
        <v>236.58</v>
      </c>
      <c r="F1471" s="1">
        <f ca="1">IFERROR(__xludf.DUMMYFUNCTION("""COMPUTED_VALUE"""),21620253)</f>
        <v>21620253</v>
      </c>
    </row>
    <row r="1472" spans="1:6" x14ac:dyDescent="0.2">
      <c r="A1472" s="2">
        <f ca="1">IFERROR(__xludf.DUMMYFUNCTION("""COMPUTED_VALUE"""),44412.6666666666)</f>
        <v>44412.666666666599</v>
      </c>
      <c r="B1472" s="1">
        <f ca="1">IFERROR(__xludf.DUMMYFUNCTION("""COMPUTED_VALUE"""),237)</f>
        <v>237</v>
      </c>
      <c r="C1472" s="1">
        <f ca="1">IFERROR(__xludf.DUMMYFUNCTION("""COMPUTED_VALUE"""),241.63)</f>
        <v>241.63</v>
      </c>
      <c r="D1472" s="1">
        <f ca="1">IFERROR(__xludf.DUMMYFUNCTION("""COMPUTED_VALUE"""),236.31)</f>
        <v>236.31</v>
      </c>
      <c r="E1472" s="1">
        <f ca="1">IFERROR(__xludf.DUMMYFUNCTION("""COMPUTED_VALUE"""),236.97)</f>
        <v>236.97</v>
      </c>
      <c r="F1472" s="1">
        <f ca="1">IFERROR(__xludf.DUMMYFUNCTION("""COMPUTED_VALUE"""),17002647)</f>
        <v>17002647</v>
      </c>
    </row>
    <row r="1473" spans="1:6" x14ac:dyDescent="0.2">
      <c r="A1473" s="2">
        <f ca="1">IFERROR(__xludf.DUMMYFUNCTION("""COMPUTED_VALUE"""),44413.6666666666)</f>
        <v>44413.666666666599</v>
      </c>
      <c r="B1473" s="1">
        <f ca="1">IFERROR(__xludf.DUMMYFUNCTION("""COMPUTED_VALUE"""),238.67)</f>
        <v>238.67</v>
      </c>
      <c r="C1473" s="1">
        <f ca="1">IFERROR(__xludf.DUMMYFUNCTION("""COMPUTED_VALUE"""),240.32)</f>
        <v>240.32</v>
      </c>
      <c r="D1473" s="1">
        <f ca="1">IFERROR(__xludf.DUMMYFUNCTION("""COMPUTED_VALUE"""),237.14)</f>
        <v>237.14</v>
      </c>
      <c r="E1473" s="1">
        <f ca="1">IFERROR(__xludf.DUMMYFUNCTION("""COMPUTED_VALUE"""),238.21)</f>
        <v>238.21</v>
      </c>
      <c r="F1473" s="1">
        <f ca="1">IFERROR(__xludf.DUMMYFUNCTION("""COMPUTED_VALUE"""),12919637)</f>
        <v>12919637</v>
      </c>
    </row>
    <row r="1474" spans="1:6" x14ac:dyDescent="0.2">
      <c r="A1474" s="2">
        <f ca="1">IFERROR(__xludf.DUMMYFUNCTION("""COMPUTED_VALUE"""),44414.6666666666)</f>
        <v>44414.666666666599</v>
      </c>
      <c r="B1474" s="1">
        <f ca="1">IFERROR(__xludf.DUMMYFUNCTION("""COMPUTED_VALUE"""),237.3)</f>
        <v>237.3</v>
      </c>
      <c r="C1474" s="1">
        <f ca="1">IFERROR(__xludf.DUMMYFUNCTION("""COMPUTED_VALUE"""),238.78)</f>
        <v>238.78</v>
      </c>
      <c r="D1474" s="1">
        <f ca="1">IFERROR(__xludf.DUMMYFUNCTION("""COMPUTED_VALUE"""),232.54)</f>
        <v>232.54</v>
      </c>
      <c r="E1474" s="1">
        <f ca="1">IFERROR(__xludf.DUMMYFUNCTION("""COMPUTED_VALUE"""),233.03)</f>
        <v>233.03</v>
      </c>
      <c r="F1474" s="1">
        <f ca="1">IFERROR(__xludf.DUMMYFUNCTION("""COMPUTED_VALUE"""),15623049)</f>
        <v>15623049</v>
      </c>
    </row>
    <row r="1475" spans="1:6" x14ac:dyDescent="0.2">
      <c r="A1475" s="2">
        <f ca="1">IFERROR(__xludf.DUMMYFUNCTION("""COMPUTED_VALUE"""),44417.6666666666)</f>
        <v>44417.666666666599</v>
      </c>
      <c r="B1475" s="1">
        <f ca="1">IFERROR(__xludf.DUMMYFUNCTION("""COMPUTED_VALUE"""),236.72)</f>
        <v>236.72</v>
      </c>
      <c r="C1475" s="1">
        <f ca="1">IFERROR(__xludf.DUMMYFUNCTION("""COMPUTED_VALUE"""),239.68)</f>
        <v>239.68</v>
      </c>
      <c r="D1475" s="1">
        <f ca="1">IFERROR(__xludf.DUMMYFUNCTION("""COMPUTED_VALUE"""),235.04)</f>
        <v>235.04</v>
      </c>
      <c r="E1475" s="1">
        <f ca="1">IFERROR(__xludf.DUMMYFUNCTION("""COMPUTED_VALUE"""),237.92)</f>
        <v>237.92</v>
      </c>
      <c r="F1475" s="1">
        <f ca="1">IFERROR(__xludf.DUMMYFUNCTION("""COMPUTED_VALUE"""),14715349)</f>
        <v>14715349</v>
      </c>
    </row>
    <row r="1476" spans="1:6" x14ac:dyDescent="0.2">
      <c r="A1476" s="2">
        <f ca="1">IFERROR(__xludf.DUMMYFUNCTION("""COMPUTED_VALUE"""),44418.6666666666)</f>
        <v>44418.666666666599</v>
      </c>
      <c r="B1476" s="1">
        <f ca="1">IFERROR(__xludf.DUMMYFUNCTION("""COMPUTED_VALUE"""),238)</f>
        <v>238</v>
      </c>
      <c r="C1476" s="1">
        <f ca="1">IFERROR(__xludf.DUMMYFUNCTION("""COMPUTED_VALUE"""),238.86)</f>
        <v>238.86</v>
      </c>
      <c r="D1476" s="1">
        <f ca="1">IFERROR(__xludf.DUMMYFUNCTION("""COMPUTED_VALUE"""),233.96)</f>
        <v>233.96</v>
      </c>
      <c r="E1476" s="1">
        <f ca="1">IFERROR(__xludf.DUMMYFUNCTION("""COMPUTED_VALUE"""),236.66)</f>
        <v>236.66</v>
      </c>
      <c r="F1476" s="1">
        <f ca="1">IFERROR(__xludf.DUMMYFUNCTION("""COMPUTED_VALUE"""),13432305)</f>
        <v>13432305</v>
      </c>
    </row>
    <row r="1477" spans="1:6" x14ac:dyDescent="0.2">
      <c r="A1477" s="2">
        <f ca="1">IFERROR(__xludf.DUMMYFUNCTION("""COMPUTED_VALUE"""),44419.6666666666)</f>
        <v>44419.666666666599</v>
      </c>
      <c r="B1477" s="1">
        <f ca="1">IFERROR(__xludf.DUMMYFUNCTION("""COMPUTED_VALUE"""),237.57)</f>
        <v>237.57</v>
      </c>
      <c r="C1477" s="1">
        <f ca="1">IFERROR(__xludf.DUMMYFUNCTION("""COMPUTED_VALUE"""),238.39)</f>
        <v>238.39</v>
      </c>
      <c r="D1477" s="1">
        <f ca="1">IFERROR(__xludf.DUMMYFUNCTION("""COMPUTED_VALUE"""),234.74)</f>
        <v>234.74</v>
      </c>
      <c r="E1477" s="1">
        <f ca="1">IFERROR(__xludf.DUMMYFUNCTION("""COMPUTED_VALUE"""),235.94)</f>
        <v>235.94</v>
      </c>
      <c r="F1477" s="1">
        <f ca="1">IFERROR(__xludf.DUMMYFUNCTION("""COMPUTED_VALUE"""),9800558)</f>
        <v>9800558</v>
      </c>
    </row>
    <row r="1478" spans="1:6" x14ac:dyDescent="0.2">
      <c r="A1478" s="2">
        <f ca="1">IFERROR(__xludf.DUMMYFUNCTION("""COMPUTED_VALUE"""),44420.6666666666)</f>
        <v>44420.666666666599</v>
      </c>
      <c r="B1478" s="1">
        <f ca="1">IFERROR(__xludf.DUMMYFUNCTION("""COMPUTED_VALUE"""),235.45)</f>
        <v>235.45</v>
      </c>
      <c r="C1478" s="1">
        <f ca="1">IFERROR(__xludf.DUMMYFUNCTION("""COMPUTED_VALUE"""),240.93)</f>
        <v>240.93</v>
      </c>
      <c r="D1478" s="1">
        <f ca="1">IFERROR(__xludf.DUMMYFUNCTION("""COMPUTED_VALUE"""),233.13)</f>
        <v>233.13</v>
      </c>
      <c r="E1478" s="1">
        <f ca="1">IFERROR(__xludf.DUMMYFUNCTION("""COMPUTED_VALUE"""),240.75)</f>
        <v>240.75</v>
      </c>
      <c r="F1478" s="1">
        <f ca="1">IFERROR(__xludf.DUMMYFUNCTION("""COMPUTED_VALUE"""),17681686)</f>
        <v>17681686</v>
      </c>
    </row>
    <row r="1479" spans="1:6" x14ac:dyDescent="0.2">
      <c r="A1479" s="2">
        <f ca="1">IFERROR(__xludf.DUMMYFUNCTION("""COMPUTED_VALUE"""),44421.6666666666)</f>
        <v>44421.666666666599</v>
      </c>
      <c r="B1479" s="1">
        <f ca="1">IFERROR(__xludf.DUMMYFUNCTION("""COMPUTED_VALUE"""),241.24)</f>
        <v>241.24</v>
      </c>
      <c r="C1479" s="1">
        <f ca="1">IFERROR(__xludf.DUMMYFUNCTION("""COMPUTED_VALUE"""),243.3)</f>
        <v>243.3</v>
      </c>
      <c r="D1479" s="1">
        <f ca="1">IFERROR(__xludf.DUMMYFUNCTION("""COMPUTED_VALUE"""),238.11)</f>
        <v>238.11</v>
      </c>
      <c r="E1479" s="1">
        <f ca="1">IFERROR(__xludf.DUMMYFUNCTION("""COMPUTED_VALUE"""),239.06)</f>
        <v>239.06</v>
      </c>
      <c r="F1479" s="1">
        <f ca="1">IFERROR(__xludf.DUMMYFUNCTION("""COMPUTED_VALUE"""),16731467)</f>
        <v>16731467</v>
      </c>
    </row>
    <row r="1480" spans="1:6" x14ac:dyDescent="0.2">
      <c r="A1480" s="2">
        <f ca="1">IFERROR(__xludf.DUMMYFUNCTION("""COMPUTED_VALUE"""),44424.6666666666)</f>
        <v>44424.666666666599</v>
      </c>
      <c r="B1480" s="1">
        <f ca="1">IFERROR(__xludf.DUMMYFUNCTION("""COMPUTED_VALUE"""),235.02)</f>
        <v>235.02</v>
      </c>
      <c r="C1480" s="1">
        <f ca="1">IFERROR(__xludf.DUMMYFUNCTION("""COMPUTED_VALUE"""),236.5)</f>
        <v>236.5</v>
      </c>
      <c r="D1480" s="1">
        <f ca="1">IFERROR(__xludf.DUMMYFUNCTION("""COMPUTED_VALUE"""),225.47)</f>
        <v>225.47</v>
      </c>
      <c r="E1480" s="1">
        <f ca="1">IFERROR(__xludf.DUMMYFUNCTION("""COMPUTED_VALUE"""),228.72)</f>
        <v>228.72</v>
      </c>
      <c r="F1480" s="1">
        <f ca="1">IFERROR(__xludf.DUMMYFUNCTION("""COMPUTED_VALUE"""),23103303)</f>
        <v>23103303</v>
      </c>
    </row>
    <row r="1481" spans="1:6" x14ac:dyDescent="0.2">
      <c r="A1481" s="2">
        <f ca="1">IFERROR(__xludf.DUMMYFUNCTION("""COMPUTED_VALUE"""),44425.6666666666)</f>
        <v>44425.666666666599</v>
      </c>
      <c r="B1481" s="1">
        <f ca="1">IFERROR(__xludf.DUMMYFUNCTION("""COMPUTED_VALUE"""),224.22)</f>
        <v>224.22</v>
      </c>
      <c r="C1481" s="1">
        <f ca="1">IFERROR(__xludf.DUMMYFUNCTION("""COMPUTED_VALUE"""),224.86)</f>
        <v>224.86</v>
      </c>
      <c r="D1481" s="1">
        <f ca="1">IFERROR(__xludf.DUMMYFUNCTION("""COMPUTED_VALUE"""),216.28)</f>
        <v>216.28</v>
      </c>
      <c r="E1481" s="1">
        <f ca="1">IFERROR(__xludf.DUMMYFUNCTION("""COMPUTED_VALUE"""),221.9)</f>
        <v>221.9</v>
      </c>
      <c r="F1481" s="1">
        <f ca="1">IFERROR(__xludf.DUMMYFUNCTION("""COMPUTED_VALUE"""),23721279)</f>
        <v>23721279</v>
      </c>
    </row>
    <row r="1482" spans="1:6" x14ac:dyDescent="0.2">
      <c r="A1482" s="2">
        <f ca="1">IFERROR(__xludf.DUMMYFUNCTION("""COMPUTED_VALUE"""),44426.6666666666)</f>
        <v>44426.666666666599</v>
      </c>
      <c r="B1482" s="1">
        <f ca="1">IFERROR(__xludf.DUMMYFUNCTION("""COMPUTED_VALUE"""),223.25)</f>
        <v>223.25</v>
      </c>
      <c r="C1482" s="1">
        <f ca="1">IFERROR(__xludf.DUMMYFUNCTION("""COMPUTED_VALUE"""),231.92)</f>
        <v>231.92</v>
      </c>
      <c r="D1482" s="1">
        <f ca="1">IFERROR(__xludf.DUMMYFUNCTION("""COMPUTED_VALUE"""),223.12)</f>
        <v>223.12</v>
      </c>
      <c r="E1482" s="1">
        <f ca="1">IFERROR(__xludf.DUMMYFUNCTION("""COMPUTED_VALUE"""),229.66)</f>
        <v>229.66</v>
      </c>
      <c r="F1482" s="1">
        <f ca="1">IFERROR(__xludf.DUMMYFUNCTION("""COMPUTED_VALUE"""),20349375)</f>
        <v>20349375</v>
      </c>
    </row>
    <row r="1483" spans="1:6" x14ac:dyDescent="0.2">
      <c r="A1483" s="2">
        <f ca="1">IFERROR(__xludf.DUMMYFUNCTION("""COMPUTED_VALUE"""),44427.6666666666)</f>
        <v>44427.666666666599</v>
      </c>
      <c r="B1483" s="1">
        <f ca="1">IFERROR(__xludf.DUMMYFUNCTION("""COMPUTED_VALUE"""),226.07)</f>
        <v>226.07</v>
      </c>
      <c r="C1483" s="1">
        <f ca="1">IFERROR(__xludf.DUMMYFUNCTION("""COMPUTED_VALUE"""),228.85)</f>
        <v>228.85</v>
      </c>
      <c r="D1483" s="1">
        <f ca="1">IFERROR(__xludf.DUMMYFUNCTION("""COMPUTED_VALUE"""),222.53)</f>
        <v>222.53</v>
      </c>
      <c r="E1483" s="1">
        <f ca="1">IFERROR(__xludf.DUMMYFUNCTION("""COMPUTED_VALUE"""),224.49)</f>
        <v>224.49</v>
      </c>
      <c r="F1483" s="1">
        <f ca="1">IFERROR(__xludf.DUMMYFUNCTION("""COMPUTED_VALUE"""),14313486)</f>
        <v>14313486</v>
      </c>
    </row>
    <row r="1484" spans="1:6" x14ac:dyDescent="0.2">
      <c r="A1484" s="2">
        <f ca="1">IFERROR(__xludf.DUMMYFUNCTION("""COMPUTED_VALUE"""),44428.6666666666)</f>
        <v>44428.666666666599</v>
      </c>
      <c r="B1484" s="1">
        <f ca="1">IFERROR(__xludf.DUMMYFUNCTION("""COMPUTED_VALUE"""),227.62)</f>
        <v>227.62</v>
      </c>
      <c r="C1484" s="1">
        <f ca="1">IFERROR(__xludf.DUMMYFUNCTION("""COMPUTED_VALUE"""),230.71)</f>
        <v>230.71</v>
      </c>
      <c r="D1484" s="1">
        <f ca="1">IFERROR(__xludf.DUMMYFUNCTION("""COMPUTED_VALUE"""),224.57)</f>
        <v>224.57</v>
      </c>
      <c r="E1484" s="1">
        <f ca="1">IFERROR(__xludf.DUMMYFUNCTION("""COMPUTED_VALUE"""),226.75)</f>
        <v>226.75</v>
      </c>
      <c r="F1484" s="1">
        <f ca="1">IFERROR(__xludf.DUMMYFUNCTION("""COMPUTED_VALUE"""),14841865)</f>
        <v>14841865</v>
      </c>
    </row>
    <row r="1485" spans="1:6" x14ac:dyDescent="0.2">
      <c r="A1485" s="2">
        <f ca="1">IFERROR(__xludf.DUMMYFUNCTION("""COMPUTED_VALUE"""),44431.6666666666)</f>
        <v>44431.666666666599</v>
      </c>
      <c r="B1485" s="1">
        <f ca="1">IFERROR(__xludf.DUMMYFUNCTION("""COMPUTED_VALUE"""),228.48)</f>
        <v>228.48</v>
      </c>
      <c r="C1485" s="1">
        <f ca="1">IFERROR(__xludf.DUMMYFUNCTION("""COMPUTED_VALUE"""),237.38)</f>
        <v>237.38</v>
      </c>
      <c r="D1485" s="1">
        <f ca="1">IFERROR(__xludf.DUMMYFUNCTION("""COMPUTED_VALUE"""),226.92)</f>
        <v>226.92</v>
      </c>
      <c r="E1485" s="1">
        <f ca="1">IFERROR(__xludf.DUMMYFUNCTION("""COMPUTED_VALUE"""),235.43)</f>
        <v>235.43</v>
      </c>
      <c r="F1485" s="1">
        <f ca="1">IFERROR(__xludf.DUMMYFUNCTION("""COMPUTED_VALUE"""),20264859)</f>
        <v>20264859</v>
      </c>
    </row>
    <row r="1486" spans="1:6" x14ac:dyDescent="0.2">
      <c r="A1486" s="2">
        <f ca="1">IFERROR(__xludf.DUMMYFUNCTION("""COMPUTED_VALUE"""),44432.6666666666)</f>
        <v>44432.666666666599</v>
      </c>
      <c r="B1486" s="1">
        <f ca="1">IFERROR(__xludf.DUMMYFUNCTION("""COMPUTED_VALUE"""),236.89)</f>
        <v>236.89</v>
      </c>
      <c r="C1486" s="1">
        <f ca="1">IFERROR(__xludf.DUMMYFUNCTION("""COMPUTED_VALUE"""),238.41)</f>
        <v>238.41</v>
      </c>
      <c r="D1486" s="1">
        <f ca="1">IFERROR(__xludf.DUMMYFUNCTION("""COMPUTED_VALUE"""),234.21)</f>
        <v>234.21</v>
      </c>
      <c r="E1486" s="1">
        <f ca="1">IFERROR(__xludf.DUMMYFUNCTION("""COMPUTED_VALUE"""),236.16)</f>
        <v>236.16</v>
      </c>
      <c r="F1486" s="1">
        <f ca="1">IFERROR(__xludf.DUMMYFUNCTION("""COMPUTED_VALUE"""),13083071)</f>
        <v>13083071</v>
      </c>
    </row>
    <row r="1487" spans="1:6" x14ac:dyDescent="0.2">
      <c r="A1487" s="2">
        <f ca="1">IFERROR(__xludf.DUMMYFUNCTION("""COMPUTED_VALUE"""),44433.6666666666)</f>
        <v>44433.666666666599</v>
      </c>
      <c r="B1487" s="1">
        <f ca="1">IFERROR(__xludf.DUMMYFUNCTION("""COMPUTED_VALUE"""),235.68)</f>
        <v>235.68</v>
      </c>
      <c r="C1487" s="1">
        <f ca="1">IFERROR(__xludf.DUMMYFUNCTION("""COMPUTED_VALUE"""),238.99)</f>
        <v>238.99</v>
      </c>
      <c r="D1487" s="1">
        <f ca="1">IFERROR(__xludf.DUMMYFUNCTION("""COMPUTED_VALUE"""),234.67)</f>
        <v>234.67</v>
      </c>
      <c r="E1487" s="1">
        <f ca="1">IFERROR(__xludf.DUMMYFUNCTION("""COMPUTED_VALUE"""),237.07)</f>
        <v>237.07</v>
      </c>
      <c r="F1487" s="1">
        <f ca="1">IFERROR(__xludf.DUMMYFUNCTION("""COMPUTED_VALUE"""),12645562)</f>
        <v>12645562</v>
      </c>
    </row>
    <row r="1488" spans="1:6" x14ac:dyDescent="0.2">
      <c r="A1488" s="2">
        <f ca="1">IFERROR(__xludf.DUMMYFUNCTION("""COMPUTED_VALUE"""),44434.6666666666)</f>
        <v>44434.666666666599</v>
      </c>
      <c r="B1488" s="1">
        <f ca="1">IFERROR(__xludf.DUMMYFUNCTION("""COMPUTED_VALUE"""),236.1)</f>
        <v>236.1</v>
      </c>
      <c r="C1488" s="1">
        <f ca="1">IFERROR(__xludf.DUMMYFUNCTION("""COMPUTED_VALUE"""),238.47)</f>
        <v>238.47</v>
      </c>
      <c r="D1488" s="1">
        <f ca="1">IFERROR(__xludf.DUMMYFUNCTION("""COMPUTED_VALUE"""),232.54)</f>
        <v>232.54</v>
      </c>
      <c r="E1488" s="1">
        <f ca="1">IFERROR(__xludf.DUMMYFUNCTION("""COMPUTED_VALUE"""),233.72)</f>
        <v>233.72</v>
      </c>
      <c r="F1488" s="1">
        <f ca="1">IFERROR(__xludf.DUMMYFUNCTION("""COMPUTED_VALUE"""),13214292)</f>
        <v>13214292</v>
      </c>
    </row>
    <row r="1489" spans="1:6" x14ac:dyDescent="0.2">
      <c r="A1489" s="2">
        <f ca="1">IFERROR(__xludf.DUMMYFUNCTION("""COMPUTED_VALUE"""),44435.6666666666)</f>
        <v>44435.666666666599</v>
      </c>
      <c r="B1489" s="1">
        <f ca="1">IFERROR(__xludf.DUMMYFUNCTION("""COMPUTED_VALUE"""),235)</f>
        <v>235</v>
      </c>
      <c r="C1489" s="1">
        <f ca="1">IFERROR(__xludf.DUMMYFUNCTION("""COMPUTED_VALUE"""),238.33)</f>
        <v>238.33</v>
      </c>
      <c r="D1489" s="1">
        <f ca="1">IFERROR(__xludf.DUMMYFUNCTION("""COMPUTED_VALUE"""),234.03)</f>
        <v>234.03</v>
      </c>
      <c r="E1489" s="1">
        <f ca="1">IFERROR(__xludf.DUMMYFUNCTION("""COMPUTED_VALUE"""),237.31)</f>
        <v>237.31</v>
      </c>
      <c r="F1489" s="1">
        <f ca="1">IFERROR(__xludf.DUMMYFUNCTION("""COMPUTED_VALUE"""),13833763)</f>
        <v>13833763</v>
      </c>
    </row>
    <row r="1490" spans="1:6" x14ac:dyDescent="0.2">
      <c r="A1490" s="2">
        <f ca="1">IFERROR(__xludf.DUMMYFUNCTION("""COMPUTED_VALUE"""),44438.6666666666)</f>
        <v>44438.666666666599</v>
      </c>
      <c r="B1490" s="1">
        <f ca="1">IFERROR(__xludf.DUMMYFUNCTION("""COMPUTED_VALUE"""),238.24)</f>
        <v>238.24</v>
      </c>
      <c r="C1490" s="1">
        <f ca="1">IFERROR(__xludf.DUMMYFUNCTION("""COMPUTED_VALUE"""),243.67)</f>
        <v>243.67</v>
      </c>
      <c r="D1490" s="1">
        <f ca="1">IFERROR(__xludf.DUMMYFUNCTION("""COMPUTED_VALUE"""),237.58)</f>
        <v>237.58</v>
      </c>
      <c r="E1490" s="1">
        <f ca="1">IFERROR(__xludf.DUMMYFUNCTION("""COMPUTED_VALUE"""),243.64)</f>
        <v>243.64</v>
      </c>
      <c r="F1490" s="1">
        <f ca="1">IFERROR(__xludf.DUMMYFUNCTION("""COMPUTED_VALUE"""),18604220)</f>
        <v>18604220</v>
      </c>
    </row>
    <row r="1491" spans="1:6" x14ac:dyDescent="0.2">
      <c r="A1491" s="2">
        <f ca="1">IFERROR(__xludf.DUMMYFUNCTION("""COMPUTED_VALUE"""),44439.6666666666)</f>
        <v>44439.666666666599</v>
      </c>
      <c r="B1491" s="1">
        <f ca="1">IFERROR(__xludf.DUMMYFUNCTION("""COMPUTED_VALUE"""),244.33)</f>
        <v>244.33</v>
      </c>
      <c r="C1491" s="1">
        <f ca="1">IFERROR(__xludf.DUMMYFUNCTION("""COMPUTED_VALUE"""),246.8)</f>
        <v>246.8</v>
      </c>
      <c r="D1491" s="1">
        <f ca="1">IFERROR(__xludf.DUMMYFUNCTION("""COMPUTED_VALUE"""),242.15)</f>
        <v>242.15</v>
      </c>
      <c r="E1491" s="1">
        <f ca="1">IFERROR(__xludf.DUMMYFUNCTION("""COMPUTED_VALUE"""),245.24)</f>
        <v>245.24</v>
      </c>
      <c r="F1491" s="1">
        <f ca="1">IFERROR(__xludf.DUMMYFUNCTION("""COMPUTED_VALUE"""),20855436)</f>
        <v>20855436</v>
      </c>
    </row>
    <row r="1492" spans="1:6" x14ac:dyDescent="0.2">
      <c r="A1492" s="2">
        <f ca="1">IFERROR(__xludf.DUMMYFUNCTION("""COMPUTED_VALUE"""),44440.6666666666)</f>
        <v>44440.666666666599</v>
      </c>
      <c r="B1492" s="1">
        <f ca="1">IFERROR(__xludf.DUMMYFUNCTION("""COMPUTED_VALUE"""),244.69)</f>
        <v>244.69</v>
      </c>
      <c r="C1492" s="1">
        <f ca="1">IFERROR(__xludf.DUMMYFUNCTION("""COMPUTED_VALUE"""),247.33)</f>
        <v>247.33</v>
      </c>
      <c r="D1492" s="1">
        <f ca="1">IFERROR(__xludf.DUMMYFUNCTION("""COMPUTED_VALUE"""),243.76)</f>
        <v>243.76</v>
      </c>
      <c r="E1492" s="1">
        <f ca="1">IFERROR(__xludf.DUMMYFUNCTION("""COMPUTED_VALUE"""),244.7)</f>
        <v>244.7</v>
      </c>
      <c r="F1492" s="1">
        <f ca="1">IFERROR(__xludf.DUMMYFUNCTION("""COMPUTED_VALUE"""),13204335)</f>
        <v>13204335</v>
      </c>
    </row>
    <row r="1493" spans="1:6" x14ac:dyDescent="0.2">
      <c r="A1493" s="2">
        <f ca="1">IFERROR(__xludf.DUMMYFUNCTION("""COMPUTED_VALUE"""),44441.6666666666)</f>
        <v>44441.666666666599</v>
      </c>
      <c r="B1493" s="1">
        <f ca="1">IFERROR(__xludf.DUMMYFUNCTION("""COMPUTED_VALUE"""),244.83)</f>
        <v>244.83</v>
      </c>
      <c r="C1493" s="1">
        <f ca="1">IFERROR(__xludf.DUMMYFUNCTION("""COMPUTED_VALUE"""),246.99)</f>
        <v>246.99</v>
      </c>
      <c r="D1493" s="1">
        <f ca="1">IFERROR(__xludf.DUMMYFUNCTION("""COMPUTED_VALUE"""),243.51)</f>
        <v>243.51</v>
      </c>
      <c r="E1493" s="1">
        <f ca="1">IFERROR(__xludf.DUMMYFUNCTION("""COMPUTED_VALUE"""),244.13)</f>
        <v>244.13</v>
      </c>
      <c r="F1493" s="1">
        <f ca="1">IFERROR(__xludf.DUMMYFUNCTION("""COMPUTED_VALUE"""),12796739)</f>
        <v>12796739</v>
      </c>
    </row>
    <row r="1494" spans="1:6" x14ac:dyDescent="0.2">
      <c r="A1494" s="2">
        <f ca="1">IFERROR(__xludf.DUMMYFUNCTION("""COMPUTED_VALUE"""),44442.6666666666)</f>
        <v>44442.666666666599</v>
      </c>
      <c r="B1494" s="1">
        <f ca="1">IFERROR(__xludf.DUMMYFUNCTION("""COMPUTED_VALUE"""),244.08)</f>
        <v>244.08</v>
      </c>
      <c r="C1494" s="1">
        <f ca="1">IFERROR(__xludf.DUMMYFUNCTION("""COMPUTED_VALUE"""),244.67)</f>
        <v>244.67</v>
      </c>
      <c r="D1494" s="1">
        <f ca="1">IFERROR(__xludf.DUMMYFUNCTION("""COMPUTED_VALUE"""),241.4)</f>
        <v>241.4</v>
      </c>
      <c r="E1494" s="1">
        <f ca="1">IFERROR(__xludf.DUMMYFUNCTION("""COMPUTED_VALUE"""),244.52)</f>
        <v>244.52</v>
      </c>
      <c r="F1494" s="1">
        <f ca="1">IFERROR(__xludf.DUMMYFUNCTION("""COMPUTED_VALUE"""),15271045)</f>
        <v>15271045</v>
      </c>
    </row>
    <row r="1495" spans="1:6" x14ac:dyDescent="0.2">
      <c r="A1495" s="2">
        <f ca="1">IFERROR(__xludf.DUMMYFUNCTION("""COMPUTED_VALUE"""),44446.6666666666)</f>
        <v>44446.666666666599</v>
      </c>
      <c r="B1495" s="1">
        <f ca="1">IFERROR(__xludf.DUMMYFUNCTION("""COMPUTED_VALUE"""),246.67)</f>
        <v>246.67</v>
      </c>
      <c r="C1495" s="1">
        <f ca="1">IFERROR(__xludf.DUMMYFUNCTION("""COMPUTED_VALUE"""),253.4)</f>
        <v>253.4</v>
      </c>
      <c r="D1495" s="1">
        <f ca="1">IFERROR(__xludf.DUMMYFUNCTION("""COMPUTED_VALUE"""),246.42)</f>
        <v>246.42</v>
      </c>
      <c r="E1495" s="1">
        <f ca="1">IFERROR(__xludf.DUMMYFUNCTION("""COMPUTED_VALUE"""),250.97)</f>
        <v>250.97</v>
      </c>
      <c r="F1495" s="1">
        <f ca="1">IFERROR(__xludf.DUMMYFUNCTION("""COMPUTED_VALUE"""),20039825)</f>
        <v>20039825</v>
      </c>
    </row>
    <row r="1496" spans="1:6" x14ac:dyDescent="0.2">
      <c r="A1496" s="2">
        <f ca="1">IFERROR(__xludf.DUMMYFUNCTION("""COMPUTED_VALUE"""),44447.6666666666)</f>
        <v>44447.666666666599</v>
      </c>
      <c r="B1496" s="1">
        <f ca="1">IFERROR(__xludf.DUMMYFUNCTION("""COMPUTED_VALUE"""),253.86)</f>
        <v>253.86</v>
      </c>
      <c r="C1496" s="1">
        <f ca="1">IFERROR(__xludf.DUMMYFUNCTION("""COMPUTED_VALUE"""),254.82)</f>
        <v>254.82</v>
      </c>
      <c r="D1496" s="1">
        <f ca="1">IFERROR(__xludf.DUMMYFUNCTION("""COMPUTED_VALUE"""),246.92)</f>
        <v>246.92</v>
      </c>
      <c r="E1496" s="1">
        <f ca="1">IFERROR(__xludf.DUMMYFUNCTION("""COMPUTED_VALUE"""),251.29)</f>
        <v>251.29</v>
      </c>
      <c r="F1496" s="1">
        <f ca="1">IFERROR(__xludf.DUMMYFUNCTION("""COMPUTED_VALUE"""),18793036)</f>
        <v>18793036</v>
      </c>
    </row>
    <row r="1497" spans="1:6" x14ac:dyDescent="0.2">
      <c r="A1497" s="2">
        <f ca="1">IFERROR(__xludf.DUMMYFUNCTION("""COMPUTED_VALUE"""),44448.6666666666)</f>
        <v>44448.666666666599</v>
      </c>
      <c r="B1497" s="1">
        <f ca="1">IFERROR(__xludf.DUMMYFUNCTION("""COMPUTED_VALUE"""),251.14)</f>
        <v>251.14</v>
      </c>
      <c r="C1497" s="1">
        <f ca="1">IFERROR(__xludf.DUMMYFUNCTION("""COMPUTED_VALUE"""),254.03)</f>
        <v>254.03</v>
      </c>
      <c r="D1497" s="1">
        <f ca="1">IFERROR(__xludf.DUMMYFUNCTION("""COMPUTED_VALUE"""),250.54)</f>
        <v>250.54</v>
      </c>
      <c r="E1497" s="1">
        <f ca="1">IFERROR(__xludf.DUMMYFUNCTION("""COMPUTED_VALUE"""),251.62)</f>
        <v>251.62</v>
      </c>
      <c r="F1497" s="1">
        <f ca="1">IFERROR(__xludf.DUMMYFUNCTION("""COMPUTED_VALUE"""),14077731)</f>
        <v>14077731</v>
      </c>
    </row>
    <row r="1498" spans="1:6" x14ac:dyDescent="0.2">
      <c r="A1498" s="2">
        <f ca="1">IFERROR(__xludf.DUMMYFUNCTION("""COMPUTED_VALUE"""),44449.6666666666)</f>
        <v>44449.666666666599</v>
      </c>
      <c r="B1498" s="1">
        <f ca="1">IFERROR(__xludf.DUMMYFUNCTION("""COMPUTED_VALUE"""),253.2)</f>
        <v>253.2</v>
      </c>
      <c r="C1498" s="1">
        <f ca="1">IFERROR(__xludf.DUMMYFUNCTION("""COMPUTED_VALUE"""),254.2)</f>
        <v>254.2</v>
      </c>
      <c r="D1498" s="1">
        <f ca="1">IFERROR(__xludf.DUMMYFUNCTION("""COMPUTED_VALUE"""),244.84)</f>
        <v>244.84</v>
      </c>
      <c r="E1498" s="1">
        <f ca="1">IFERROR(__xludf.DUMMYFUNCTION("""COMPUTED_VALUE"""),245.42)</f>
        <v>245.42</v>
      </c>
      <c r="F1498" s="1">
        <f ca="1">IFERROR(__xludf.DUMMYFUNCTION("""COMPUTED_VALUE"""),15184170)</f>
        <v>15184170</v>
      </c>
    </row>
    <row r="1499" spans="1:6" x14ac:dyDescent="0.2">
      <c r="A1499" s="2">
        <f ca="1">IFERROR(__xludf.DUMMYFUNCTION("""COMPUTED_VALUE"""),44452.6666666666)</f>
        <v>44452.666666666599</v>
      </c>
      <c r="B1499" s="1">
        <f ca="1">IFERROR(__xludf.DUMMYFUNCTION("""COMPUTED_VALUE"""),246.74)</f>
        <v>246.74</v>
      </c>
      <c r="C1499" s="1">
        <f ca="1">IFERROR(__xludf.DUMMYFUNCTION("""COMPUTED_VALUE"""),248.26)</f>
        <v>248.26</v>
      </c>
      <c r="D1499" s="1">
        <f ca="1">IFERROR(__xludf.DUMMYFUNCTION("""COMPUTED_VALUE"""),236.28)</f>
        <v>236.28</v>
      </c>
      <c r="E1499" s="1">
        <f ca="1">IFERROR(__xludf.DUMMYFUNCTION("""COMPUTED_VALUE"""),247.67)</f>
        <v>247.67</v>
      </c>
      <c r="F1499" s="1">
        <f ca="1">IFERROR(__xludf.DUMMYFUNCTION("""COMPUTED_VALUE"""),22952482)</f>
        <v>22952482</v>
      </c>
    </row>
    <row r="1500" spans="1:6" x14ac:dyDescent="0.2">
      <c r="A1500" s="2">
        <f ca="1">IFERROR(__xludf.DUMMYFUNCTION("""COMPUTED_VALUE"""),44453.6666666666)</f>
        <v>44453.666666666599</v>
      </c>
      <c r="B1500" s="1">
        <f ca="1">IFERROR(__xludf.DUMMYFUNCTION("""COMPUTED_VALUE"""),247.52)</f>
        <v>247.52</v>
      </c>
      <c r="C1500" s="1">
        <f ca="1">IFERROR(__xludf.DUMMYFUNCTION("""COMPUTED_VALUE"""),251.49)</f>
        <v>251.49</v>
      </c>
      <c r="D1500" s="1">
        <f ca="1">IFERROR(__xludf.DUMMYFUNCTION("""COMPUTED_VALUE"""),245.47)</f>
        <v>245.47</v>
      </c>
      <c r="E1500" s="1">
        <f ca="1">IFERROR(__xludf.DUMMYFUNCTION("""COMPUTED_VALUE"""),248.16)</f>
        <v>248.16</v>
      </c>
      <c r="F1500" s="1">
        <f ca="1">IFERROR(__xludf.DUMMYFUNCTION("""COMPUTED_VALUE"""),18524881)</f>
        <v>18524881</v>
      </c>
    </row>
    <row r="1501" spans="1:6" x14ac:dyDescent="0.2">
      <c r="A1501" s="2">
        <f ca="1">IFERROR(__xludf.DUMMYFUNCTION("""COMPUTED_VALUE"""),44454.6666666666)</f>
        <v>44454.666666666599</v>
      </c>
      <c r="B1501" s="1">
        <f ca="1">IFERROR(__xludf.DUMMYFUNCTION("""COMPUTED_VALUE"""),248.33)</f>
        <v>248.33</v>
      </c>
      <c r="C1501" s="1">
        <f ca="1">IFERROR(__xludf.DUMMYFUNCTION("""COMPUTED_VALUE"""),252.29)</f>
        <v>252.29</v>
      </c>
      <c r="D1501" s="1">
        <f ca="1">IFERROR(__xludf.DUMMYFUNCTION("""COMPUTED_VALUE"""),246.12)</f>
        <v>246.12</v>
      </c>
      <c r="E1501" s="1">
        <f ca="1">IFERROR(__xludf.DUMMYFUNCTION("""COMPUTED_VALUE"""),251.94)</f>
        <v>251.94</v>
      </c>
      <c r="F1501" s="1">
        <f ca="1">IFERROR(__xludf.DUMMYFUNCTION("""COMPUTED_VALUE"""),15357685)</f>
        <v>15357685</v>
      </c>
    </row>
    <row r="1502" spans="1:6" x14ac:dyDescent="0.2">
      <c r="A1502" s="2">
        <f ca="1">IFERROR(__xludf.DUMMYFUNCTION("""COMPUTED_VALUE"""),44455.6666666666)</f>
        <v>44455.666666666599</v>
      </c>
      <c r="B1502" s="1">
        <f ca="1">IFERROR(__xludf.DUMMYFUNCTION("""COMPUTED_VALUE"""),250.94)</f>
        <v>250.94</v>
      </c>
      <c r="C1502" s="1">
        <f ca="1">IFERROR(__xludf.DUMMYFUNCTION("""COMPUTED_VALUE"""),252.97)</f>
        <v>252.97</v>
      </c>
      <c r="D1502" s="1">
        <f ca="1">IFERROR(__xludf.DUMMYFUNCTION("""COMPUTED_VALUE"""),249.2)</f>
        <v>249.2</v>
      </c>
      <c r="E1502" s="1">
        <f ca="1">IFERROR(__xludf.DUMMYFUNCTION("""COMPUTED_VALUE"""),252.33)</f>
        <v>252.33</v>
      </c>
      <c r="F1502" s="1">
        <f ca="1">IFERROR(__xludf.DUMMYFUNCTION("""COMPUTED_VALUE"""),13923393)</f>
        <v>13923393</v>
      </c>
    </row>
    <row r="1503" spans="1:6" x14ac:dyDescent="0.2">
      <c r="A1503" s="2">
        <f ca="1">IFERROR(__xludf.DUMMYFUNCTION("""COMPUTED_VALUE"""),44456.6666666666)</f>
        <v>44456.666666666599</v>
      </c>
      <c r="B1503" s="1">
        <f ca="1">IFERROR(__xludf.DUMMYFUNCTION("""COMPUTED_VALUE"""),252.38)</f>
        <v>252.38</v>
      </c>
      <c r="C1503" s="1">
        <f ca="1">IFERROR(__xludf.DUMMYFUNCTION("""COMPUTED_VALUE"""),253.68)</f>
        <v>253.68</v>
      </c>
      <c r="D1503" s="1">
        <f ca="1">IFERROR(__xludf.DUMMYFUNCTION("""COMPUTED_VALUE"""),250)</f>
        <v>250</v>
      </c>
      <c r="E1503" s="1">
        <f ca="1">IFERROR(__xludf.DUMMYFUNCTION("""COMPUTED_VALUE"""),253.16)</f>
        <v>253.16</v>
      </c>
      <c r="F1503" s="1">
        <f ca="1">IFERROR(__xludf.DUMMYFUNCTION("""COMPUTED_VALUE"""),28204176)</f>
        <v>28204176</v>
      </c>
    </row>
    <row r="1504" spans="1:6" x14ac:dyDescent="0.2">
      <c r="A1504" s="2">
        <f ca="1">IFERROR(__xludf.DUMMYFUNCTION("""COMPUTED_VALUE"""),44459.6666666666)</f>
        <v>44459.666666666599</v>
      </c>
      <c r="B1504" s="1">
        <f ca="1">IFERROR(__xludf.DUMMYFUNCTION("""COMPUTED_VALUE"""),244.85)</f>
        <v>244.85</v>
      </c>
      <c r="C1504" s="1">
        <f ca="1">IFERROR(__xludf.DUMMYFUNCTION("""COMPUTED_VALUE"""),247.33)</f>
        <v>247.33</v>
      </c>
      <c r="D1504" s="1">
        <f ca="1">IFERROR(__xludf.DUMMYFUNCTION("""COMPUTED_VALUE"""),239.54)</f>
        <v>239.54</v>
      </c>
      <c r="E1504" s="1">
        <f ca="1">IFERROR(__xludf.DUMMYFUNCTION("""COMPUTED_VALUE"""),243.39)</f>
        <v>243.39</v>
      </c>
      <c r="F1504" s="1">
        <f ca="1">IFERROR(__xludf.DUMMYFUNCTION("""COMPUTED_VALUE"""),24757652)</f>
        <v>24757652</v>
      </c>
    </row>
    <row r="1505" spans="1:6" x14ac:dyDescent="0.2">
      <c r="A1505" s="2">
        <f ca="1">IFERROR(__xludf.DUMMYFUNCTION("""COMPUTED_VALUE"""),44460.6666666666)</f>
        <v>44460.666666666599</v>
      </c>
      <c r="B1505" s="1">
        <f ca="1">IFERROR(__xludf.DUMMYFUNCTION("""COMPUTED_VALUE"""),244.93)</f>
        <v>244.93</v>
      </c>
      <c r="C1505" s="1">
        <f ca="1">IFERROR(__xludf.DUMMYFUNCTION("""COMPUTED_VALUE"""),248.25)</f>
        <v>248.25</v>
      </c>
      <c r="D1505" s="1">
        <f ca="1">IFERROR(__xludf.DUMMYFUNCTION("""COMPUTED_VALUE"""),243.48)</f>
        <v>243.48</v>
      </c>
      <c r="E1505" s="1">
        <f ca="1">IFERROR(__xludf.DUMMYFUNCTION("""COMPUTED_VALUE"""),246.46)</f>
        <v>246.46</v>
      </c>
      <c r="F1505" s="1">
        <f ca="1">IFERROR(__xludf.DUMMYFUNCTION("""COMPUTED_VALUE"""),16330723)</f>
        <v>16330723</v>
      </c>
    </row>
    <row r="1506" spans="1:6" x14ac:dyDescent="0.2">
      <c r="A1506" s="2">
        <f ca="1">IFERROR(__xludf.DUMMYFUNCTION("""COMPUTED_VALUE"""),44461.6666666666)</f>
        <v>44461.666666666599</v>
      </c>
      <c r="B1506" s="1">
        <f ca="1">IFERROR(__xludf.DUMMYFUNCTION("""COMPUTED_VALUE"""),247.84)</f>
        <v>247.84</v>
      </c>
      <c r="C1506" s="1">
        <f ca="1">IFERROR(__xludf.DUMMYFUNCTION("""COMPUTED_VALUE"""),251.22)</f>
        <v>251.22</v>
      </c>
      <c r="D1506" s="1">
        <f ca="1">IFERROR(__xludf.DUMMYFUNCTION("""COMPUTED_VALUE"""),246.37)</f>
        <v>246.37</v>
      </c>
      <c r="E1506" s="1">
        <f ca="1">IFERROR(__xludf.DUMMYFUNCTION("""COMPUTED_VALUE"""),250.65)</f>
        <v>250.65</v>
      </c>
      <c r="F1506" s="1">
        <f ca="1">IFERROR(__xludf.DUMMYFUNCTION("""COMPUTED_VALUE"""),15126272)</f>
        <v>15126272</v>
      </c>
    </row>
    <row r="1507" spans="1:6" x14ac:dyDescent="0.2">
      <c r="A1507" s="2">
        <f ca="1">IFERROR(__xludf.DUMMYFUNCTION("""COMPUTED_VALUE"""),44462.6666666666)</f>
        <v>44462.666666666599</v>
      </c>
      <c r="B1507" s="1">
        <f ca="1">IFERROR(__xludf.DUMMYFUNCTION("""COMPUTED_VALUE"""),251.67)</f>
        <v>251.67</v>
      </c>
      <c r="C1507" s="1">
        <f ca="1">IFERROR(__xludf.DUMMYFUNCTION("""COMPUTED_VALUE"""),252.73)</f>
        <v>252.73</v>
      </c>
      <c r="D1507" s="1">
        <f ca="1">IFERROR(__xludf.DUMMYFUNCTION("""COMPUTED_VALUE"""),249.31)</f>
        <v>249.31</v>
      </c>
      <c r="E1507" s="1">
        <f ca="1">IFERROR(__xludf.DUMMYFUNCTION("""COMPUTED_VALUE"""),251.21)</f>
        <v>251.21</v>
      </c>
      <c r="F1507" s="1">
        <f ca="1">IFERROR(__xludf.DUMMYFUNCTION("""COMPUTED_VALUE"""),11947527)</f>
        <v>11947527</v>
      </c>
    </row>
    <row r="1508" spans="1:6" x14ac:dyDescent="0.2">
      <c r="A1508" s="2">
        <f ca="1">IFERROR(__xludf.DUMMYFUNCTION("""COMPUTED_VALUE"""),44463.6666666666)</f>
        <v>44463.666666666599</v>
      </c>
      <c r="B1508" s="1">
        <f ca="1">IFERROR(__xludf.DUMMYFUNCTION("""COMPUTED_VALUE"""),248.63)</f>
        <v>248.63</v>
      </c>
      <c r="C1508" s="1">
        <f ca="1">IFERROR(__xludf.DUMMYFUNCTION("""COMPUTED_VALUE"""),258.27)</f>
        <v>258.27</v>
      </c>
      <c r="D1508" s="1">
        <f ca="1">IFERROR(__xludf.DUMMYFUNCTION("""COMPUTED_VALUE"""),248.19)</f>
        <v>248.19</v>
      </c>
      <c r="E1508" s="1">
        <f ca="1">IFERROR(__xludf.DUMMYFUNCTION("""COMPUTED_VALUE"""),258.13)</f>
        <v>258.13</v>
      </c>
      <c r="F1508" s="1">
        <f ca="1">IFERROR(__xludf.DUMMYFUNCTION("""COMPUTED_VALUE"""),21373022)</f>
        <v>21373022</v>
      </c>
    </row>
    <row r="1509" spans="1:6" x14ac:dyDescent="0.2">
      <c r="A1509" s="2">
        <f ca="1">IFERROR(__xludf.DUMMYFUNCTION("""COMPUTED_VALUE"""),44466.6666666666)</f>
        <v>44466.666666666599</v>
      </c>
      <c r="B1509" s="1">
        <f ca="1">IFERROR(__xludf.DUMMYFUNCTION("""COMPUTED_VALUE"""),257.71)</f>
        <v>257.70999999999998</v>
      </c>
      <c r="C1509" s="1">
        <f ca="1">IFERROR(__xludf.DUMMYFUNCTION("""COMPUTED_VALUE"""),266.33)</f>
        <v>266.33</v>
      </c>
      <c r="D1509" s="1">
        <f ca="1">IFERROR(__xludf.DUMMYFUNCTION("""COMPUTED_VALUE"""),256.44)</f>
        <v>256.44</v>
      </c>
      <c r="E1509" s="1">
        <f ca="1">IFERROR(__xludf.DUMMYFUNCTION("""COMPUTED_VALUE"""),263.79)</f>
        <v>263.79000000000002</v>
      </c>
      <c r="F1509" s="1">
        <f ca="1">IFERROR(__xludf.DUMMYFUNCTION("""COMPUTED_VALUE"""),28070657)</f>
        <v>28070657</v>
      </c>
    </row>
    <row r="1510" spans="1:6" x14ac:dyDescent="0.2">
      <c r="A1510" s="2">
        <f ca="1">IFERROR(__xludf.DUMMYFUNCTION("""COMPUTED_VALUE"""),44467.6666666666)</f>
        <v>44467.666666666599</v>
      </c>
      <c r="B1510" s="1">
        <f ca="1">IFERROR(__xludf.DUMMYFUNCTION("""COMPUTED_VALUE"""),262.4)</f>
        <v>262.39999999999998</v>
      </c>
      <c r="C1510" s="1">
        <f ca="1">IFERROR(__xludf.DUMMYFUNCTION("""COMPUTED_VALUE"""),265.21)</f>
        <v>265.20999999999998</v>
      </c>
      <c r="D1510" s="1">
        <f ca="1">IFERROR(__xludf.DUMMYFUNCTION("""COMPUTED_VALUE"""),255.39)</f>
        <v>255.39</v>
      </c>
      <c r="E1510" s="1">
        <f ca="1">IFERROR(__xludf.DUMMYFUNCTION("""COMPUTED_VALUE"""),259.19)</f>
        <v>259.19</v>
      </c>
      <c r="F1510" s="1">
        <f ca="1">IFERROR(__xludf.DUMMYFUNCTION("""COMPUTED_VALUE"""),25381422)</f>
        <v>25381422</v>
      </c>
    </row>
    <row r="1511" spans="1:6" x14ac:dyDescent="0.2">
      <c r="A1511" s="2">
        <f ca="1">IFERROR(__xludf.DUMMYFUNCTION("""COMPUTED_VALUE"""),44468.6666666666)</f>
        <v>44468.666666666599</v>
      </c>
      <c r="B1511" s="1">
        <f ca="1">IFERROR(__xludf.DUMMYFUNCTION("""COMPUTED_VALUE"""),259.93)</f>
        <v>259.93</v>
      </c>
      <c r="C1511" s="1">
        <f ca="1">IFERROR(__xludf.DUMMYFUNCTION("""COMPUTED_VALUE"""),264.5)</f>
        <v>264.5</v>
      </c>
      <c r="D1511" s="1">
        <f ca="1">IFERROR(__xludf.DUMMYFUNCTION("""COMPUTED_VALUE"""),256.89)</f>
        <v>256.89</v>
      </c>
      <c r="E1511" s="1">
        <f ca="1">IFERROR(__xludf.DUMMYFUNCTION("""COMPUTED_VALUE"""),260.44)</f>
        <v>260.44</v>
      </c>
      <c r="F1511" s="1">
        <f ca="1">IFERROR(__xludf.DUMMYFUNCTION("""COMPUTED_VALUE"""),20942877)</f>
        <v>20942877</v>
      </c>
    </row>
    <row r="1512" spans="1:6" x14ac:dyDescent="0.2">
      <c r="A1512" s="2">
        <f ca="1">IFERROR(__xludf.DUMMYFUNCTION("""COMPUTED_VALUE"""),44469.6666666666)</f>
        <v>44469.666666666599</v>
      </c>
      <c r="B1512" s="1">
        <f ca="1">IFERROR(__xludf.DUMMYFUNCTION("""COMPUTED_VALUE"""),260.33)</f>
        <v>260.33</v>
      </c>
      <c r="C1512" s="1">
        <f ca="1">IFERROR(__xludf.DUMMYFUNCTION("""COMPUTED_VALUE"""),263.04)</f>
        <v>263.04000000000002</v>
      </c>
      <c r="D1512" s="1">
        <f ca="1">IFERROR(__xludf.DUMMYFUNCTION("""COMPUTED_VALUE"""),258.33)</f>
        <v>258.33</v>
      </c>
      <c r="E1512" s="1">
        <f ca="1">IFERROR(__xludf.DUMMYFUNCTION("""COMPUTED_VALUE"""),258.49)</f>
        <v>258.49</v>
      </c>
      <c r="F1512" s="1">
        <f ca="1">IFERROR(__xludf.DUMMYFUNCTION("""COMPUTED_VALUE"""),17955961)</f>
        <v>17955961</v>
      </c>
    </row>
    <row r="1513" spans="1:6" x14ac:dyDescent="0.2">
      <c r="A1513" s="2">
        <f ca="1">IFERROR(__xludf.DUMMYFUNCTION("""COMPUTED_VALUE"""),44470.6666666666)</f>
        <v>44470.666666666599</v>
      </c>
      <c r="B1513" s="1">
        <f ca="1">IFERROR(__xludf.DUMMYFUNCTION("""COMPUTED_VALUE"""),259.47)</f>
        <v>259.47000000000003</v>
      </c>
      <c r="C1513" s="1">
        <f ca="1">IFERROR(__xludf.DUMMYFUNCTION("""COMPUTED_VALUE"""),260.26)</f>
        <v>260.26</v>
      </c>
      <c r="D1513" s="1">
        <f ca="1">IFERROR(__xludf.DUMMYFUNCTION("""COMPUTED_VALUE"""),254.53)</f>
        <v>254.53</v>
      </c>
      <c r="E1513" s="1">
        <f ca="1">IFERROR(__xludf.DUMMYFUNCTION("""COMPUTED_VALUE"""),258.41)</f>
        <v>258.41000000000003</v>
      </c>
      <c r="F1513" s="1">
        <f ca="1">IFERROR(__xludf.DUMMYFUNCTION("""COMPUTED_VALUE"""),17031414)</f>
        <v>17031414</v>
      </c>
    </row>
    <row r="1514" spans="1:6" x14ac:dyDescent="0.2">
      <c r="A1514" s="2">
        <f ca="1">IFERROR(__xludf.DUMMYFUNCTION("""COMPUTED_VALUE"""),44473.6666666666)</f>
        <v>44473.666666666599</v>
      </c>
      <c r="B1514" s="1">
        <f ca="1">IFERROR(__xludf.DUMMYFUNCTION("""COMPUTED_VALUE"""),265.5)</f>
        <v>265.5</v>
      </c>
      <c r="C1514" s="1">
        <f ca="1">IFERROR(__xludf.DUMMYFUNCTION("""COMPUTED_VALUE"""),268.99)</f>
        <v>268.99</v>
      </c>
      <c r="D1514" s="1">
        <f ca="1">IFERROR(__xludf.DUMMYFUNCTION("""COMPUTED_VALUE"""),258.71)</f>
        <v>258.70999999999998</v>
      </c>
      <c r="E1514" s="1">
        <f ca="1">IFERROR(__xludf.DUMMYFUNCTION("""COMPUTED_VALUE"""),260.51)</f>
        <v>260.51</v>
      </c>
      <c r="F1514" s="1">
        <f ca="1">IFERROR(__xludf.DUMMYFUNCTION("""COMPUTED_VALUE"""),30483341)</f>
        <v>30483341</v>
      </c>
    </row>
    <row r="1515" spans="1:6" x14ac:dyDescent="0.2">
      <c r="A1515" s="2">
        <f ca="1">IFERROR(__xludf.DUMMYFUNCTION("""COMPUTED_VALUE"""),44474.6666666666)</f>
        <v>44474.666666666599</v>
      </c>
      <c r="B1515" s="1">
        <f ca="1">IFERROR(__xludf.DUMMYFUNCTION("""COMPUTED_VALUE"""),261.6)</f>
        <v>261.60000000000002</v>
      </c>
      <c r="C1515" s="1">
        <f ca="1">IFERROR(__xludf.DUMMYFUNCTION("""COMPUTED_VALUE"""),265.77)</f>
        <v>265.77</v>
      </c>
      <c r="D1515" s="1">
        <f ca="1">IFERROR(__xludf.DUMMYFUNCTION("""COMPUTED_VALUE"""),258.07)</f>
        <v>258.07</v>
      </c>
      <c r="E1515" s="1">
        <f ca="1">IFERROR(__xludf.DUMMYFUNCTION("""COMPUTED_VALUE"""),260.2)</f>
        <v>260.2</v>
      </c>
      <c r="F1515" s="1">
        <f ca="1">IFERROR(__xludf.DUMMYFUNCTION("""COMPUTED_VALUE"""),18432625)</f>
        <v>18432625</v>
      </c>
    </row>
    <row r="1516" spans="1:6" x14ac:dyDescent="0.2">
      <c r="A1516" s="2">
        <f ca="1">IFERROR(__xludf.DUMMYFUNCTION("""COMPUTED_VALUE"""),44475.6666666666)</f>
        <v>44475.666666666599</v>
      </c>
      <c r="B1516" s="1">
        <f ca="1">IFERROR(__xludf.DUMMYFUNCTION("""COMPUTED_VALUE"""),258.73)</f>
        <v>258.73</v>
      </c>
      <c r="C1516" s="1">
        <f ca="1">IFERROR(__xludf.DUMMYFUNCTION("""COMPUTED_VALUE"""),262.22)</f>
        <v>262.22000000000003</v>
      </c>
      <c r="D1516" s="1">
        <f ca="1">IFERROR(__xludf.DUMMYFUNCTION("""COMPUTED_VALUE"""),257.74)</f>
        <v>257.74</v>
      </c>
      <c r="E1516" s="1">
        <f ca="1">IFERROR(__xludf.DUMMYFUNCTION("""COMPUTED_VALUE"""),260.92)</f>
        <v>260.92</v>
      </c>
      <c r="F1516" s="1">
        <f ca="1">IFERROR(__xludf.DUMMYFUNCTION("""COMPUTED_VALUE"""),14632768)</f>
        <v>14632768</v>
      </c>
    </row>
    <row r="1517" spans="1:6" x14ac:dyDescent="0.2">
      <c r="A1517" s="2">
        <f ca="1">IFERROR(__xludf.DUMMYFUNCTION("""COMPUTED_VALUE"""),44476.6666666666)</f>
        <v>44476.666666666599</v>
      </c>
      <c r="B1517" s="1">
        <f ca="1">IFERROR(__xludf.DUMMYFUNCTION("""COMPUTED_VALUE"""),261.82)</f>
        <v>261.82</v>
      </c>
      <c r="C1517" s="1">
        <f ca="1">IFERROR(__xludf.DUMMYFUNCTION("""COMPUTED_VALUE"""),268.33)</f>
        <v>268.33</v>
      </c>
      <c r="D1517" s="1">
        <f ca="1">IFERROR(__xludf.DUMMYFUNCTION("""COMPUTED_VALUE"""),261.13)</f>
        <v>261.13</v>
      </c>
      <c r="E1517" s="1">
        <f ca="1">IFERROR(__xludf.DUMMYFUNCTION("""COMPUTED_VALUE"""),264.54)</f>
        <v>264.54000000000002</v>
      </c>
      <c r="F1517" s="1">
        <f ca="1">IFERROR(__xludf.DUMMYFUNCTION("""COMPUTED_VALUE"""),19195782)</f>
        <v>19195782</v>
      </c>
    </row>
    <row r="1518" spans="1:6" x14ac:dyDescent="0.2">
      <c r="A1518" s="2">
        <f ca="1">IFERROR(__xludf.DUMMYFUNCTION("""COMPUTED_VALUE"""),44477.6666666666)</f>
        <v>44477.666666666599</v>
      </c>
      <c r="B1518" s="1">
        <f ca="1">IFERROR(__xludf.DUMMYFUNCTION("""COMPUTED_VALUE"""),265.4)</f>
        <v>265.39999999999998</v>
      </c>
      <c r="C1518" s="1">
        <f ca="1">IFERROR(__xludf.DUMMYFUNCTION("""COMPUTED_VALUE"""),265.46)</f>
        <v>265.45999999999998</v>
      </c>
      <c r="D1518" s="1">
        <f ca="1">IFERROR(__xludf.DUMMYFUNCTION("""COMPUTED_VALUE"""),260.3)</f>
        <v>260.3</v>
      </c>
      <c r="E1518" s="1">
        <f ca="1">IFERROR(__xludf.DUMMYFUNCTION("""COMPUTED_VALUE"""),261.83)</f>
        <v>261.83</v>
      </c>
      <c r="F1518" s="1">
        <f ca="1">IFERROR(__xludf.DUMMYFUNCTION("""COMPUTED_VALUE"""),16738604)</f>
        <v>16738604</v>
      </c>
    </row>
    <row r="1519" spans="1:6" x14ac:dyDescent="0.2">
      <c r="A1519" s="2">
        <f ca="1">IFERROR(__xludf.DUMMYFUNCTION("""COMPUTED_VALUE"""),44480.6666666666)</f>
        <v>44480.666666666599</v>
      </c>
      <c r="B1519" s="1">
        <f ca="1">IFERROR(__xludf.DUMMYFUNCTION("""COMPUTED_VALUE"""),262.55)</f>
        <v>262.55</v>
      </c>
      <c r="C1519" s="1">
        <f ca="1">IFERROR(__xludf.DUMMYFUNCTION("""COMPUTED_VALUE"""),267.08)</f>
        <v>267.08</v>
      </c>
      <c r="D1519" s="1">
        <f ca="1">IFERROR(__xludf.DUMMYFUNCTION("""COMPUTED_VALUE"""),261.83)</f>
        <v>261.83</v>
      </c>
      <c r="E1519" s="1">
        <f ca="1">IFERROR(__xludf.DUMMYFUNCTION("""COMPUTED_VALUE"""),263.98)</f>
        <v>263.98</v>
      </c>
      <c r="F1519" s="1">
        <f ca="1">IFERROR(__xludf.DUMMYFUNCTION("""COMPUTED_VALUE"""),14200322)</f>
        <v>14200322</v>
      </c>
    </row>
    <row r="1520" spans="1:6" x14ac:dyDescent="0.2">
      <c r="A1520" s="2">
        <f ca="1">IFERROR(__xludf.DUMMYFUNCTION("""COMPUTED_VALUE"""),44481.6666666666)</f>
        <v>44481.666666666599</v>
      </c>
      <c r="B1520" s="1">
        <f ca="1">IFERROR(__xludf.DUMMYFUNCTION("""COMPUTED_VALUE"""),266.98)</f>
        <v>266.98</v>
      </c>
      <c r="C1520" s="1">
        <f ca="1">IFERROR(__xludf.DUMMYFUNCTION("""COMPUTED_VALUE"""),270.77)</f>
        <v>270.77</v>
      </c>
      <c r="D1520" s="1">
        <f ca="1">IFERROR(__xludf.DUMMYFUNCTION("""COMPUTED_VALUE"""),265.52)</f>
        <v>265.52</v>
      </c>
      <c r="E1520" s="1">
        <f ca="1">IFERROR(__xludf.DUMMYFUNCTION("""COMPUTED_VALUE"""),268.57)</f>
        <v>268.57</v>
      </c>
      <c r="F1520" s="1">
        <f ca="1">IFERROR(__xludf.DUMMYFUNCTION("""COMPUTED_VALUE"""),22020040)</f>
        <v>22020040</v>
      </c>
    </row>
    <row r="1521" spans="1:6" x14ac:dyDescent="0.2">
      <c r="A1521" s="2">
        <f ca="1">IFERROR(__xludf.DUMMYFUNCTION("""COMPUTED_VALUE"""),44482.6666666666)</f>
        <v>44482.666666666599</v>
      </c>
      <c r="B1521" s="1">
        <f ca="1">IFERROR(__xludf.DUMMYFUNCTION("""COMPUTED_VALUE"""),270.16)</f>
        <v>270.16000000000003</v>
      </c>
      <c r="C1521" s="1">
        <f ca="1">IFERROR(__xludf.DUMMYFUNCTION("""COMPUTED_VALUE"""),271.8)</f>
        <v>271.8</v>
      </c>
      <c r="D1521" s="1">
        <f ca="1">IFERROR(__xludf.DUMMYFUNCTION("""COMPUTED_VALUE"""),268.59)</f>
        <v>268.58999999999997</v>
      </c>
      <c r="E1521" s="1">
        <f ca="1">IFERROR(__xludf.DUMMYFUNCTION("""COMPUTED_VALUE"""),270.36)</f>
        <v>270.36</v>
      </c>
      <c r="F1521" s="1">
        <f ca="1">IFERROR(__xludf.DUMMYFUNCTION("""COMPUTED_VALUE"""),14120075)</f>
        <v>14120075</v>
      </c>
    </row>
    <row r="1522" spans="1:6" x14ac:dyDescent="0.2">
      <c r="A1522" s="2">
        <f ca="1">IFERROR(__xludf.DUMMYFUNCTION("""COMPUTED_VALUE"""),44483.6666666666)</f>
        <v>44483.666666666599</v>
      </c>
      <c r="B1522" s="1">
        <f ca="1">IFERROR(__xludf.DUMMYFUNCTION("""COMPUTED_VALUE"""),271.83)</f>
        <v>271.83</v>
      </c>
      <c r="C1522" s="1">
        <f ca="1">IFERROR(__xludf.DUMMYFUNCTION("""COMPUTED_VALUE"""),273.42)</f>
        <v>273.42</v>
      </c>
      <c r="D1522" s="1">
        <f ca="1">IFERROR(__xludf.DUMMYFUNCTION("""COMPUTED_VALUE"""),271.12)</f>
        <v>271.12</v>
      </c>
      <c r="E1522" s="1">
        <f ca="1">IFERROR(__xludf.DUMMYFUNCTION("""COMPUTED_VALUE"""),272.77)</f>
        <v>272.77</v>
      </c>
      <c r="F1522" s="1">
        <f ca="1">IFERROR(__xludf.DUMMYFUNCTION("""COMPUTED_VALUE"""),12247170)</f>
        <v>12247170</v>
      </c>
    </row>
    <row r="1523" spans="1:6" x14ac:dyDescent="0.2">
      <c r="A1523" s="2">
        <f ca="1">IFERROR(__xludf.DUMMYFUNCTION("""COMPUTED_VALUE"""),44484.6666666666)</f>
        <v>44484.666666666599</v>
      </c>
      <c r="B1523" s="1">
        <f ca="1">IFERROR(__xludf.DUMMYFUNCTION("""COMPUTED_VALUE"""),274.58)</f>
        <v>274.58</v>
      </c>
      <c r="C1523" s="1">
        <f ca="1">IFERROR(__xludf.DUMMYFUNCTION("""COMPUTED_VALUE"""),281.07)</f>
        <v>281.07</v>
      </c>
      <c r="D1523" s="1">
        <f ca="1">IFERROR(__xludf.DUMMYFUNCTION("""COMPUTED_VALUE"""),274.12)</f>
        <v>274.12</v>
      </c>
      <c r="E1523" s="1">
        <f ca="1">IFERROR(__xludf.DUMMYFUNCTION("""COMPUTED_VALUE"""),281.01)</f>
        <v>281.01</v>
      </c>
      <c r="F1523" s="1">
        <f ca="1">IFERROR(__xludf.DUMMYFUNCTION("""COMPUTED_VALUE"""),18924567)</f>
        <v>18924567</v>
      </c>
    </row>
    <row r="1524" spans="1:6" x14ac:dyDescent="0.2">
      <c r="A1524" s="2">
        <f ca="1">IFERROR(__xludf.DUMMYFUNCTION("""COMPUTED_VALUE"""),44487.6666666666)</f>
        <v>44487.666666666599</v>
      </c>
      <c r="B1524" s="1">
        <f ca="1">IFERROR(__xludf.DUMMYFUNCTION("""COMPUTED_VALUE"""),283.93)</f>
        <v>283.93</v>
      </c>
      <c r="C1524" s="1">
        <f ca="1">IFERROR(__xludf.DUMMYFUNCTION("""COMPUTED_VALUE"""),291.75)</f>
        <v>291.75</v>
      </c>
      <c r="D1524" s="1">
        <f ca="1">IFERROR(__xludf.DUMMYFUNCTION("""COMPUTED_VALUE"""),283.82)</f>
        <v>283.82</v>
      </c>
      <c r="E1524" s="1">
        <f ca="1">IFERROR(__xludf.DUMMYFUNCTION("""COMPUTED_VALUE"""),290.04)</f>
        <v>290.04000000000002</v>
      </c>
      <c r="F1524" s="1">
        <f ca="1">IFERROR(__xludf.DUMMYFUNCTION("""COMPUTED_VALUE"""),24207244)</f>
        <v>24207244</v>
      </c>
    </row>
    <row r="1525" spans="1:6" x14ac:dyDescent="0.2">
      <c r="A1525" s="2">
        <f ca="1">IFERROR(__xludf.DUMMYFUNCTION("""COMPUTED_VALUE"""),44488.6666666666)</f>
        <v>44488.666666666599</v>
      </c>
      <c r="B1525" s="1">
        <f ca="1">IFERROR(__xludf.DUMMYFUNCTION("""COMPUTED_VALUE"""),292.51)</f>
        <v>292.51</v>
      </c>
      <c r="C1525" s="1">
        <f ca="1">IFERROR(__xludf.DUMMYFUNCTION("""COMPUTED_VALUE"""),292.65)</f>
        <v>292.64999999999998</v>
      </c>
      <c r="D1525" s="1">
        <f ca="1">IFERROR(__xludf.DUMMYFUNCTION("""COMPUTED_VALUE"""),287.5)</f>
        <v>287.5</v>
      </c>
      <c r="E1525" s="1">
        <f ca="1">IFERROR(__xludf.DUMMYFUNCTION("""COMPUTED_VALUE"""),288.09)</f>
        <v>288.08999999999997</v>
      </c>
      <c r="F1525" s="1">
        <f ca="1">IFERROR(__xludf.DUMMYFUNCTION("""COMPUTED_VALUE"""),17381128)</f>
        <v>17381128</v>
      </c>
    </row>
    <row r="1526" spans="1:6" x14ac:dyDescent="0.2">
      <c r="A1526" s="2">
        <f ca="1">IFERROR(__xludf.DUMMYFUNCTION("""COMPUTED_VALUE"""),44489.6666666666)</f>
        <v>44489.666666666599</v>
      </c>
      <c r="B1526" s="1">
        <f ca="1">IFERROR(__xludf.DUMMYFUNCTION("""COMPUTED_VALUE"""),288.45)</f>
        <v>288.45</v>
      </c>
      <c r="C1526" s="1">
        <f ca="1">IFERROR(__xludf.DUMMYFUNCTION("""COMPUTED_VALUE"""),289.83)</f>
        <v>289.83</v>
      </c>
      <c r="D1526" s="1">
        <f ca="1">IFERROR(__xludf.DUMMYFUNCTION("""COMPUTED_VALUE"""),285.79)</f>
        <v>285.79000000000002</v>
      </c>
      <c r="E1526" s="1">
        <f ca="1">IFERROR(__xludf.DUMMYFUNCTION("""COMPUTED_VALUE"""),288.6)</f>
        <v>288.60000000000002</v>
      </c>
      <c r="F1526" s="1">
        <f ca="1">IFERROR(__xludf.DUMMYFUNCTION("""COMPUTED_VALUE"""),14032052)</f>
        <v>14032052</v>
      </c>
    </row>
    <row r="1527" spans="1:6" x14ac:dyDescent="0.2">
      <c r="A1527" s="2">
        <f ca="1">IFERROR(__xludf.DUMMYFUNCTION("""COMPUTED_VALUE"""),44490.6666666666)</f>
        <v>44490.666666666599</v>
      </c>
      <c r="B1527" s="1">
        <f ca="1">IFERROR(__xludf.DUMMYFUNCTION("""COMPUTED_VALUE"""),285.33)</f>
        <v>285.33</v>
      </c>
      <c r="C1527" s="1">
        <f ca="1">IFERROR(__xludf.DUMMYFUNCTION("""COMPUTED_VALUE"""),300)</f>
        <v>300</v>
      </c>
      <c r="D1527" s="1">
        <f ca="1">IFERROR(__xludf.DUMMYFUNCTION("""COMPUTED_VALUE"""),285.17)</f>
        <v>285.17</v>
      </c>
      <c r="E1527" s="1">
        <f ca="1">IFERROR(__xludf.DUMMYFUNCTION("""COMPUTED_VALUE"""),298)</f>
        <v>298</v>
      </c>
      <c r="F1527" s="1">
        <f ca="1">IFERROR(__xludf.DUMMYFUNCTION("""COMPUTED_VALUE"""),31481454)</f>
        <v>31481454</v>
      </c>
    </row>
    <row r="1528" spans="1:6" x14ac:dyDescent="0.2">
      <c r="A1528" s="2">
        <f ca="1">IFERROR(__xludf.DUMMYFUNCTION("""COMPUTED_VALUE"""),44491.6666666666)</f>
        <v>44491.666666666599</v>
      </c>
      <c r="B1528" s="1">
        <f ca="1">IFERROR(__xludf.DUMMYFUNCTION("""COMPUTED_VALUE"""),298.5)</f>
        <v>298.5</v>
      </c>
      <c r="C1528" s="1">
        <f ca="1">IFERROR(__xludf.DUMMYFUNCTION("""COMPUTED_VALUE"""),303.33)</f>
        <v>303.33</v>
      </c>
      <c r="D1528" s="1">
        <f ca="1">IFERROR(__xludf.DUMMYFUNCTION("""COMPUTED_VALUE"""),296.99)</f>
        <v>296.99</v>
      </c>
      <c r="E1528" s="1">
        <f ca="1">IFERROR(__xludf.DUMMYFUNCTION("""COMPUTED_VALUE"""),303.23)</f>
        <v>303.23</v>
      </c>
      <c r="F1528" s="1">
        <f ca="1">IFERROR(__xludf.DUMMYFUNCTION("""COMPUTED_VALUE"""),22880835)</f>
        <v>22880835</v>
      </c>
    </row>
    <row r="1529" spans="1:6" x14ac:dyDescent="0.2">
      <c r="A1529" s="2">
        <f ca="1">IFERROR(__xludf.DUMMYFUNCTION("""COMPUTED_VALUE"""),44494.6666666666)</f>
        <v>44494.666666666599</v>
      </c>
      <c r="B1529" s="1">
        <f ca="1">IFERROR(__xludf.DUMMYFUNCTION("""COMPUTED_VALUE"""),316.84)</f>
        <v>316.83999999999997</v>
      </c>
      <c r="C1529" s="1">
        <f ca="1">IFERROR(__xludf.DUMMYFUNCTION("""COMPUTED_VALUE"""),348.34)</f>
        <v>348.34</v>
      </c>
      <c r="D1529" s="1">
        <f ca="1">IFERROR(__xludf.DUMMYFUNCTION("""COMPUTED_VALUE"""),314.73)</f>
        <v>314.73</v>
      </c>
      <c r="E1529" s="1">
        <f ca="1">IFERROR(__xludf.DUMMYFUNCTION("""COMPUTED_VALUE"""),341.62)</f>
        <v>341.62</v>
      </c>
      <c r="F1529" s="1">
        <f ca="1">IFERROR(__xludf.DUMMYFUNCTION("""COMPUTED_VALUE"""),62852099)</f>
        <v>62852099</v>
      </c>
    </row>
    <row r="1530" spans="1:6" x14ac:dyDescent="0.2">
      <c r="A1530" s="2">
        <f ca="1">IFERROR(__xludf.DUMMYFUNCTION("""COMPUTED_VALUE"""),44495.6666666666)</f>
        <v>44495.666666666599</v>
      </c>
      <c r="B1530" s="1">
        <f ca="1">IFERROR(__xludf.DUMMYFUNCTION("""COMPUTED_VALUE"""),341.56)</f>
        <v>341.56</v>
      </c>
      <c r="C1530" s="1">
        <f ca="1">IFERROR(__xludf.DUMMYFUNCTION("""COMPUTED_VALUE"""),364.98)</f>
        <v>364.98</v>
      </c>
      <c r="D1530" s="1">
        <f ca="1">IFERROR(__xludf.DUMMYFUNCTION("""COMPUTED_VALUE"""),333.81)</f>
        <v>333.81</v>
      </c>
      <c r="E1530" s="1">
        <f ca="1">IFERROR(__xludf.DUMMYFUNCTION("""COMPUTED_VALUE"""),339.48)</f>
        <v>339.48</v>
      </c>
      <c r="F1530" s="1">
        <f ca="1">IFERROR(__xludf.DUMMYFUNCTION("""COMPUTED_VALUE"""),62414968)</f>
        <v>62414968</v>
      </c>
    </row>
    <row r="1531" spans="1:6" x14ac:dyDescent="0.2">
      <c r="A1531" s="2">
        <f ca="1">IFERROR(__xludf.DUMMYFUNCTION("""COMPUTED_VALUE"""),44496.6666666666)</f>
        <v>44496.666666666599</v>
      </c>
      <c r="B1531" s="1">
        <f ca="1">IFERROR(__xludf.DUMMYFUNCTION("""COMPUTED_VALUE"""),346.55)</f>
        <v>346.55</v>
      </c>
      <c r="C1531" s="1">
        <f ca="1">IFERROR(__xludf.DUMMYFUNCTION("""COMPUTED_VALUE"""),356.96)</f>
        <v>356.96</v>
      </c>
      <c r="D1531" s="1">
        <f ca="1">IFERROR(__xludf.DUMMYFUNCTION("""COMPUTED_VALUE"""),343.59)</f>
        <v>343.59</v>
      </c>
      <c r="E1531" s="1">
        <f ca="1">IFERROR(__xludf.DUMMYFUNCTION("""COMPUTED_VALUE"""),345.95)</f>
        <v>345.95</v>
      </c>
      <c r="F1531" s="1">
        <f ca="1">IFERROR(__xludf.DUMMYFUNCTION("""COMPUTED_VALUE"""),38526459)</f>
        <v>38526459</v>
      </c>
    </row>
    <row r="1532" spans="1:6" x14ac:dyDescent="0.2">
      <c r="A1532" s="2">
        <f ca="1">IFERROR(__xludf.DUMMYFUNCTION("""COMPUTED_VALUE"""),44497.6666666666)</f>
        <v>44497.666666666599</v>
      </c>
      <c r="B1532" s="1">
        <f ca="1">IFERROR(__xludf.DUMMYFUNCTION("""COMPUTED_VALUE"""),356.1)</f>
        <v>356.1</v>
      </c>
      <c r="C1532" s="1">
        <f ca="1">IFERROR(__xludf.DUMMYFUNCTION("""COMPUTED_VALUE"""),360.33)</f>
        <v>360.33</v>
      </c>
      <c r="D1532" s="1">
        <f ca="1">IFERROR(__xludf.DUMMYFUNCTION("""COMPUTED_VALUE"""),351.4)</f>
        <v>351.4</v>
      </c>
      <c r="E1532" s="1">
        <f ca="1">IFERROR(__xludf.DUMMYFUNCTION("""COMPUTED_VALUE"""),359.01)</f>
        <v>359.01</v>
      </c>
      <c r="F1532" s="1">
        <f ca="1">IFERROR(__xludf.DUMMYFUNCTION("""COMPUTED_VALUE"""),27213173)</f>
        <v>27213173</v>
      </c>
    </row>
    <row r="1533" spans="1:6" x14ac:dyDescent="0.2">
      <c r="A1533" s="2">
        <f ca="1">IFERROR(__xludf.DUMMYFUNCTION("""COMPUTED_VALUE"""),44498.6666666666)</f>
        <v>44498.666666666599</v>
      </c>
      <c r="B1533" s="1">
        <f ca="1">IFERROR(__xludf.DUMMYFUNCTION("""COMPUTED_VALUE"""),360.62)</f>
        <v>360.62</v>
      </c>
      <c r="C1533" s="1">
        <f ca="1">IFERROR(__xludf.DUMMYFUNCTION("""COMPUTED_VALUE"""),371.74)</f>
        <v>371.74</v>
      </c>
      <c r="D1533" s="1">
        <f ca="1">IFERROR(__xludf.DUMMYFUNCTION("""COMPUTED_VALUE"""),357.74)</f>
        <v>357.74</v>
      </c>
      <c r="E1533" s="1">
        <f ca="1">IFERROR(__xludf.DUMMYFUNCTION("""COMPUTED_VALUE"""),371.33)</f>
        <v>371.33</v>
      </c>
      <c r="F1533" s="1">
        <f ca="1">IFERROR(__xludf.DUMMYFUNCTION("""COMPUTED_VALUE"""),29918417)</f>
        <v>29918417</v>
      </c>
    </row>
    <row r="1534" spans="1:6" x14ac:dyDescent="0.2">
      <c r="A1534" s="2">
        <f ca="1">IFERROR(__xludf.DUMMYFUNCTION("""COMPUTED_VALUE"""),44501.6666666666)</f>
        <v>44501.666666666599</v>
      </c>
      <c r="B1534" s="1">
        <f ca="1">IFERROR(__xludf.DUMMYFUNCTION("""COMPUTED_VALUE"""),381.67)</f>
        <v>381.67</v>
      </c>
      <c r="C1534" s="1">
        <f ca="1">IFERROR(__xludf.DUMMYFUNCTION("""COMPUTED_VALUE"""),403.25)</f>
        <v>403.25</v>
      </c>
      <c r="D1534" s="1">
        <f ca="1">IFERROR(__xludf.DUMMYFUNCTION("""COMPUTED_VALUE"""),372.89)</f>
        <v>372.89</v>
      </c>
      <c r="E1534" s="1">
        <f ca="1">IFERROR(__xludf.DUMMYFUNCTION("""COMPUTED_VALUE"""),402.86)</f>
        <v>402.86</v>
      </c>
      <c r="F1534" s="1">
        <f ca="1">IFERROR(__xludf.DUMMYFUNCTION("""COMPUTED_VALUE"""),56048716)</f>
        <v>56048716</v>
      </c>
    </row>
    <row r="1535" spans="1:6" x14ac:dyDescent="0.2">
      <c r="A1535" s="2">
        <f ca="1">IFERROR(__xludf.DUMMYFUNCTION("""COMPUTED_VALUE"""),44502.6666666666)</f>
        <v>44502.666666666599</v>
      </c>
      <c r="B1535" s="1">
        <f ca="1">IFERROR(__xludf.DUMMYFUNCTION("""COMPUTED_VALUE"""),386.45)</f>
        <v>386.45</v>
      </c>
      <c r="C1535" s="1">
        <f ca="1">IFERROR(__xludf.DUMMYFUNCTION("""COMPUTED_VALUE"""),402.86)</f>
        <v>402.86</v>
      </c>
      <c r="D1535" s="1">
        <f ca="1">IFERROR(__xludf.DUMMYFUNCTION("""COMPUTED_VALUE"""),382)</f>
        <v>382</v>
      </c>
      <c r="E1535" s="1">
        <f ca="1">IFERROR(__xludf.DUMMYFUNCTION("""COMPUTED_VALUE"""),390.67)</f>
        <v>390.67</v>
      </c>
      <c r="F1535" s="1">
        <f ca="1">IFERROR(__xludf.DUMMYFUNCTION("""COMPUTED_VALUE"""),42737797)</f>
        <v>42737797</v>
      </c>
    </row>
    <row r="1536" spans="1:6" x14ac:dyDescent="0.2">
      <c r="A1536" s="2">
        <f ca="1">IFERROR(__xludf.DUMMYFUNCTION("""COMPUTED_VALUE"""),44503.6666666666)</f>
        <v>44503.666666666599</v>
      </c>
      <c r="B1536" s="1">
        <f ca="1">IFERROR(__xludf.DUMMYFUNCTION("""COMPUTED_VALUE"""),392.44)</f>
        <v>392.44</v>
      </c>
      <c r="C1536" s="1">
        <f ca="1">IFERROR(__xludf.DUMMYFUNCTION("""COMPUTED_VALUE"""),405.13)</f>
        <v>405.13</v>
      </c>
      <c r="D1536" s="1">
        <f ca="1">IFERROR(__xludf.DUMMYFUNCTION("""COMPUTED_VALUE"""),384.21)</f>
        <v>384.21</v>
      </c>
      <c r="E1536" s="1">
        <f ca="1">IFERROR(__xludf.DUMMYFUNCTION("""COMPUTED_VALUE"""),404.62)</f>
        <v>404.62</v>
      </c>
      <c r="F1536" s="1">
        <f ca="1">IFERROR(__xludf.DUMMYFUNCTION("""COMPUTED_VALUE"""),34628519)</f>
        <v>34628519</v>
      </c>
    </row>
    <row r="1537" spans="1:6" x14ac:dyDescent="0.2">
      <c r="A1537" s="2">
        <f ca="1">IFERROR(__xludf.DUMMYFUNCTION("""COMPUTED_VALUE"""),44504.6666666666)</f>
        <v>44504.666666666599</v>
      </c>
      <c r="B1537" s="1">
        <f ca="1">IFERROR(__xludf.DUMMYFUNCTION("""COMPUTED_VALUE"""),411.47)</f>
        <v>411.47</v>
      </c>
      <c r="C1537" s="1">
        <f ca="1">IFERROR(__xludf.DUMMYFUNCTION("""COMPUTED_VALUE"""),414.5)</f>
        <v>414.5</v>
      </c>
      <c r="D1537" s="1">
        <f ca="1">IFERROR(__xludf.DUMMYFUNCTION("""COMPUTED_VALUE"""),405.67)</f>
        <v>405.67</v>
      </c>
      <c r="E1537" s="1">
        <f ca="1">IFERROR(__xludf.DUMMYFUNCTION("""COMPUTED_VALUE"""),409.97)</f>
        <v>409.97</v>
      </c>
      <c r="F1537" s="1">
        <f ca="1">IFERROR(__xludf.DUMMYFUNCTION("""COMPUTED_VALUE"""),25397410)</f>
        <v>25397410</v>
      </c>
    </row>
    <row r="1538" spans="1:6" x14ac:dyDescent="0.2">
      <c r="A1538" s="2">
        <f ca="1">IFERROR(__xludf.DUMMYFUNCTION("""COMPUTED_VALUE"""),44505.6666666666)</f>
        <v>44505.666666666599</v>
      </c>
      <c r="B1538" s="1">
        <f ca="1">IFERROR(__xludf.DUMMYFUNCTION("""COMPUTED_VALUE"""),409.33)</f>
        <v>409.33</v>
      </c>
      <c r="C1538" s="1">
        <f ca="1">IFERROR(__xludf.DUMMYFUNCTION("""COMPUTED_VALUE"""),413.29)</f>
        <v>413.29</v>
      </c>
      <c r="D1538" s="1">
        <f ca="1">IFERROR(__xludf.DUMMYFUNCTION("""COMPUTED_VALUE"""),402.67)</f>
        <v>402.67</v>
      </c>
      <c r="E1538" s="1">
        <f ca="1">IFERROR(__xludf.DUMMYFUNCTION("""COMPUTED_VALUE"""),407.36)</f>
        <v>407.36</v>
      </c>
      <c r="F1538" s="1">
        <f ca="1">IFERROR(__xludf.DUMMYFUNCTION("""COMPUTED_VALUE"""),21628812)</f>
        <v>21628812</v>
      </c>
    </row>
    <row r="1539" spans="1:6" x14ac:dyDescent="0.2">
      <c r="A1539" s="2">
        <f ca="1">IFERROR(__xludf.DUMMYFUNCTION("""COMPUTED_VALUE"""),44508.6666666666)</f>
        <v>44508.666666666599</v>
      </c>
      <c r="B1539" s="1">
        <f ca="1">IFERROR(__xludf.DUMMYFUNCTION("""COMPUTED_VALUE"""),383.26)</f>
        <v>383.26</v>
      </c>
      <c r="C1539" s="1">
        <f ca="1">IFERROR(__xludf.DUMMYFUNCTION("""COMPUTED_VALUE"""),399)</f>
        <v>399</v>
      </c>
      <c r="D1539" s="1">
        <f ca="1">IFERROR(__xludf.DUMMYFUNCTION("""COMPUTED_VALUE"""),377.67)</f>
        <v>377.67</v>
      </c>
      <c r="E1539" s="1">
        <f ca="1">IFERROR(__xludf.DUMMYFUNCTION("""COMPUTED_VALUE"""),387.65)</f>
        <v>387.65</v>
      </c>
      <c r="F1539" s="1">
        <f ca="1">IFERROR(__xludf.DUMMYFUNCTION("""COMPUTED_VALUE"""),33445715)</f>
        <v>33445715</v>
      </c>
    </row>
    <row r="1540" spans="1:6" x14ac:dyDescent="0.2">
      <c r="A1540" s="2">
        <f ca="1">IFERROR(__xludf.DUMMYFUNCTION("""COMPUTED_VALUE"""),44509.6666666666)</f>
        <v>44509.666666666599</v>
      </c>
      <c r="B1540" s="1">
        <f ca="1">IFERROR(__xludf.DUMMYFUNCTION("""COMPUTED_VALUE"""),391.2)</f>
        <v>391.2</v>
      </c>
      <c r="C1540" s="1">
        <f ca="1">IFERROR(__xludf.DUMMYFUNCTION("""COMPUTED_VALUE"""),391.5)</f>
        <v>391.5</v>
      </c>
      <c r="D1540" s="1">
        <f ca="1">IFERROR(__xludf.DUMMYFUNCTION("""COMPUTED_VALUE"""),337.17)</f>
        <v>337.17</v>
      </c>
      <c r="E1540" s="1">
        <f ca="1">IFERROR(__xludf.DUMMYFUNCTION("""COMPUTED_VALUE"""),341.17)</f>
        <v>341.17</v>
      </c>
      <c r="F1540" s="1">
        <f ca="1">IFERROR(__xludf.DUMMYFUNCTION("""COMPUTED_VALUE"""),59105836)</f>
        <v>59105836</v>
      </c>
    </row>
    <row r="1541" spans="1:6" x14ac:dyDescent="0.2">
      <c r="A1541" s="2">
        <f ca="1">IFERROR(__xludf.DUMMYFUNCTION("""COMPUTED_VALUE"""),44510.6666666666)</f>
        <v>44510.666666666599</v>
      </c>
      <c r="B1541" s="1">
        <f ca="1">IFERROR(__xludf.DUMMYFUNCTION("""COMPUTED_VALUE"""),336.8)</f>
        <v>336.8</v>
      </c>
      <c r="C1541" s="1">
        <f ca="1">IFERROR(__xludf.DUMMYFUNCTION("""COMPUTED_VALUE"""),359.37)</f>
        <v>359.37</v>
      </c>
      <c r="D1541" s="1">
        <f ca="1">IFERROR(__xludf.DUMMYFUNCTION("""COMPUTED_VALUE"""),329.1)</f>
        <v>329.1</v>
      </c>
      <c r="E1541" s="1">
        <f ca="1">IFERROR(__xludf.DUMMYFUNCTION("""COMPUTED_VALUE"""),355.98)</f>
        <v>355.98</v>
      </c>
      <c r="F1541" s="1">
        <f ca="1">IFERROR(__xludf.DUMMYFUNCTION("""COMPUTED_VALUE"""),42802722)</f>
        <v>42802722</v>
      </c>
    </row>
    <row r="1542" spans="1:6" x14ac:dyDescent="0.2">
      <c r="A1542" s="2">
        <f ca="1">IFERROR(__xludf.DUMMYFUNCTION("""COMPUTED_VALUE"""),44511.6666666666)</f>
        <v>44511.666666666599</v>
      </c>
      <c r="B1542" s="1">
        <f ca="1">IFERROR(__xludf.DUMMYFUNCTION("""COMPUTED_VALUE"""),367.59)</f>
        <v>367.59</v>
      </c>
      <c r="C1542" s="1">
        <f ca="1">IFERROR(__xludf.DUMMYFUNCTION("""COMPUTED_VALUE"""),368.32)</f>
        <v>368.32</v>
      </c>
      <c r="D1542" s="1">
        <f ca="1">IFERROR(__xludf.DUMMYFUNCTION("""COMPUTED_VALUE"""),351.56)</f>
        <v>351.56</v>
      </c>
      <c r="E1542" s="1">
        <f ca="1">IFERROR(__xludf.DUMMYFUNCTION("""COMPUTED_VALUE"""),354.5)</f>
        <v>354.5</v>
      </c>
      <c r="F1542" s="1">
        <f ca="1">IFERROR(__xludf.DUMMYFUNCTION("""COMPUTED_VALUE"""),22396568)</f>
        <v>22396568</v>
      </c>
    </row>
    <row r="1543" spans="1:6" x14ac:dyDescent="0.2">
      <c r="A1543" s="2">
        <f ca="1">IFERROR(__xludf.DUMMYFUNCTION("""COMPUTED_VALUE"""),44512.6666666666)</f>
        <v>44512.666666666599</v>
      </c>
      <c r="B1543" s="1">
        <f ca="1">IFERROR(__xludf.DUMMYFUNCTION("""COMPUTED_VALUE"""),349.17)</f>
        <v>349.17</v>
      </c>
      <c r="C1543" s="1">
        <f ca="1">IFERROR(__xludf.DUMMYFUNCTION("""COMPUTED_VALUE"""),351.5)</f>
        <v>351.5</v>
      </c>
      <c r="D1543" s="1">
        <f ca="1">IFERROR(__xludf.DUMMYFUNCTION("""COMPUTED_VALUE"""),339.73)</f>
        <v>339.73</v>
      </c>
      <c r="E1543" s="1">
        <f ca="1">IFERROR(__xludf.DUMMYFUNCTION("""COMPUTED_VALUE"""),344.47)</f>
        <v>344.47</v>
      </c>
      <c r="F1543" s="1">
        <f ca="1">IFERROR(__xludf.DUMMYFUNCTION("""COMPUTED_VALUE"""),25573148)</f>
        <v>25573148</v>
      </c>
    </row>
    <row r="1544" spans="1:6" x14ac:dyDescent="0.2">
      <c r="A1544" s="2">
        <f ca="1">IFERROR(__xludf.DUMMYFUNCTION("""COMPUTED_VALUE"""),44515.6666666666)</f>
        <v>44515.666666666599</v>
      </c>
      <c r="B1544" s="1">
        <f ca="1">IFERROR(__xludf.DUMMYFUNCTION("""COMPUTED_VALUE"""),339.21)</f>
        <v>339.21</v>
      </c>
      <c r="C1544" s="1">
        <f ca="1">IFERROR(__xludf.DUMMYFUNCTION("""COMPUTED_VALUE"""),343.99)</f>
        <v>343.99</v>
      </c>
      <c r="D1544" s="1">
        <f ca="1">IFERROR(__xludf.DUMMYFUNCTION("""COMPUTED_VALUE"""),326.2)</f>
        <v>326.2</v>
      </c>
      <c r="E1544" s="1">
        <f ca="1">IFERROR(__xludf.DUMMYFUNCTION("""COMPUTED_VALUE"""),337.8)</f>
        <v>337.8</v>
      </c>
      <c r="F1544" s="1">
        <f ca="1">IFERROR(__xludf.DUMMYFUNCTION("""COMPUTED_VALUE"""),34775649)</f>
        <v>34775649</v>
      </c>
    </row>
    <row r="1545" spans="1:6" x14ac:dyDescent="0.2">
      <c r="A1545" s="2">
        <f ca="1">IFERROR(__xludf.DUMMYFUNCTION("""COMPUTED_VALUE"""),44516.6666666666)</f>
        <v>44516.666666666599</v>
      </c>
      <c r="B1545" s="1">
        <f ca="1">IFERROR(__xludf.DUMMYFUNCTION("""COMPUTED_VALUE"""),334.44)</f>
        <v>334.44</v>
      </c>
      <c r="C1545" s="1">
        <f ca="1">IFERROR(__xludf.DUMMYFUNCTION("""COMPUTED_VALUE"""),352.4)</f>
        <v>352.4</v>
      </c>
      <c r="D1545" s="1">
        <f ca="1">IFERROR(__xludf.DUMMYFUNCTION("""COMPUTED_VALUE"""),334.06)</f>
        <v>334.06</v>
      </c>
      <c r="E1545" s="1">
        <f ca="1">IFERROR(__xludf.DUMMYFUNCTION("""COMPUTED_VALUE"""),351.58)</f>
        <v>351.58</v>
      </c>
      <c r="F1545" s="1">
        <f ca="1">IFERROR(__xludf.DUMMYFUNCTION("""COMPUTED_VALUE"""),26542359)</f>
        <v>26542359</v>
      </c>
    </row>
    <row r="1546" spans="1:6" x14ac:dyDescent="0.2">
      <c r="A1546" s="2">
        <f ca="1">IFERROR(__xludf.DUMMYFUNCTION("""COMPUTED_VALUE"""),44517.6666666666)</f>
        <v>44517.666666666599</v>
      </c>
      <c r="B1546" s="1">
        <f ca="1">IFERROR(__xludf.DUMMYFUNCTION("""COMPUTED_VALUE"""),354.5)</f>
        <v>354.5</v>
      </c>
      <c r="C1546" s="1">
        <f ca="1">IFERROR(__xludf.DUMMYFUNCTION("""COMPUTED_VALUE"""),373.21)</f>
        <v>373.21</v>
      </c>
      <c r="D1546" s="1">
        <f ca="1">IFERROR(__xludf.DUMMYFUNCTION("""COMPUTED_VALUE"""),351.83)</f>
        <v>351.83</v>
      </c>
      <c r="E1546" s="1">
        <f ca="1">IFERROR(__xludf.DUMMYFUNCTION("""COMPUTED_VALUE"""),363)</f>
        <v>363</v>
      </c>
      <c r="F1546" s="1">
        <f ca="1">IFERROR(__xludf.DUMMYFUNCTION("""COMPUTED_VALUE"""),31445365)</f>
        <v>31445365</v>
      </c>
    </row>
    <row r="1547" spans="1:6" x14ac:dyDescent="0.2">
      <c r="A1547" s="2">
        <f ca="1">IFERROR(__xludf.DUMMYFUNCTION("""COMPUTED_VALUE"""),44518.6666666666)</f>
        <v>44518.666666666599</v>
      </c>
      <c r="B1547" s="1">
        <f ca="1">IFERROR(__xludf.DUMMYFUNCTION("""COMPUTED_VALUE"""),368.85)</f>
        <v>368.85</v>
      </c>
      <c r="C1547" s="1">
        <f ca="1">IFERROR(__xludf.DUMMYFUNCTION("""COMPUTED_VALUE"""),370.67)</f>
        <v>370.67</v>
      </c>
      <c r="D1547" s="1">
        <f ca="1">IFERROR(__xludf.DUMMYFUNCTION("""COMPUTED_VALUE"""),358.34)</f>
        <v>358.34</v>
      </c>
      <c r="E1547" s="1">
        <f ca="1">IFERROR(__xludf.DUMMYFUNCTION("""COMPUTED_VALUE"""),365.46)</f>
        <v>365.46</v>
      </c>
      <c r="F1547" s="1">
        <f ca="1">IFERROR(__xludf.DUMMYFUNCTION("""COMPUTED_VALUE"""),20898930)</f>
        <v>20898930</v>
      </c>
    </row>
    <row r="1548" spans="1:6" x14ac:dyDescent="0.2">
      <c r="A1548" s="2">
        <f ca="1">IFERROR(__xludf.DUMMYFUNCTION("""COMPUTED_VALUE"""),44519.6666666666)</f>
        <v>44519.666666666599</v>
      </c>
      <c r="B1548" s="1">
        <f ca="1">IFERROR(__xludf.DUMMYFUNCTION("""COMPUTED_VALUE"""),366.29)</f>
        <v>366.29</v>
      </c>
      <c r="C1548" s="1">
        <f ca="1">IFERROR(__xludf.DUMMYFUNCTION("""COMPUTED_VALUE"""),379.57)</f>
        <v>379.57</v>
      </c>
      <c r="D1548" s="1">
        <f ca="1">IFERROR(__xludf.DUMMYFUNCTION("""COMPUTED_VALUE"""),364.23)</f>
        <v>364.23</v>
      </c>
      <c r="E1548" s="1">
        <f ca="1">IFERROR(__xludf.DUMMYFUNCTION("""COMPUTED_VALUE"""),379.02)</f>
        <v>379.02</v>
      </c>
      <c r="F1548" s="1">
        <f ca="1">IFERROR(__xludf.DUMMYFUNCTION("""COMPUTED_VALUE"""),21642258)</f>
        <v>21642258</v>
      </c>
    </row>
    <row r="1549" spans="1:6" x14ac:dyDescent="0.2">
      <c r="A1549" s="2">
        <f ca="1">IFERROR(__xludf.DUMMYFUNCTION("""COMPUTED_VALUE"""),44522.6666666666)</f>
        <v>44522.666666666599</v>
      </c>
      <c r="B1549" s="1">
        <f ca="1">IFERROR(__xludf.DUMMYFUNCTION("""COMPUTED_VALUE"""),387.44)</f>
        <v>387.44</v>
      </c>
      <c r="C1549" s="1">
        <f ca="1">IFERROR(__xludf.DUMMYFUNCTION("""COMPUTED_VALUE"""),400.65)</f>
        <v>400.65</v>
      </c>
      <c r="D1549" s="1">
        <f ca="1">IFERROR(__xludf.DUMMYFUNCTION("""COMPUTED_VALUE"""),377.48)</f>
        <v>377.48</v>
      </c>
      <c r="E1549" s="1">
        <f ca="1">IFERROR(__xludf.DUMMYFUNCTION("""COMPUTED_VALUE"""),385.62)</f>
        <v>385.62</v>
      </c>
      <c r="F1549" s="1">
        <f ca="1">IFERROR(__xludf.DUMMYFUNCTION("""COMPUTED_VALUE"""),33072509)</f>
        <v>33072509</v>
      </c>
    </row>
    <row r="1550" spans="1:6" x14ac:dyDescent="0.2">
      <c r="A1550" s="2">
        <f ca="1">IFERROR(__xludf.DUMMYFUNCTION("""COMPUTED_VALUE"""),44523.6666666666)</f>
        <v>44523.666666666599</v>
      </c>
      <c r="B1550" s="1">
        <f ca="1">IFERROR(__xludf.DUMMYFUNCTION("""COMPUTED_VALUE"""),389.17)</f>
        <v>389.17</v>
      </c>
      <c r="C1550" s="1">
        <f ca="1">IFERROR(__xludf.DUMMYFUNCTION("""COMPUTED_VALUE"""),393.5)</f>
        <v>393.5</v>
      </c>
      <c r="D1550" s="1">
        <f ca="1">IFERROR(__xludf.DUMMYFUNCTION("""COMPUTED_VALUE"""),354.23)</f>
        <v>354.23</v>
      </c>
      <c r="E1550" s="1">
        <f ca="1">IFERROR(__xludf.DUMMYFUNCTION("""COMPUTED_VALUE"""),369.68)</f>
        <v>369.68</v>
      </c>
      <c r="F1550" s="1">
        <f ca="1">IFERROR(__xludf.DUMMYFUNCTION("""COMPUTED_VALUE"""),36171700)</f>
        <v>36171700</v>
      </c>
    </row>
    <row r="1551" spans="1:6" x14ac:dyDescent="0.2">
      <c r="A1551" s="2">
        <f ca="1">IFERROR(__xludf.DUMMYFUNCTION("""COMPUTED_VALUE"""),44524.6666666666)</f>
        <v>44524.666666666599</v>
      </c>
      <c r="B1551" s="1">
        <f ca="1">IFERROR(__xludf.DUMMYFUNCTION("""COMPUTED_VALUE"""),360.13)</f>
        <v>360.13</v>
      </c>
      <c r="C1551" s="1">
        <f ca="1">IFERROR(__xludf.DUMMYFUNCTION("""COMPUTED_VALUE"""),377.59)</f>
        <v>377.59</v>
      </c>
      <c r="D1551" s="1">
        <f ca="1">IFERROR(__xludf.DUMMYFUNCTION("""COMPUTED_VALUE"""),354)</f>
        <v>354</v>
      </c>
      <c r="E1551" s="1">
        <f ca="1">IFERROR(__xludf.DUMMYFUNCTION("""COMPUTED_VALUE"""),372)</f>
        <v>372</v>
      </c>
      <c r="F1551" s="1">
        <f ca="1">IFERROR(__xludf.DUMMYFUNCTION("""COMPUTED_VALUE"""),22560238)</f>
        <v>22560238</v>
      </c>
    </row>
    <row r="1552" spans="1:6" x14ac:dyDescent="0.2">
      <c r="A1552" s="2">
        <f ca="1">IFERROR(__xludf.DUMMYFUNCTION("""COMPUTED_VALUE"""),44526.5416666666)</f>
        <v>44526.541666666599</v>
      </c>
      <c r="B1552" s="1">
        <f ca="1">IFERROR(__xludf.DUMMYFUNCTION("""COMPUTED_VALUE"""),366.49)</f>
        <v>366.49</v>
      </c>
      <c r="C1552" s="1">
        <f ca="1">IFERROR(__xludf.DUMMYFUNCTION("""COMPUTED_VALUE"""),369.59)</f>
        <v>369.59</v>
      </c>
      <c r="D1552" s="1">
        <f ca="1">IFERROR(__xludf.DUMMYFUNCTION("""COMPUTED_VALUE"""),360.33)</f>
        <v>360.33</v>
      </c>
      <c r="E1552" s="1">
        <f ca="1">IFERROR(__xludf.DUMMYFUNCTION("""COMPUTED_VALUE"""),360.64)</f>
        <v>360.64</v>
      </c>
      <c r="F1552" s="1">
        <f ca="1">IFERROR(__xludf.DUMMYFUNCTION("""COMPUTED_VALUE"""),11680890)</f>
        <v>11680890</v>
      </c>
    </row>
    <row r="1553" spans="1:6" x14ac:dyDescent="0.2">
      <c r="A1553" s="2">
        <f ca="1">IFERROR(__xludf.DUMMYFUNCTION("""COMPUTED_VALUE"""),44529.6666666666)</f>
        <v>44529.666666666599</v>
      </c>
      <c r="B1553" s="1">
        <f ca="1">IFERROR(__xludf.DUMMYFUNCTION("""COMPUTED_VALUE"""),367)</f>
        <v>367</v>
      </c>
      <c r="C1553" s="1">
        <f ca="1">IFERROR(__xludf.DUMMYFUNCTION("""COMPUTED_VALUE"""),380.89)</f>
        <v>380.89</v>
      </c>
      <c r="D1553" s="1">
        <f ca="1">IFERROR(__xludf.DUMMYFUNCTION("""COMPUTED_VALUE"""),366.73)</f>
        <v>366.73</v>
      </c>
      <c r="E1553" s="1">
        <f ca="1">IFERROR(__xludf.DUMMYFUNCTION("""COMPUTED_VALUE"""),379)</f>
        <v>379</v>
      </c>
      <c r="F1553" s="1">
        <f ca="1">IFERROR(__xludf.DUMMYFUNCTION("""COMPUTED_VALUE"""),19464467)</f>
        <v>19464467</v>
      </c>
    </row>
    <row r="1554" spans="1:6" x14ac:dyDescent="0.2">
      <c r="A1554" s="2">
        <f ca="1">IFERROR(__xludf.DUMMYFUNCTION("""COMPUTED_VALUE"""),44530.6666666666)</f>
        <v>44530.666666666599</v>
      </c>
      <c r="B1554" s="1">
        <f ca="1">IFERROR(__xludf.DUMMYFUNCTION("""COMPUTED_VALUE"""),381.46)</f>
        <v>381.46</v>
      </c>
      <c r="C1554" s="1">
        <f ca="1">IFERROR(__xludf.DUMMYFUNCTION("""COMPUTED_VALUE"""),389.33)</f>
        <v>389.33</v>
      </c>
      <c r="D1554" s="1">
        <f ca="1">IFERROR(__xludf.DUMMYFUNCTION("""COMPUTED_VALUE"""),372.67)</f>
        <v>372.67</v>
      </c>
      <c r="E1554" s="1">
        <f ca="1">IFERROR(__xludf.DUMMYFUNCTION("""COMPUTED_VALUE"""),381.59)</f>
        <v>381.59</v>
      </c>
      <c r="F1554" s="1">
        <f ca="1">IFERROR(__xludf.DUMMYFUNCTION("""COMPUTED_VALUE"""),27092038)</f>
        <v>27092038</v>
      </c>
    </row>
    <row r="1555" spans="1:6" x14ac:dyDescent="0.2">
      <c r="A1555" s="2">
        <f ca="1">IFERROR(__xludf.DUMMYFUNCTION("""COMPUTED_VALUE"""),44531.6666666666)</f>
        <v>44531.666666666599</v>
      </c>
      <c r="B1555" s="1">
        <f ca="1">IFERROR(__xludf.DUMMYFUNCTION("""COMPUTED_VALUE"""),386.9)</f>
        <v>386.9</v>
      </c>
      <c r="C1555" s="1">
        <f ca="1">IFERROR(__xludf.DUMMYFUNCTION("""COMPUTED_VALUE"""),390.95)</f>
        <v>390.95</v>
      </c>
      <c r="D1555" s="1">
        <f ca="1">IFERROR(__xludf.DUMMYFUNCTION("""COMPUTED_VALUE"""),363.59)</f>
        <v>363.59</v>
      </c>
      <c r="E1555" s="1">
        <f ca="1">IFERROR(__xludf.DUMMYFUNCTION("""COMPUTED_VALUE"""),365)</f>
        <v>365</v>
      </c>
      <c r="F1555" s="1">
        <f ca="1">IFERROR(__xludf.DUMMYFUNCTION("""COMPUTED_VALUE"""),22934698)</f>
        <v>22934698</v>
      </c>
    </row>
    <row r="1556" spans="1:6" x14ac:dyDescent="0.2">
      <c r="A1556" s="2">
        <f ca="1">IFERROR(__xludf.DUMMYFUNCTION("""COMPUTED_VALUE"""),44532.6666666666)</f>
        <v>44532.666666666599</v>
      </c>
      <c r="B1556" s="1">
        <f ca="1">IFERROR(__xludf.DUMMYFUNCTION("""COMPUTED_VALUE"""),366.35)</f>
        <v>366.35</v>
      </c>
      <c r="C1556" s="1">
        <f ca="1">IFERROR(__xludf.DUMMYFUNCTION("""COMPUTED_VALUE"""),371)</f>
        <v>371</v>
      </c>
      <c r="D1556" s="1">
        <f ca="1">IFERROR(__xludf.DUMMYFUNCTION("""COMPUTED_VALUE"""),352.22)</f>
        <v>352.22</v>
      </c>
      <c r="E1556" s="1">
        <f ca="1">IFERROR(__xludf.DUMMYFUNCTION("""COMPUTED_VALUE"""),361.53)</f>
        <v>361.53</v>
      </c>
      <c r="F1556" s="1">
        <f ca="1">IFERROR(__xludf.DUMMYFUNCTION("""COMPUTED_VALUE"""),24371623)</f>
        <v>24371623</v>
      </c>
    </row>
    <row r="1557" spans="1:6" x14ac:dyDescent="0.2">
      <c r="A1557" s="2">
        <f ca="1">IFERROR(__xludf.DUMMYFUNCTION("""COMPUTED_VALUE"""),44533.6666666666)</f>
        <v>44533.666666666599</v>
      </c>
      <c r="B1557" s="1">
        <f ca="1">IFERROR(__xludf.DUMMYFUNCTION("""COMPUTED_VALUE"""),361.6)</f>
        <v>361.6</v>
      </c>
      <c r="C1557" s="1">
        <f ca="1">IFERROR(__xludf.DUMMYFUNCTION("""COMPUTED_VALUE"""),363.53)</f>
        <v>363.53</v>
      </c>
      <c r="D1557" s="1">
        <f ca="1">IFERROR(__xludf.DUMMYFUNCTION("""COMPUTED_VALUE"""),333.4)</f>
        <v>333.4</v>
      </c>
      <c r="E1557" s="1">
        <f ca="1">IFERROR(__xludf.DUMMYFUNCTION("""COMPUTED_VALUE"""),338.32)</f>
        <v>338.32</v>
      </c>
      <c r="F1557" s="1">
        <f ca="1">IFERROR(__xludf.DUMMYFUNCTION("""COMPUTED_VALUE"""),30773995)</f>
        <v>30773995</v>
      </c>
    </row>
    <row r="1558" spans="1:6" x14ac:dyDescent="0.2">
      <c r="A1558" s="2">
        <f ca="1">IFERROR(__xludf.DUMMYFUNCTION("""COMPUTED_VALUE"""),44536.6666666666)</f>
        <v>44536.666666666599</v>
      </c>
      <c r="B1558" s="1">
        <f ca="1">IFERROR(__xludf.DUMMYFUNCTION("""COMPUTED_VALUE"""),333.84)</f>
        <v>333.84</v>
      </c>
      <c r="C1558" s="1">
        <f ca="1">IFERROR(__xludf.DUMMYFUNCTION("""COMPUTED_VALUE"""),340.55)</f>
        <v>340.55</v>
      </c>
      <c r="D1558" s="1">
        <f ca="1">IFERROR(__xludf.DUMMYFUNCTION("""COMPUTED_VALUE"""),316.83)</f>
        <v>316.83</v>
      </c>
      <c r="E1558" s="1">
        <f ca="1">IFERROR(__xludf.DUMMYFUNCTION("""COMPUTED_VALUE"""),336.34)</f>
        <v>336.34</v>
      </c>
      <c r="F1558" s="1">
        <f ca="1">IFERROR(__xludf.DUMMYFUNCTION("""COMPUTED_VALUE"""),27221037)</f>
        <v>27221037</v>
      </c>
    </row>
    <row r="1559" spans="1:6" x14ac:dyDescent="0.2">
      <c r="A1559" s="2">
        <f ca="1">IFERROR(__xludf.DUMMYFUNCTION("""COMPUTED_VALUE"""),44537.6666666666)</f>
        <v>44537.666666666599</v>
      </c>
      <c r="B1559" s="1">
        <f ca="1">IFERROR(__xludf.DUMMYFUNCTION("""COMPUTED_VALUE"""),348.07)</f>
        <v>348.07</v>
      </c>
      <c r="C1559" s="1">
        <f ca="1">IFERROR(__xludf.DUMMYFUNCTION("""COMPUTED_VALUE"""),352.56)</f>
        <v>352.56</v>
      </c>
      <c r="D1559" s="1">
        <f ca="1">IFERROR(__xludf.DUMMYFUNCTION("""COMPUTED_VALUE"""),342.27)</f>
        <v>342.27</v>
      </c>
      <c r="E1559" s="1">
        <f ca="1">IFERROR(__xludf.DUMMYFUNCTION("""COMPUTED_VALUE"""),350.58)</f>
        <v>350.58</v>
      </c>
      <c r="F1559" s="1">
        <f ca="1">IFERROR(__xludf.DUMMYFUNCTION("""COMPUTED_VALUE"""),18694857)</f>
        <v>18694857</v>
      </c>
    </row>
    <row r="1560" spans="1:6" x14ac:dyDescent="0.2">
      <c r="A1560" s="2">
        <f ca="1">IFERROR(__xludf.DUMMYFUNCTION("""COMPUTED_VALUE"""),44538.6666666666)</f>
        <v>44538.666666666599</v>
      </c>
      <c r="B1560" s="1">
        <f ca="1">IFERROR(__xludf.DUMMYFUNCTION("""COMPUTED_VALUE"""),350.9)</f>
        <v>350.9</v>
      </c>
      <c r="C1560" s="1">
        <f ca="1">IFERROR(__xludf.DUMMYFUNCTION("""COMPUTED_VALUE"""),357.46)</f>
        <v>357.46</v>
      </c>
      <c r="D1560" s="1">
        <f ca="1">IFERROR(__xludf.DUMMYFUNCTION("""COMPUTED_VALUE"""),344.33)</f>
        <v>344.33</v>
      </c>
      <c r="E1560" s="1">
        <f ca="1">IFERROR(__xludf.DUMMYFUNCTION("""COMPUTED_VALUE"""),356.32)</f>
        <v>356.32</v>
      </c>
      <c r="F1560" s="1">
        <f ca="1">IFERROR(__xludf.DUMMYFUNCTION("""COMPUTED_VALUE"""),13968790)</f>
        <v>13968790</v>
      </c>
    </row>
    <row r="1561" spans="1:6" x14ac:dyDescent="0.2">
      <c r="A1561" s="2">
        <f ca="1">IFERROR(__xludf.DUMMYFUNCTION("""COMPUTED_VALUE"""),44539.6666666666)</f>
        <v>44539.666666666599</v>
      </c>
      <c r="B1561" s="1">
        <f ca="1">IFERROR(__xludf.DUMMYFUNCTION("""COMPUTED_VALUE"""),353.55)</f>
        <v>353.55</v>
      </c>
      <c r="C1561" s="1">
        <f ca="1">IFERROR(__xludf.DUMMYFUNCTION("""COMPUTED_VALUE"""),354.16)</f>
        <v>354.16</v>
      </c>
      <c r="D1561" s="1">
        <f ca="1">IFERROR(__xludf.DUMMYFUNCTION("""COMPUTED_VALUE"""),334.12)</f>
        <v>334.12</v>
      </c>
      <c r="E1561" s="1">
        <f ca="1">IFERROR(__xludf.DUMMYFUNCTION("""COMPUTED_VALUE"""),334.6)</f>
        <v>334.6</v>
      </c>
      <c r="F1561" s="1">
        <f ca="1">IFERROR(__xludf.DUMMYFUNCTION("""COMPUTED_VALUE"""),19812832)</f>
        <v>19812832</v>
      </c>
    </row>
    <row r="1562" spans="1:6" x14ac:dyDescent="0.2">
      <c r="A1562" s="2">
        <f ca="1">IFERROR(__xludf.DUMMYFUNCTION("""COMPUTED_VALUE"""),44540.6666666666)</f>
        <v>44540.666666666599</v>
      </c>
      <c r="B1562" s="1">
        <f ca="1">IFERROR(__xludf.DUMMYFUNCTION("""COMPUTED_VALUE"""),336.25)</f>
        <v>336.25</v>
      </c>
      <c r="C1562" s="1">
        <f ca="1">IFERROR(__xludf.DUMMYFUNCTION("""COMPUTED_VALUE"""),340.33)</f>
        <v>340.33</v>
      </c>
      <c r="D1562" s="1">
        <f ca="1">IFERROR(__xludf.DUMMYFUNCTION("""COMPUTED_VALUE"""),327.51)</f>
        <v>327.51</v>
      </c>
      <c r="E1562" s="1">
        <f ca="1">IFERROR(__xludf.DUMMYFUNCTION("""COMPUTED_VALUE"""),339.01)</f>
        <v>339.01</v>
      </c>
      <c r="F1562" s="1">
        <f ca="1">IFERROR(__xludf.DUMMYFUNCTION("""COMPUTED_VALUE"""),19888122)</f>
        <v>19888122</v>
      </c>
    </row>
    <row r="1563" spans="1:6" x14ac:dyDescent="0.2">
      <c r="A1563" s="2">
        <f ca="1">IFERROR(__xludf.DUMMYFUNCTION("""COMPUTED_VALUE"""),44543.6666666666)</f>
        <v>44543.666666666599</v>
      </c>
      <c r="B1563" s="1">
        <f ca="1">IFERROR(__xludf.DUMMYFUNCTION("""COMPUTED_VALUE"""),333.7)</f>
        <v>333.7</v>
      </c>
      <c r="C1563" s="1">
        <f ca="1">IFERROR(__xludf.DUMMYFUNCTION("""COMPUTED_VALUE"""),335)</f>
        <v>335</v>
      </c>
      <c r="D1563" s="1">
        <f ca="1">IFERROR(__xludf.DUMMYFUNCTION("""COMPUTED_VALUE"""),317.14)</f>
        <v>317.14</v>
      </c>
      <c r="E1563" s="1">
        <f ca="1">IFERROR(__xludf.DUMMYFUNCTION("""COMPUTED_VALUE"""),322.14)</f>
        <v>322.14</v>
      </c>
      <c r="F1563" s="1">
        <f ca="1">IFERROR(__xludf.DUMMYFUNCTION("""COMPUTED_VALUE"""),26198502)</f>
        <v>26198502</v>
      </c>
    </row>
    <row r="1564" spans="1:6" x14ac:dyDescent="0.2">
      <c r="A1564" s="2">
        <f ca="1">IFERROR(__xludf.DUMMYFUNCTION("""COMPUTED_VALUE"""),44544.6666666666)</f>
        <v>44544.666666666599</v>
      </c>
      <c r="B1564" s="1">
        <f ca="1">IFERROR(__xludf.DUMMYFUNCTION("""COMPUTED_VALUE"""),315)</f>
        <v>315</v>
      </c>
      <c r="C1564" s="1">
        <f ca="1">IFERROR(__xludf.DUMMYFUNCTION("""COMPUTED_VALUE"""),322.14)</f>
        <v>322.14</v>
      </c>
      <c r="D1564" s="1">
        <f ca="1">IFERROR(__xludf.DUMMYFUNCTION("""COMPUTED_VALUE"""),310)</f>
        <v>310</v>
      </c>
      <c r="E1564" s="1">
        <f ca="1">IFERROR(__xludf.DUMMYFUNCTION("""COMPUTED_VALUE"""),319.5)</f>
        <v>319.5</v>
      </c>
      <c r="F1564" s="1">
        <f ca="1">IFERROR(__xludf.DUMMYFUNCTION("""COMPUTED_VALUE"""),23602090)</f>
        <v>23602090</v>
      </c>
    </row>
    <row r="1565" spans="1:6" x14ac:dyDescent="0.2">
      <c r="A1565" s="2">
        <f ca="1">IFERROR(__xludf.DUMMYFUNCTION("""COMPUTED_VALUE"""),44545.6666666666)</f>
        <v>44545.666666666599</v>
      </c>
      <c r="B1565" s="1">
        <f ca="1">IFERROR(__xludf.DUMMYFUNCTION("""COMPUTED_VALUE"""),317.74)</f>
        <v>317.74</v>
      </c>
      <c r="C1565" s="1">
        <f ca="1">IFERROR(__xludf.DUMMYFUNCTION("""COMPUTED_VALUE"""),326.25)</f>
        <v>326.25</v>
      </c>
      <c r="D1565" s="1">
        <f ca="1">IFERROR(__xludf.DUMMYFUNCTION("""COMPUTED_VALUE"""),309.42)</f>
        <v>309.42</v>
      </c>
      <c r="E1565" s="1">
        <f ca="1">IFERROR(__xludf.DUMMYFUNCTION("""COMPUTED_VALUE"""),325.33)</f>
        <v>325.33</v>
      </c>
      <c r="F1565" s="1">
        <f ca="1">IFERROR(__xludf.DUMMYFUNCTION("""COMPUTED_VALUE"""),25056410)</f>
        <v>25056410</v>
      </c>
    </row>
    <row r="1566" spans="1:6" x14ac:dyDescent="0.2">
      <c r="A1566" s="2">
        <f ca="1">IFERROR(__xludf.DUMMYFUNCTION("""COMPUTED_VALUE"""),44546.6666666666)</f>
        <v>44546.666666666599</v>
      </c>
      <c r="B1566" s="1">
        <f ca="1">IFERROR(__xludf.DUMMYFUNCTION("""COMPUTED_VALUE"""),331.5)</f>
        <v>331.5</v>
      </c>
      <c r="C1566" s="1">
        <f ca="1">IFERROR(__xludf.DUMMYFUNCTION("""COMPUTED_VALUE"""),331.66)</f>
        <v>331.66</v>
      </c>
      <c r="D1566" s="1">
        <f ca="1">IFERROR(__xludf.DUMMYFUNCTION("""COMPUTED_VALUE"""),307.28)</f>
        <v>307.27999999999997</v>
      </c>
      <c r="E1566" s="1">
        <f ca="1">IFERROR(__xludf.DUMMYFUNCTION("""COMPUTED_VALUE"""),308.97)</f>
        <v>308.97000000000003</v>
      </c>
      <c r="F1566" s="1">
        <f ca="1">IFERROR(__xludf.DUMMYFUNCTION("""COMPUTED_VALUE"""),27590483)</f>
        <v>27590483</v>
      </c>
    </row>
    <row r="1567" spans="1:6" x14ac:dyDescent="0.2">
      <c r="A1567" s="2">
        <f ca="1">IFERROR(__xludf.DUMMYFUNCTION("""COMPUTED_VALUE"""),44547.6666666666)</f>
        <v>44547.666666666599</v>
      </c>
      <c r="B1567" s="1">
        <f ca="1">IFERROR(__xludf.DUMMYFUNCTION("""COMPUTED_VALUE"""),304.92)</f>
        <v>304.92</v>
      </c>
      <c r="C1567" s="1">
        <f ca="1">IFERROR(__xludf.DUMMYFUNCTION("""COMPUTED_VALUE"""),320.22)</f>
        <v>320.22000000000003</v>
      </c>
      <c r="D1567" s="1">
        <f ca="1">IFERROR(__xludf.DUMMYFUNCTION("""COMPUTED_VALUE"""),303.01)</f>
        <v>303.01</v>
      </c>
      <c r="E1567" s="1">
        <f ca="1">IFERROR(__xludf.DUMMYFUNCTION("""COMPUTED_VALUE"""),310.86)</f>
        <v>310.86</v>
      </c>
      <c r="F1567" s="1">
        <f ca="1">IFERROR(__xludf.DUMMYFUNCTION("""COMPUTED_VALUE"""),33626754)</f>
        <v>33626754</v>
      </c>
    </row>
    <row r="1568" spans="1:6" x14ac:dyDescent="0.2">
      <c r="A1568" s="2">
        <f ca="1">IFERROR(__xludf.DUMMYFUNCTION("""COMPUTED_VALUE"""),44550.6666666666)</f>
        <v>44550.666666666599</v>
      </c>
      <c r="B1568" s="1">
        <f ca="1">IFERROR(__xludf.DUMMYFUNCTION("""COMPUTED_VALUE"""),303.57)</f>
        <v>303.57</v>
      </c>
      <c r="C1568" s="1">
        <f ca="1">IFERROR(__xludf.DUMMYFUNCTION("""COMPUTED_VALUE"""),307.23)</f>
        <v>307.23</v>
      </c>
      <c r="D1568" s="1">
        <f ca="1">IFERROR(__xludf.DUMMYFUNCTION("""COMPUTED_VALUE"""),297.8)</f>
        <v>297.8</v>
      </c>
      <c r="E1568" s="1">
        <f ca="1">IFERROR(__xludf.DUMMYFUNCTION("""COMPUTED_VALUE"""),299.98)</f>
        <v>299.98</v>
      </c>
      <c r="F1568" s="1">
        <f ca="1">IFERROR(__xludf.DUMMYFUNCTION("""COMPUTED_VALUE"""),18826671)</f>
        <v>18826671</v>
      </c>
    </row>
    <row r="1569" spans="1:6" x14ac:dyDescent="0.2">
      <c r="A1569" s="2">
        <f ca="1">IFERROR(__xludf.DUMMYFUNCTION("""COMPUTED_VALUE"""),44551.6666666666)</f>
        <v>44551.666666666599</v>
      </c>
      <c r="B1569" s="1">
        <f ca="1">IFERROR(__xludf.DUMMYFUNCTION("""COMPUTED_VALUE"""),305.62)</f>
        <v>305.62</v>
      </c>
      <c r="C1569" s="1">
        <f ca="1">IFERROR(__xludf.DUMMYFUNCTION("""COMPUTED_VALUE"""),313.17)</f>
        <v>313.17</v>
      </c>
      <c r="D1569" s="1">
        <f ca="1">IFERROR(__xludf.DUMMYFUNCTION("""COMPUTED_VALUE"""),295.37)</f>
        <v>295.37</v>
      </c>
      <c r="E1569" s="1">
        <f ca="1">IFERROR(__xludf.DUMMYFUNCTION("""COMPUTED_VALUE"""),312.84)</f>
        <v>312.83999999999997</v>
      </c>
      <c r="F1569" s="1">
        <f ca="1">IFERROR(__xludf.DUMMYFUNCTION("""COMPUTED_VALUE"""),23839305)</f>
        <v>23839305</v>
      </c>
    </row>
    <row r="1570" spans="1:6" x14ac:dyDescent="0.2">
      <c r="A1570" s="2">
        <f ca="1">IFERROR(__xludf.DUMMYFUNCTION("""COMPUTED_VALUE"""),44552.6666666666)</f>
        <v>44552.666666666599</v>
      </c>
      <c r="B1570" s="1">
        <f ca="1">IFERROR(__xludf.DUMMYFUNCTION("""COMPUTED_VALUE"""),321.89)</f>
        <v>321.89</v>
      </c>
      <c r="C1570" s="1">
        <f ca="1">IFERROR(__xludf.DUMMYFUNCTION("""COMPUTED_VALUE"""),338.55)</f>
        <v>338.55</v>
      </c>
      <c r="D1570" s="1">
        <f ca="1">IFERROR(__xludf.DUMMYFUNCTION("""COMPUTED_VALUE"""),319.02)</f>
        <v>319.02</v>
      </c>
      <c r="E1570" s="1">
        <f ca="1">IFERROR(__xludf.DUMMYFUNCTION("""COMPUTED_VALUE"""),336.29)</f>
        <v>336.29</v>
      </c>
      <c r="F1570" s="1">
        <f ca="1">IFERROR(__xludf.DUMMYFUNCTION("""COMPUTED_VALUE"""),31211362)</f>
        <v>31211362</v>
      </c>
    </row>
    <row r="1571" spans="1:6" x14ac:dyDescent="0.2">
      <c r="A1571" s="2">
        <f ca="1">IFERROR(__xludf.DUMMYFUNCTION("""COMPUTED_VALUE"""),44553.6666666666)</f>
        <v>44553.666666666599</v>
      </c>
      <c r="B1571" s="1">
        <f ca="1">IFERROR(__xludf.DUMMYFUNCTION("""COMPUTED_VALUE"""),335.6)</f>
        <v>335.6</v>
      </c>
      <c r="C1571" s="1">
        <f ca="1">IFERROR(__xludf.DUMMYFUNCTION("""COMPUTED_VALUE"""),357.66)</f>
        <v>357.66</v>
      </c>
      <c r="D1571" s="1">
        <f ca="1">IFERROR(__xludf.DUMMYFUNCTION("""COMPUTED_VALUE"""),332.52)</f>
        <v>332.52</v>
      </c>
      <c r="E1571" s="1">
        <f ca="1">IFERROR(__xludf.DUMMYFUNCTION("""COMPUTED_VALUE"""),355.67)</f>
        <v>355.67</v>
      </c>
      <c r="F1571" s="1">
        <f ca="1">IFERROR(__xludf.DUMMYFUNCTION("""COMPUTED_VALUE"""),30904429)</f>
        <v>30904429</v>
      </c>
    </row>
    <row r="1572" spans="1:6" x14ac:dyDescent="0.2">
      <c r="A1572" s="2">
        <f ca="1">IFERROR(__xludf.DUMMYFUNCTION("""COMPUTED_VALUE"""),44557.6666666666)</f>
        <v>44557.666666666599</v>
      </c>
      <c r="B1572" s="1">
        <f ca="1">IFERROR(__xludf.DUMMYFUNCTION("""COMPUTED_VALUE"""),357.89)</f>
        <v>357.89</v>
      </c>
      <c r="C1572" s="1">
        <f ca="1">IFERROR(__xludf.DUMMYFUNCTION("""COMPUTED_VALUE"""),372.33)</f>
        <v>372.33</v>
      </c>
      <c r="D1572" s="1">
        <f ca="1">IFERROR(__xludf.DUMMYFUNCTION("""COMPUTED_VALUE"""),356.91)</f>
        <v>356.91</v>
      </c>
      <c r="E1572" s="1">
        <f ca="1">IFERROR(__xludf.DUMMYFUNCTION("""COMPUTED_VALUE"""),364.65)</f>
        <v>364.65</v>
      </c>
      <c r="F1572" s="1">
        <f ca="1">IFERROR(__xludf.DUMMYFUNCTION("""COMPUTED_VALUE"""),23715273)</f>
        <v>23715273</v>
      </c>
    </row>
    <row r="1573" spans="1:6" x14ac:dyDescent="0.2">
      <c r="A1573" s="2">
        <f ca="1">IFERROR(__xludf.DUMMYFUNCTION("""COMPUTED_VALUE"""),44558.6666666666)</f>
        <v>44558.666666666599</v>
      </c>
      <c r="B1573" s="1">
        <f ca="1">IFERROR(__xludf.DUMMYFUNCTION("""COMPUTED_VALUE"""),369.83)</f>
        <v>369.83</v>
      </c>
      <c r="C1573" s="1">
        <f ca="1">IFERROR(__xludf.DUMMYFUNCTION("""COMPUTED_VALUE"""),373)</f>
        <v>373</v>
      </c>
      <c r="D1573" s="1">
        <f ca="1">IFERROR(__xludf.DUMMYFUNCTION("""COMPUTED_VALUE"""),359.47)</f>
        <v>359.47</v>
      </c>
      <c r="E1573" s="1">
        <f ca="1">IFERROR(__xludf.DUMMYFUNCTION("""COMPUTED_VALUE"""),362.82)</f>
        <v>362.82</v>
      </c>
      <c r="F1573" s="1">
        <f ca="1">IFERROR(__xludf.DUMMYFUNCTION("""COMPUTED_VALUE"""),20107969)</f>
        <v>20107969</v>
      </c>
    </row>
    <row r="1574" spans="1:6" x14ac:dyDescent="0.2">
      <c r="A1574" s="2">
        <f ca="1">IFERROR(__xludf.DUMMYFUNCTION("""COMPUTED_VALUE"""),44559.6666666666)</f>
        <v>44559.666666666599</v>
      </c>
      <c r="B1574" s="1">
        <f ca="1">IFERROR(__xludf.DUMMYFUNCTION("""COMPUTED_VALUE"""),366.21)</f>
        <v>366.21</v>
      </c>
      <c r="C1574" s="1">
        <f ca="1">IFERROR(__xludf.DUMMYFUNCTION("""COMPUTED_VALUE"""),368)</f>
        <v>368</v>
      </c>
      <c r="D1574" s="1">
        <f ca="1">IFERROR(__xludf.DUMMYFUNCTION("""COMPUTED_VALUE"""),354.71)</f>
        <v>354.71</v>
      </c>
      <c r="E1574" s="1">
        <f ca="1">IFERROR(__xludf.DUMMYFUNCTION("""COMPUTED_VALUE"""),362.06)</f>
        <v>362.06</v>
      </c>
      <c r="F1574" s="1">
        <f ca="1">IFERROR(__xludf.DUMMYFUNCTION("""COMPUTED_VALUE"""),18718015)</f>
        <v>18718015</v>
      </c>
    </row>
    <row r="1575" spans="1:6" x14ac:dyDescent="0.2">
      <c r="A1575" s="2">
        <f ca="1">IFERROR(__xludf.DUMMYFUNCTION("""COMPUTED_VALUE"""),44560.6666666666)</f>
        <v>44560.666666666599</v>
      </c>
      <c r="B1575" s="1">
        <f ca="1">IFERROR(__xludf.DUMMYFUNCTION("""COMPUTED_VALUE"""),353.78)</f>
        <v>353.78</v>
      </c>
      <c r="C1575" s="1">
        <f ca="1">IFERROR(__xludf.DUMMYFUNCTION("""COMPUTED_VALUE"""),365.18)</f>
        <v>365.18</v>
      </c>
      <c r="D1575" s="1">
        <f ca="1">IFERROR(__xludf.DUMMYFUNCTION("""COMPUTED_VALUE"""),351.05)</f>
        <v>351.05</v>
      </c>
      <c r="E1575" s="1">
        <f ca="1">IFERROR(__xludf.DUMMYFUNCTION("""COMPUTED_VALUE"""),356.78)</f>
        <v>356.78</v>
      </c>
      <c r="F1575" s="1">
        <f ca="1">IFERROR(__xludf.DUMMYFUNCTION("""COMPUTED_VALUE"""),15680313)</f>
        <v>15680313</v>
      </c>
    </row>
    <row r="1576" spans="1:6" x14ac:dyDescent="0.2">
      <c r="A1576" s="2">
        <f ca="1">IFERROR(__xludf.DUMMYFUNCTION("""COMPUTED_VALUE"""),44561.6666666666)</f>
        <v>44561.666666666599</v>
      </c>
      <c r="B1576" s="1">
        <f ca="1">IFERROR(__xludf.DUMMYFUNCTION("""COMPUTED_VALUE"""),357.81)</f>
        <v>357.81</v>
      </c>
      <c r="C1576" s="1">
        <f ca="1">IFERROR(__xludf.DUMMYFUNCTION("""COMPUTED_VALUE"""),360.67)</f>
        <v>360.67</v>
      </c>
      <c r="D1576" s="1">
        <f ca="1">IFERROR(__xludf.DUMMYFUNCTION("""COMPUTED_VALUE"""),351.53)</f>
        <v>351.53</v>
      </c>
      <c r="E1576" s="1">
        <f ca="1">IFERROR(__xludf.DUMMYFUNCTION("""COMPUTED_VALUE"""),352.26)</f>
        <v>352.26</v>
      </c>
      <c r="F1576" s="1">
        <f ca="1">IFERROR(__xludf.DUMMYFUNCTION("""COMPUTED_VALUE"""),13577875)</f>
        <v>13577875</v>
      </c>
    </row>
    <row r="1577" spans="1:6" x14ac:dyDescent="0.2">
      <c r="A1577" s="2">
        <f ca="1">IFERROR(__xludf.DUMMYFUNCTION("""COMPUTED_VALUE"""),44564.6666666666)</f>
        <v>44564.666666666599</v>
      </c>
      <c r="B1577" s="1">
        <f ca="1">IFERROR(__xludf.DUMMYFUNCTION("""COMPUTED_VALUE"""),382.58)</f>
        <v>382.58</v>
      </c>
      <c r="C1577" s="1">
        <f ca="1">IFERROR(__xludf.DUMMYFUNCTION("""COMPUTED_VALUE"""),400.36)</f>
        <v>400.36</v>
      </c>
      <c r="D1577" s="1">
        <f ca="1">IFERROR(__xludf.DUMMYFUNCTION("""COMPUTED_VALUE"""),378.68)</f>
        <v>378.68</v>
      </c>
      <c r="E1577" s="1">
        <f ca="1">IFERROR(__xludf.DUMMYFUNCTION("""COMPUTED_VALUE"""),399.93)</f>
        <v>399.93</v>
      </c>
      <c r="F1577" s="1">
        <f ca="1">IFERROR(__xludf.DUMMYFUNCTION("""COMPUTED_VALUE"""),34895349)</f>
        <v>34895349</v>
      </c>
    </row>
    <row r="1578" spans="1:6" x14ac:dyDescent="0.2">
      <c r="A1578" s="2">
        <f ca="1">IFERROR(__xludf.DUMMYFUNCTION("""COMPUTED_VALUE"""),44565.6666666666)</f>
        <v>44565.666666666599</v>
      </c>
      <c r="B1578" s="1">
        <f ca="1">IFERROR(__xludf.DUMMYFUNCTION("""COMPUTED_VALUE"""),396.52)</f>
        <v>396.52</v>
      </c>
      <c r="C1578" s="1">
        <f ca="1">IFERROR(__xludf.DUMMYFUNCTION("""COMPUTED_VALUE"""),402.67)</f>
        <v>402.67</v>
      </c>
      <c r="D1578" s="1">
        <f ca="1">IFERROR(__xludf.DUMMYFUNCTION("""COMPUTED_VALUE"""),374.35)</f>
        <v>374.35</v>
      </c>
      <c r="E1578" s="1">
        <f ca="1">IFERROR(__xludf.DUMMYFUNCTION("""COMPUTED_VALUE"""),383.2)</f>
        <v>383.2</v>
      </c>
      <c r="F1578" s="1">
        <f ca="1">IFERROR(__xludf.DUMMYFUNCTION("""COMPUTED_VALUE"""),33416086)</f>
        <v>33416086</v>
      </c>
    </row>
    <row r="1579" spans="1:6" x14ac:dyDescent="0.2">
      <c r="A1579" s="2">
        <f ca="1">IFERROR(__xludf.DUMMYFUNCTION("""COMPUTED_VALUE"""),44566.6666666666)</f>
        <v>44566.666666666599</v>
      </c>
      <c r="B1579" s="1">
        <f ca="1">IFERROR(__xludf.DUMMYFUNCTION("""COMPUTED_VALUE"""),382.22)</f>
        <v>382.22</v>
      </c>
      <c r="C1579" s="1">
        <f ca="1">IFERROR(__xludf.DUMMYFUNCTION("""COMPUTED_VALUE"""),390.11)</f>
        <v>390.11</v>
      </c>
      <c r="D1579" s="1">
        <f ca="1">IFERROR(__xludf.DUMMYFUNCTION("""COMPUTED_VALUE"""),360.34)</f>
        <v>360.34</v>
      </c>
      <c r="E1579" s="1">
        <f ca="1">IFERROR(__xludf.DUMMYFUNCTION("""COMPUTED_VALUE"""),362.71)</f>
        <v>362.71</v>
      </c>
      <c r="F1579" s="1">
        <f ca="1">IFERROR(__xludf.DUMMYFUNCTION("""COMPUTED_VALUE"""),26706599)</f>
        <v>26706599</v>
      </c>
    </row>
    <row r="1580" spans="1:6" x14ac:dyDescent="0.2">
      <c r="A1580" s="2">
        <f ca="1">IFERROR(__xludf.DUMMYFUNCTION("""COMPUTED_VALUE"""),44567.6666666666)</f>
        <v>44567.666666666599</v>
      </c>
      <c r="B1580" s="1">
        <f ca="1">IFERROR(__xludf.DUMMYFUNCTION("""COMPUTED_VALUE"""),359)</f>
        <v>359</v>
      </c>
      <c r="C1580" s="1">
        <f ca="1">IFERROR(__xludf.DUMMYFUNCTION("""COMPUTED_VALUE"""),362.67)</f>
        <v>362.67</v>
      </c>
      <c r="D1580" s="1">
        <f ca="1">IFERROR(__xludf.DUMMYFUNCTION("""COMPUTED_VALUE"""),340.17)</f>
        <v>340.17</v>
      </c>
      <c r="E1580" s="1">
        <f ca="1">IFERROR(__xludf.DUMMYFUNCTION("""COMPUTED_VALUE"""),354.9)</f>
        <v>354.9</v>
      </c>
      <c r="F1580" s="1">
        <f ca="1">IFERROR(__xludf.DUMMYFUNCTION("""COMPUTED_VALUE"""),30112158)</f>
        <v>30112158</v>
      </c>
    </row>
    <row r="1581" spans="1:6" x14ac:dyDescent="0.2">
      <c r="A1581" s="2">
        <f ca="1">IFERROR(__xludf.DUMMYFUNCTION("""COMPUTED_VALUE"""),44568.6666666666)</f>
        <v>44568.666666666599</v>
      </c>
      <c r="B1581" s="1">
        <f ca="1">IFERROR(__xludf.DUMMYFUNCTION("""COMPUTED_VALUE"""),360.12)</f>
        <v>360.12</v>
      </c>
      <c r="C1581" s="1">
        <f ca="1">IFERROR(__xludf.DUMMYFUNCTION("""COMPUTED_VALUE"""),360.31)</f>
        <v>360.31</v>
      </c>
      <c r="D1581" s="1">
        <f ca="1">IFERROR(__xludf.DUMMYFUNCTION("""COMPUTED_VALUE"""),336.67)</f>
        <v>336.67</v>
      </c>
      <c r="E1581" s="1">
        <f ca="1">IFERROR(__xludf.DUMMYFUNCTION("""COMPUTED_VALUE"""),342.32)</f>
        <v>342.32</v>
      </c>
      <c r="F1581" s="1">
        <f ca="1">IFERROR(__xludf.DUMMYFUNCTION("""COMPUTED_VALUE"""),28054916)</f>
        <v>28054916</v>
      </c>
    </row>
    <row r="1582" spans="1:6" x14ac:dyDescent="0.2">
      <c r="A1582" s="2">
        <f ca="1">IFERROR(__xludf.DUMMYFUNCTION("""COMPUTED_VALUE"""),44571.6666666666)</f>
        <v>44571.666666666599</v>
      </c>
      <c r="B1582" s="1">
        <f ca="1">IFERROR(__xludf.DUMMYFUNCTION("""COMPUTED_VALUE"""),333.33)</f>
        <v>333.33</v>
      </c>
      <c r="C1582" s="1">
        <f ca="1">IFERROR(__xludf.DUMMYFUNCTION("""COMPUTED_VALUE"""),353.03)</f>
        <v>353.03</v>
      </c>
      <c r="D1582" s="1">
        <f ca="1">IFERROR(__xludf.DUMMYFUNCTION("""COMPUTED_VALUE"""),326.67)</f>
        <v>326.67</v>
      </c>
      <c r="E1582" s="1">
        <f ca="1">IFERROR(__xludf.DUMMYFUNCTION("""COMPUTED_VALUE"""),352.71)</f>
        <v>352.71</v>
      </c>
      <c r="F1582" s="1">
        <f ca="1">IFERROR(__xludf.DUMMYFUNCTION("""COMPUTED_VALUE"""),30604959)</f>
        <v>30604959</v>
      </c>
    </row>
    <row r="1583" spans="1:6" x14ac:dyDescent="0.2">
      <c r="A1583" s="2">
        <f ca="1">IFERROR(__xludf.DUMMYFUNCTION("""COMPUTED_VALUE"""),44572.6666666666)</f>
        <v>44572.666666666599</v>
      </c>
      <c r="B1583" s="1">
        <f ca="1">IFERROR(__xludf.DUMMYFUNCTION("""COMPUTED_VALUE"""),351.22)</f>
        <v>351.22</v>
      </c>
      <c r="C1583" s="1">
        <f ca="1">IFERROR(__xludf.DUMMYFUNCTION("""COMPUTED_VALUE"""),358.62)</f>
        <v>358.62</v>
      </c>
      <c r="D1583" s="1">
        <f ca="1">IFERROR(__xludf.DUMMYFUNCTION("""COMPUTED_VALUE"""),346.27)</f>
        <v>346.27</v>
      </c>
      <c r="E1583" s="1">
        <f ca="1">IFERROR(__xludf.DUMMYFUNCTION("""COMPUTED_VALUE"""),354.8)</f>
        <v>354.8</v>
      </c>
      <c r="F1583" s="1">
        <f ca="1">IFERROR(__xludf.DUMMYFUNCTION("""COMPUTED_VALUE"""),22021070)</f>
        <v>22021070</v>
      </c>
    </row>
    <row r="1584" spans="1:6" x14ac:dyDescent="0.2">
      <c r="A1584" s="2">
        <f ca="1">IFERROR(__xludf.DUMMYFUNCTION("""COMPUTED_VALUE"""),44573.6666666666)</f>
        <v>44573.666666666599</v>
      </c>
      <c r="B1584" s="1">
        <f ca="1">IFERROR(__xludf.DUMMYFUNCTION("""COMPUTED_VALUE"""),359.62)</f>
        <v>359.62</v>
      </c>
      <c r="C1584" s="1">
        <f ca="1">IFERROR(__xludf.DUMMYFUNCTION("""COMPUTED_VALUE"""),371.61)</f>
        <v>371.61</v>
      </c>
      <c r="D1584" s="1">
        <f ca="1">IFERROR(__xludf.DUMMYFUNCTION("""COMPUTED_VALUE"""),357.53)</f>
        <v>357.53</v>
      </c>
      <c r="E1584" s="1">
        <f ca="1">IFERROR(__xludf.DUMMYFUNCTION("""COMPUTED_VALUE"""),368.74)</f>
        <v>368.74</v>
      </c>
      <c r="F1584" s="1">
        <f ca="1">IFERROR(__xludf.DUMMYFUNCTION("""COMPUTED_VALUE"""),27913005)</f>
        <v>27913005</v>
      </c>
    </row>
    <row r="1585" spans="1:6" x14ac:dyDescent="0.2">
      <c r="A1585" s="2">
        <f ca="1">IFERROR(__xludf.DUMMYFUNCTION("""COMPUTED_VALUE"""),44574.6666666666)</f>
        <v>44574.666666666599</v>
      </c>
      <c r="B1585" s="1">
        <f ca="1">IFERROR(__xludf.DUMMYFUNCTION("""COMPUTED_VALUE"""),369.69)</f>
        <v>369.69</v>
      </c>
      <c r="C1585" s="1">
        <f ca="1">IFERROR(__xludf.DUMMYFUNCTION("""COMPUTED_VALUE"""),371.87)</f>
        <v>371.87</v>
      </c>
      <c r="D1585" s="1">
        <f ca="1">IFERROR(__xludf.DUMMYFUNCTION("""COMPUTED_VALUE"""),342.18)</f>
        <v>342.18</v>
      </c>
      <c r="E1585" s="1">
        <f ca="1">IFERROR(__xludf.DUMMYFUNCTION("""COMPUTED_VALUE"""),343.85)</f>
        <v>343.85</v>
      </c>
      <c r="F1585" s="1">
        <f ca="1">IFERROR(__xludf.DUMMYFUNCTION("""COMPUTED_VALUE"""),32403264)</f>
        <v>32403264</v>
      </c>
    </row>
    <row r="1586" spans="1:6" x14ac:dyDescent="0.2">
      <c r="A1586" s="2">
        <f ca="1">IFERROR(__xludf.DUMMYFUNCTION("""COMPUTED_VALUE"""),44575.6666666666)</f>
        <v>44575.666666666599</v>
      </c>
      <c r="B1586" s="1">
        <f ca="1">IFERROR(__xludf.DUMMYFUNCTION("""COMPUTED_VALUE"""),339.96)</f>
        <v>339.96</v>
      </c>
      <c r="C1586" s="1">
        <f ca="1">IFERROR(__xludf.DUMMYFUNCTION("""COMPUTED_VALUE"""),350.67)</f>
        <v>350.67</v>
      </c>
      <c r="D1586" s="1">
        <f ca="1">IFERROR(__xludf.DUMMYFUNCTION("""COMPUTED_VALUE"""),337.79)</f>
        <v>337.79</v>
      </c>
      <c r="E1586" s="1">
        <f ca="1">IFERROR(__xludf.DUMMYFUNCTION("""COMPUTED_VALUE"""),349.87)</f>
        <v>349.87</v>
      </c>
      <c r="F1586" s="1">
        <f ca="1">IFERROR(__xludf.DUMMYFUNCTION("""COMPUTED_VALUE"""),24308137)</f>
        <v>24308137</v>
      </c>
    </row>
    <row r="1587" spans="1:6" x14ac:dyDescent="0.2">
      <c r="A1587" s="2">
        <f ca="1">IFERROR(__xludf.DUMMYFUNCTION("""COMPUTED_VALUE"""),44579.6666666666)</f>
        <v>44579.666666666599</v>
      </c>
      <c r="B1587" s="1">
        <f ca="1">IFERROR(__xludf.DUMMYFUNCTION("""COMPUTED_VALUE"""),342.2)</f>
        <v>342.2</v>
      </c>
      <c r="C1587" s="1">
        <f ca="1">IFERROR(__xludf.DUMMYFUNCTION("""COMPUTED_VALUE"""),356.93)</f>
        <v>356.93</v>
      </c>
      <c r="D1587" s="1">
        <f ca="1">IFERROR(__xludf.DUMMYFUNCTION("""COMPUTED_VALUE"""),338.69)</f>
        <v>338.69</v>
      </c>
      <c r="E1587" s="1">
        <f ca="1">IFERROR(__xludf.DUMMYFUNCTION("""COMPUTED_VALUE"""),343.5)</f>
        <v>343.5</v>
      </c>
      <c r="F1587" s="1">
        <f ca="1">IFERROR(__xludf.DUMMYFUNCTION("""COMPUTED_VALUE"""),22329803)</f>
        <v>22329803</v>
      </c>
    </row>
    <row r="1588" spans="1:6" x14ac:dyDescent="0.2">
      <c r="A1588" s="2">
        <f ca="1">IFERROR(__xludf.DUMMYFUNCTION("""COMPUTED_VALUE"""),44580.6666666666)</f>
        <v>44580.666666666599</v>
      </c>
      <c r="B1588" s="1">
        <f ca="1">IFERROR(__xludf.DUMMYFUNCTION("""COMPUTED_VALUE"""),347.24)</f>
        <v>347.24</v>
      </c>
      <c r="C1588" s="1">
        <f ca="1">IFERROR(__xludf.DUMMYFUNCTION("""COMPUTED_VALUE"""),351.56)</f>
        <v>351.56</v>
      </c>
      <c r="D1588" s="1">
        <f ca="1">IFERROR(__xludf.DUMMYFUNCTION("""COMPUTED_VALUE"""),331.67)</f>
        <v>331.67</v>
      </c>
      <c r="E1588" s="1">
        <f ca="1">IFERROR(__xludf.DUMMYFUNCTION("""COMPUTED_VALUE"""),331.88)</f>
        <v>331.88</v>
      </c>
      <c r="F1588" s="1">
        <f ca="1">IFERROR(__xludf.DUMMYFUNCTION("""COMPUTED_VALUE"""),25147496)</f>
        <v>25147496</v>
      </c>
    </row>
    <row r="1589" spans="1:6" x14ac:dyDescent="0.2">
      <c r="A1589" s="2">
        <f ca="1">IFERROR(__xludf.DUMMYFUNCTION("""COMPUTED_VALUE"""),44581.6666666666)</f>
        <v>44581.666666666599</v>
      </c>
      <c r="B1589" s="1">
        <f ca="1">IFERROR(__xludf.DUMMYFUNCTION("""COMPUTED_VALUE"""),336.58)</f>
        <v>336.58</v>
      </c>
      <c r="C1589" s="1">
        <f ca="1">IFERROR(__xludf.DUMMYFUNCTION("""COMPUTED_VALUE"""),347.22)</f>
        <v>347.22</v>
      </c>
      <c r="D1589" s="1">
        <f ca="1">IFERROR(__xludf.DUMMYFUNCTION("""COMPUTED_VALUE"""),331.33)</f>
        <v>331.33</v>
      </c>
      <c r="E1589" s="1">
        <f ca="1">IFERROR(__xludf.DUMMYFUNCTION("""COMPUTED_VALUE"""),332.09)</f>
        <v>332.09</v>
      </c>
      <c r="F1589" s="1">
        <f ca="1">IFERROR(__xludf.DUMMYFUNCTION("""COMPUTED_VALUE"""),23496248)</f>
        <v>23496248</v>
      </c>
    </row>
    <row r="1590" spans="1:6" x14ac:dyDescent="0.2">
      <c r="A1590" s="2">
        <f ca="1">IFERROR(__xludf.DUMMYFUNCTION("""COMPUTED_VALUE"""),44582.6666666666)</f>
        <v>44582.666666666599</v>
      </c>
      <c r="B1590" s="1">
        <f ca="1">IFERROR(__xludf.DUMMYFUNCTION("""COMPUTED_VALUE"""),332.11)</f>
        <v>332.11</v>
      </c>
      <c r="C1590" s="1">
        <f ca="1">IFERROR(__xludf.DUMMYFUNCTION("""COMPUTED_VALUE"""),334.85)</f>
        <v>334.85</v>
      </c>
      <c r="D1590" s="1">
        <f ca="1">IFERROR(__xludf.DUMMYFUNCTION("""COMPUTED_VALUE"""),313.5)</f>
        <v>313.5</v>
      </c>
      <c r="E1590" s="1">
        <f ca="1">IFERROR(__xludf.DUMMYFUNCTION("""COMPUTED_VALUE"""),314.63)</f>
        <v>314.63</v>
      </c>
      <c r="F1590" s="1">
        <f ca="1">IFERROR(__xludf.DUMMYFUNCTION("""COMPUTED_VALUE"""),34472009)</f>
        <v>34472009</v>
      </c>
    </row>
    <row r="1591" spans="1:6" x14ac:dyDescent="0.2">
      <c r="A1591" s="2">
        <f ca="1">IFERROR(__xludf.DUMMYFUNCTION("""COMPUTED_VALUE"""),44585.6666666666)</f>
        <v>44585.666666666599</v>
      </c>
      <c r="B1591" s="1">
        <f ca="1">IFERROR(__xludf.DUMMYFUNCTION("""COMPUTED_VALUE"""),301.59)</f>
        <v>301.58999999999997</v>
      </c>
      <c r="C1591" s="1">
        <f ca="1">IFERROR(__xludf.DUMMYFUNCTION("""COMPUTED_VALUE"""),311.17)</f>
        <v>311.17</v>
      </c>
      <c r="D1591" s="1">
        <f ca="1">IFERROR(__xludf.DUMMYFUNCTION("""COMPUTED_VALUE"""),283.82)</f>
        <v>283.82</v>
      </c>
      <c r="E1591" s="1">
        <f ca="1">IFERROR(__xludf.DUMMYFUNCTION("""COMPUTED_VALUE"""),310)</f>
        <v>310</v>
      </c>
      <c r="F1591" s="1">
        <f ca="1">IFERROR(__xludf.DUMMYFUNCTION("""COMPUTED_VALUE"""),50791714)</f>
        <v>50791714</v>
      </c>
    </row>
    <row r="1592" spans="1:6" x14ac:dyDescent="0.2">
      <c r="A1592" s="2">
        <f ca="1">IFERROR(__xludf.DUMMYFUNCTION("""COMPUTED_VALUE"""),44586.6666666666)</f>
        <v>44586.666666666599</v>
      </c>
      <c r="B1592" s="1">
        <f ca="1">IFERROR(__xludf.DUMMYFUNCTION("""COMPUTED_VALUE"""),304.73)</f>
        <v>304.73</v>
      </c>
      <c r="C1592" s="1">
        <f ca="1">IFERROR(__xludf.DUMMYFUNCTION("""COMPUTED_VALUE"""),317.09)</f>
        <v>317.08999999999997</v>
      </c>
      <c r="D1592" s="1">
        <f ca="1">IFERROR(__xludf.DUMMYFUNCTION("""COMPUTED_VALUE"""),301.07)</f>
        <v>301.07</v>
      </c>
      <c r="E1592" s="1">
        <f ca="1">IFERROR(__xludf.DUMMYFUNCTION("""COMPUTED_VALUE"""),306.13)</f>
        <v>306.13</v>
      </c>
      <c r="F1592" s="1">
        <f ca="1">IFERROR(__xludf.DUMMYFUNCTION("""COMPUTED_VALUE"""),28865302)</f>
        <v>28865302</v>
      </c>
    </row>
    <row r="1593" spans="1:6" x14ac:dyDescent="0.2">
      <c r="A1593" s="2">
        <f ca="1">IFERROR(__xludf.DUMMYFUNCTION("""COMPUTED_VALUE"""),44587.6666666666)</f>
        <v>44587.666666666599</v>
      </c>
      <c r="B1593" s="1">
        <f ca="1">IFERROR(__xludf.DUMMYFUNCTION("""COMPUTED_VALUE"""),317.48)</f>
        <v>317.48</v>
      </c>
      <c r="C1593" s="1">
        <f ca="1">IFERROR(__xludf.DUMMYFUNCTION("""COMPUTED_VALUE"""),329.23)</f>
        <v>329.23</v>
      </c>
      <c r="D1593" s="1">
        <f ca="1">IFERROR(__xludf.DUMMYFUNCTION("""COMPUTED_VALUE"""),302)</f>
        <v>302</v>
      </c>
      <c r="E1593" s="1">
        <f ca="1">IFERROR(__xludf.DUMMYFUNCTION("""COMPUTED_VALUE"""),312.47)</f>
        <v>312.47000000000003</v>
      </c>
      <c r="F1593" s="1">
        <f ca="1">IFERROR(__xludf.DUMMYFUNCTION("""COMPUTED_VALUE"""),34955761)</f>
        <v>34955761</v>
      </c>
    </row>
    <row r="1594" spans="1:6" x14ac:dyDescent="0.2">
      <c r="A1594" s="2">
        <f ca="1">IFERROR(__xludf.DUMMYFUNCTION("""COMPUTED_VALUE"""),44588.6666666666)</f>
        <v>44588.666666666599</v>
      </c>
      <c r="B1594" s="1">
        <f ca="1">IFERROR(__xludf.DUMMYFUNCTION("""COMPUTED_VALUE"""),311.12)</f>
        <v>311.12</v>
      </c>
      <c r="C1594" s="1">
        <f ca="1">IFERROR(__xludf.DUMMYFUNCTION("""COMPUTED_VALUE"""),311.8)</f>
        <v>311.8</v>
      </c>
      <c r="D1594" s="1">
        <f ca="1">IFERROR(__xludf.DUMMYFUNCTION("""COMPUTED_VALUE"""),276.33)</f>
        <v>276.33</v>
      </c>
      <c r="E1594" s="1">
        <f ca="1">IFERROR(__xludf.DUMMYFUNCTION("""COMPUTED_VALUE"""),276.37)</f>
        <v>276.37</v>
      </c>
      <c r="F1594" s="1">
        <f ca="1">IFERROR(__xludf.DUMMYFUNCTION("""COMPUTED_VALUE"""),49036523)</f>
        <v>49036523</v>
      </c>
    </row>
    <row r="1595" spans="1:6" x14ac:dyDescent="0.2">
      <c r="A1595" s="2">
        <f ca="1">IFERROR(__xludf.DUMMYFUNCTION("""COMPUTED_VALUE"""),44589.6666666666)</f>
        <v>44589.666666666599</v>
      </c>
      <c r="B1595" s="1">
        <f ca="1">IFERROR(__xludf.DUMMYFUNCTION("""COMPUTED_VALUE"""),277.19)</f>
        <v>277.19</v>
      </c>
      <c r="C1595" s="1">
        <f ca="1">IFERROR(__xludf.DUMMYFUNCTION("""COMPUTED_VALUE"""),285.83)</f>
        <v>285.83</v>
      </c>
      <c r="D1595" s="1">
        <f ca="1">IFERROR(__xludf.DUMMYFUNCTION("""COMPUTED_VALUE"""),264)</f>
        <v>264</v>
      </c>
      <c r="E1595" s="1">
        <f ca="1">IFERROR(__xludf.DUMMYFUNCTION("""COMPUTED_VALUE"""),282.12)</f>
        <v>282.12</v>
      </c>
      <c r="F1595" s="1">
        <f ca="1">IFERROR(__xludf.DUMMYFUNCTION("""COMPUTED_VALUE"""),44929650)</f>
        <v>44929650</v>
      </c>
    </row>
    <row r="1596" spans="1:6" x14ac:dyDescent="0.2">
      <c r="A1596" s="2">
        <f ca="1">IFERROR(__xludf.DUMMYFUNCTION("""COMPUTED_VALUE"""),44592.6666666666)</f>
        <v>44592.666666666599</v>
      </c>
      <c r="B1596" s="1">
        <f ca="1">IFERROR(__xludf.DUMMYFUNCTION("""COMPUTED_VALUE"""),290.9)</f>
        <v>290.89999999999998</v>
      </c>
      <c r="C1596" s="1">
        <f ca="1">IFERROR(__xludf.DUMMYFUNCTION("""COMPUTED_VALUE"""),312.66)</f>
        <v>312.66000000000003</v>
      </c>
      <c r="D1596" s="1">
        <f ca="1">IFERROR(__xludf.DUMMYFUNCTION("""COMPUTED_VALUE"""),287.35)</f>
        <v>287.35000000000002</v>
      </c>
      <c r="E1596" s="1">
        <f ca="1">IFERROR(__xludf.DUMMYFUNCTION("""COMPUTED_VALUE"""),312.24)</f>
        <v>312.24</v>
      </c>
      <c r="F1596" s="1">
        <f ca="1">IFERROR(__xludf.DUMMYFUNCTION("""COMPUTED_VALUE"""),34812032)</f>
        <v>34812032</v>
      </c>
    </row>
    <row r="1597" spans="1:6" x14ac:dyDescent="0.2">
      <c r="A1597" s="2">
        <f ca="1">IFERROR(__xludf.DUMMYFUNCTION("""COMPUTED_VALUE"""),44593.6666666666)</f>
        <v>44593.666666666599</v>
      </c>
      <c r="B1597" s="1">
        <f ca="1">IFERROR(__xludf.DUMMYFUNCTION("""COMPUTED_VALUE"""),311.74)</f>
        <v>311.74</v>
      </c>
      <c r="C1597" s="1">
        <f ca="1">IFERROR(__xludf.DUMMYFUNCTION("""COMPUTED_VALUE"""),314.57)</f>
        <v>314.57</v>
      </c>
      <c r="D1597" s="1">
        <f ca="1">IFERROR(__xludf.DUMMYFUNCTION("""COMPUTED_VALUE"""),301.67)</f>
        <v>301.67</v>
      </c>
      <c r="E1597" s="1">
        <f ca="1">IFERROR(__xludf.DUMMYFUNCTION("""COMPUTED_VALUE"""),310.42)</f>
        <v>310.42</v>
      </c>
      <c r="F1597" s="1">
        <f ca="1">IFERROR(__xludf.DUMMYFUNCTION("""COMPUTED_VALUE"""),24379446)</f>
        <v>24379446</v>
      </c>
    </row>
    <row r="1598" spans="1:6" x14ac:dyDescent="0.2">
      <c r="A1598" s="2">
        <f ca="1">IFERROR(__xludf.DUMMYFUNCTION("""COMPUTED_VALUE"""),44594.6666666666)</f>
        <v>44594.666666666599</v>
      </c>
      <c r="B1598" s="1">
        <f ca="1">IFERROR(__xludf.DUMMYFUNCTION("""COMPUTED_VALUE"""),309.39)</f>
        <v>309.39</v>
      </c>
      <c r="C1598" s="1">
        <f ca="1">IFERROR(__xludf.DUMMYFUNCTION("""COMPUTED_VALUE"""),310.5)</f>
        <v>310.5</v>
      </c>
      <c r="D1598" s="1">
        <f ca="1">IFERROR(__xludf.DUMMYFUNCTION("""COMPUTED_VALUE"""),296.47)</f>
        <v>296.47000000000003</v>
      </c>
      <c r="E1598" s="1">
        <f ca="1">IFERROR(__xludf.DUMMYFUNCTION("""COMPUTED_VALUE"""),301.89)</f>
        <v>301.89</v>
      </c>
      <c r="F1598" s="1">
        <f ca="1">IFERROR(__xludf.DUMMYFUNCTION("""COMPUTED_VALUE"""),22264345)</f>
        <v>22264345</v>
      </c>
    </row>
    <row r="1599" spans="1:6" x14ac:dyDescent="0.2">
      <c r="A1599" s="2">
        <f ca="1">IFERROR(__xludf.DUMMYFUNCTION("""COMPUTED_VALUE"""),44595.6666666666)</f>
        <v>44595.666666666599</v>
      </c>
      <c r="B1599" s="1">
        <f ca="1">IFERROR(__xludf.DUMMYFUNCTION("""COMPUTED_VALUE"""),294)</f>
        <v>294</v>
      </c>
      <c r="C1599" s="1">
        <f ca="1">IFERROR(__xludf.DUMMYFUNCTION("""COMPUTED_VALUE"""),312.33)</f>
        <v>312.33</v>
      </c>
      <c r="D1599" s="1">
        <f ca="1">IFERROR(__xludf.DUMMYFUNCTION("""COMPUTED_VALUE"""),293.51)</f>
        <v>293.51</v>
      </c>
      <c r="E1599" s="1">
        <f ca="1">IFERROR(__xludf.DUMMYFUNCTION("""COMPUTED_VALUE"""),297.05)</f>
        <v>297.05</v>
      </c>
      <c r="F1599" s="1">
        <f ca="1">IFERROR(__xludf.DUMMYFUNCTION("""COMPUTED_VALUE"""),26285186)</f>
        <v>26285186</v>
      </c>
    </row>
    <row r="1600" spans="1:6" x14ac:dyDescent="0.2">
      <c r="A1600" s="2">
        <f ca="1">IFERROR(__xludf.DUMMYFUNCTION("""COMPUTED_VALUE"""),44596.6666666666)</f>
        <v>44596.666666666599</v>
      </c>
      <c r="B1600" s="1">
        <f ca="1">IFERROR(__xludf.DUMMYFUNCTION("""COMPUTED_VALUE"""),299.07)</f>
        <v>299.07</v>
      </c>
      <c r="C1600" s="1">
        <f ca="1">IFERROR(__xludf.DUMMYFUNCTION("""COMPUTED_VALUE"""),312.17)</f>
        <v>312.17</v>
      </c>
      <c r="D1600" s="1">
        <f ca="1">IFERROR(__xludf.DUMMYFUNCTION("""COMPUTED_VALUE"""),293.72)</f>
        <v>293.72000000000003</v>
      </c>
      <c r="E1600" s="1">
        <f ca="1">IFERROR(__xludf.DUMMYFUNCTION("""COMPUTED_VALUE"""),307.77)</f>
        <v>307.77</v>
      </c>
      <c r="F1600" s="1">
        <f ca="1">IFERROR(__xludf.DUMMYFUNCTION("""COMPUTED_VALUE"""),24541822)</f>
        <v>24541822</v>
      </c>
    </row>
    <row r="1601" spans="1:6" x14ac:dyDescent="0.2">
      <c r="A1601" s="2">
        <f ca="1">IFERROR(__xludf.DUMMYFUNCTION("""COMPUTED_VALUE"""),44599.6666666666)</f>
        <v>44599.666666666599</v>
      </c>
      <c r="B1601" s="1">
        <f ca="1">IFERROR(__xludf.DUMMYFUNCTION("""COMPUTED_VALUE"""),307.93)</f>
        <v>307.93</v>
      </c>
      <c r="C1601" s="1">
        <f ca="1">IFERROR(__xludf.DUMMYFUNCTION("""COMPUTED_VALUE"""),315.92)</f>
        <v>315.92</v>
      </c>
      <c r="D1601" s="1">
        <f ca="1">IFERROR(__xludf.DUMMYFUNCTION("""COMPUTED_VALUE"""),300.9)</f>
        <v>300.89999999999998</v>
      </c>
      <c r="E1601" s="1">
        <f ca="1">IFERROR(__xludf.DUMMYFUNCTION("""COMPUTED_VALUE"""),302.45)</f>
        <v>302.45</v>
      </c>
      <c r="F1601" s="1">
        <f ca="1">IFERROR(__xludf.DUMMYFUNCTION("""COMPUTED_VALUE"""),20331488)</f>
        <v>20331488</v>
      </c>
    </row>
    <row r="1602" spans="1:6" x14ac:dyDescent="0.2">
      <c r="A1602" s="2">
        <f ca="1">IFERROR(__xludf.DUMMYFUNCTION("""COMPUTED_VALUE"""),44600.6666666666)</f>
        <v>44600.666666666599</v>
      </c>
      <c r="B1602" s="1">
        <f ca="1">IFERROR(__xludf.DUMMYFUNCTION("""COMPUTED_VALUE"""),301.84)</f>
        <v>301.83999999999997</v>
      </c>
      <c r="C1602" s="1">
        <f ca="1">IFERROR(__xludf.DUMMYFUNCTION("""COMPUTED_VALUE"""),308.76)</f>
        <v>308.76</v>
      </c>
      <c r="D1602" s="1">
        <f ca="1">IFERROR(__xludf.DUMMYFUNCTION("""COMPUTED_VALUE"""),298.27)</f>
        <v>298.27</v>
      </c>
      <c r="E1602" s="1">
        <f ca="1">IFERROR(__xludf.DUMMYFUNCTION("""COMPUTED_VALUE"""),307.33)</f>
        <v>307.33</v>
      </c>
      <c r="F1602" s="1">
        <f ca="1">IFERROR(__xludf.DUMMYFUNCTION("""COMPUTED_VALUE"""),16909671)</f>
        <v>16909671</v>
      </c>
    </row>
    <row r="1603" spans="1:6" x14ac:dyDescent="0.2">
      <c r="A1603" s="2">
        <f ca="1">IFERROR(__xludf.DUMMYFUNCTION("""COMPUTED_VALUE"""),44601.6666666666)</f>
        <v>44601.666666666599</v>
      </c>
      <c r="B1603" s="1">
        <f ca="1">IFERROR(__xludf.DUMMYFUNCTION("""COMPUTED_VALUE"""),311.67)</f>
        <v>311.67</v>
      </c>
      <c r="C1603" s="1">
        <f ca="1">IFERROR(__xludf.DUMMYFUNCTION("""COMPUTED_VALUE"""),315.42)</f>
        <v>315.42</v>
      </c>
      <c r="D1603" s="1">
        <f ca="1">IFERROR(__xludf.DUMMYFUNCTION("""COMPUTED_VALUE"""),306.67)</f>
        <v>306.67</v>
      </c>
      <c r="E1603" s="1">
        <f ca="1">IFERROR(__xludf.DUMMYFUNCTION("""COMPUTED_VALUE"""),310.67)</f>
        <v>310.67</v>
      </c>
      <c r="F1603" s="1">
        <f ca="1">IFERROR(__xludf.DUMMYFUNCTION("""COMPUTED_VALUE"""),17419848)</f>
        <v>17419848</v>
      </c>
    </row>
    <row r="1604" spans="1:6" x14ac:dyDescent="0.2">
      <c r="A1604" s="2">
        <f ca="1">IFERROR(__xludf.DUMMYFUNCTION("""COMPUTED_VALUE"""),44602.6666666666)</f>
        <v>44602.666666666599</v>
      </c>
      <c r="B1604" s="1">
        <f ca="1">IFERROR(__xludf.DUMMYFUNCTION("""COMPUTED_VALUE"""),302.79)</f>
        <v>302.79000000000002</v>
      </c>
      <c r="C1604" s="1">
        <f ca="1">IFERROR(__xludf.DUMMYFUNCTION("""COMPUTED_VALUE"""),314.6)</f>
        <v>314.60000000000002</v>
      </c>
      <c r="D1604" s="1">
        <f ca="1">IFERROR(__xludf.DUMMYFUNCTION("""COMPUTED_VALUE"""),298.9)</f>
        <v>298.89999999999998</v>
      </c>
      <c r="E1604" s="1">
        <f ca="1">IFERROR(__xludf.DUMMYFUNCTION("""COMPUTED_VALUE"""),301.52)</f>
        <v>301.52</v>
      </c>
      <c r="F1604" s="1">
        <f ca="1">IFERROR(__xludf.DUMMYFUNCTION("""COMPUTED_VALUE"""),22042277)</f>
        <v>22042277</v>
      </c>
    </row>
    <row r="1605" spans="1:6" x14ac:dyDescent="0.2">
      <c r="A1605" s="2">
        <f ca="1">IFERROR(__xludf.DUMMYFUNCTION("""COMPUTED_VALUE"""),44603.6666666666)</f>
        <v>44603.666666666599</v>
      </c>
      <c r="B1605" s="1">
        <f ca="1">IFERROR(__xludf.DUMMYFUNCTION("""COMPUTED_VALUE"""),303.21)</f>
        <v>303.20999999999998</v>
      </c>
      <c r="C1605" s="1">
        <f ca="1">IFERROR(__xludf.DUMMYFUNCTION("""COMPUTED_VALUE"""),305.32)</f>
        <v>305.32</v>
      </c>
      <c r="D1605" s="1">
        <f ca="1">IFERROR(__xludf.DUMMYFUNCTION("""COMPUTED_VALUE"""),283.57)</f>
        <v>283.57</v>
      </c>
      <c r="E1605" s="1">
        <f ca="1">IFERROR(__xludf.DUMMYFUNCTION("""COMPUTED_VALUE"""),286.67)</f>
        <v>286.67</v>
      </c>
      <c r="F1605" s="1">
        <f ca="1">IFERROR(__xludf.DUMMYFUNCTION("""COMPUTED_VALUE"""),26548623)</f>
        <v>26548623</v>
      </c>
    </row>
    <row r="1606" spans="1:6" x14ac:dyDescent="0.2">
      <c r="A1606" s="2">
        <f ca="1">IFERROR(__xludf.DUMMYFUNCTION("""COMPUTED_VALUE"""),44606.6666666666)</f>
        <v>44606.666666666599</v>
      </c>
      <c r="B1606" s="1">
        <f ca="1">IFERROR(__xludf.DUMMYFUNCTION("""COMPUTED_VALUE"""),287.19)</f>
        <v>287.19</v>
      </c>
      <c r="C1606" s="1">
        <f ca="1">IFERROR(__xludf.DUMMYFUNCTION("""COMPUTED_VALUE"""),299.63)</f>
        <v>299.63</v>
      </c>
      <c r="D1606" s="1">
        <f ca="1">IFERROR(__xludf.DUMMYFUNCTION("""COMPUTED_VALUE"""),284.38)</f>
        <v>284.38</v>
      </c>
      <c r="E1606" s="1">
        <f ca="1">IFERROR(__xludf.DUMMYFUNCTION("""COMPUTED_VALUE"""),291.92)</f>
        <v>291.92</v>
      </c>
      <c r="F1606" s="1">
        <f ca="1">IFERROR(__xludf.DUMMYFUNCTION("""COMPUTED_VALUE"""),22585472)</f>
        <v>22585472</v>
      </c>
    </row>
    <row r="1607" spans="1:6" x14ac:dyDescent="0.2">
      <c r="A1607" s="2">
        <f ca="1">IFERROR(__xludf.DUMMYFUNCTION("""COMPUTED_VALUE"""),44607.6666666666)</f>
        <v>44607.666666666599</v>
      </c>
      <c r="B1607" s="1">
        <f ca="1">IFERROR(__xludf.DUMMYFUNCTION("""COMPUTED_VALUE"""),300)</f>
        <v>300</v>
      </c>
      <c r="C1607" s="1">
        <f ca="1">IFERROR(__xludf.DUMMYFUNCTION("""COMPUTED_VALUE"""),307.67)</f>
        <v>307.67</v>
      </c>
      <c r="D1607" s="1">
        <f ca="1">IFERROR(__xludf.DUMMYFUNCTION("""COMPUTED_VALUE"""),297.79)</f>
        <v>297.79000000000002</v>
      </c>
      <c r="E1607" s="1">
        <f ca="1">IFERROR(__xludf.DUMMYFUNCTION("""COMPUTED_VALUE"""),307.48)</f>
        <v>307.48</v>
      </c>
      <c r="F1607" s="1">
        <f ca="1">IFERROR(__xludf.DUMMYFUNCTION("""COMPUTED_VALUE"""),19216514)</f>
        <v>19216514</v>
      </c>
    </row>
    <row r="1608" spans="1:6" x14ac:dyDescent="0.2">
      <c r="A1608" s="2">
        <f ca="1">IFERROR(__xludf.DUMMYFUNCTION("""COMPUTED_VALUE"""),44608.6666666666)</f>
        <v>44608.666666666599</v>
      </c>
      <c r="B1608" s="1">
        <f ca="1">IFERROR(__xludf.DUMMYFUNCTION("""COMPUTED_VALUE"""),304.68)</f>
        <v>304.68</v>
      </c>
      <c r="C1608" s="1">
        <f ca="1">IFERROR(__xludf.DUMMYFUNCTION("""COMPUTED_VALUE"""),308.81)</f>
        <v>308.81</v>
      </c>
      <c r="D1608" s="1">
        <f ca="1">IFERROR(__xludf.DUMMYFUNCTION("""COMPUTED_VALUE"""),300.4)</f>
        <v>300.39999999999998</v>
      </c>
      <c r="E1608" s="1">
        <f ca="1">IFERROR(__xludf.DUMMYFUNCTION("""COMPUTED_VALUE"""),307.8)</f>
        <v>307.8</v>
      </c>
      <c r="F1608" s="1">
        <f ca="1">IFERROR(__xludf.DUMMYFUNCTION("""COMPUTED_VALUE"""),17098132)</f>
        <v>17098132</v>
      </c>
    </row>
    <row r="1609" spans="1:6" x14ac:dyDescent="0.2">
      <c r="A1609" s="2">
        <f ca="1">IFERROR(__xludf.DUMMYFUNCTION("""COMPUTED_VALUE"""),44609.6666666666)</f>
        <v>44609.666666666599</v>
      </c>
      <c r="B1609" s="1">
        <f ca="1">IFERROR(__xludf.DUMMYFUNCTION("""COMPUTED_VALUE"""),304.42)</f>
        <v>304.42</v>
      </c>
      <c r="C1609" s="1">
        <f ca="1">IFERROR(__xludf.DUMMYFUNCTION("""COMPUTED_VALUE"""),306.17)</f>
        <v>306.17</v>
      </c>
      <c r="D1609" s="1">
        <f ca="1">IFERROR(__xludf.DUMMYFUNCTION("""COMPUTED_VALUE"""),291.37)</f>
        <v>291.37</v>
      </c>
      <c r="E1609" s="1">
        <f ca="1">IFERROR(__xludf.DUMMYFUNCTION("""COMPUTED_VALUE"""),292.12)</f>
        <v>292.12</v>
      </c>
      <c r="F1609" s="1">
        <f ca="1">IFERROR(__xludf.DUMMYFUNCTION("""COMPUTED_VALUE"""),18392806)</f>
        <v>18392806</v>
      </c>
    </row>
    <row r="1610" spans="1:6" x14ac:dyDescent="0.2">
      <c r="A1610" s="2">
        <f ca="1">IFERROR(__xludf.DUMMYFUNCTION("""COMPUTED_VALUE"""),44610.6666666666)</f>
        <v>44610.666666666599</v>
      </c>
      <c r="B1610" s="1">
        <f ca="1">IFERROR(__xludf.DUMMYFUNCTION("""COMPUTED_VALUE"""),295.33)</f>
        <v>295.33</v>
      </c>
      <c r="C1610" s="1">
        <f ca="1">IFERROR(__xludf.DUMMYFUNCTION("""COMPUTED_VALUE"""),295.62)</f>
        <v>295.62</v>
      </c>
      <c r="D1610" s="1">
        <f ca="1">IFERROR(__xludf.DUMMYFUNCTION("""COMPUTED_VALUE"""),279.2)</f>
        <v>279.2</v>
      </c>
      <c r="E1610" s="1">
        <f ca="1">IFERROR(__xludf.DUMMYFUNCTION("""COMPUTED_VALUE"""),285.66)</f>
        <v>285.66000000000003</v>
      </c>
      <c r="F1610" s="1">
        <f ca="1">IFERROR(__xludf.DUMMYFUNCTION("""COMPUTED_VALUE"""),22833947)</f>
        <v>22833947</v>
      </c>
    </row>
    <row r="1611" spans="1:6" x14ac:dyDescent="0.2">
      <c r="A1611" s="2">
        <f ca="1">IFERROR(__xludf.DUMMYFUNCTION("""COMPUTED_VALUE"""),44614.6666666666)</f>
        <v>44614.666666666599</v>
      </c>
      <c r="B1611" s="1">
        <f ca="1">IFERROR(__xludf.DUMMYFUNCTION("""COMPUTED_VALUE"""),278.04)</f>
        <v>278.04000000000002</v>
      </c>
      <c r="C1611" s="1">
        <f ca="1">IFERROR(__xludf.DUMMYFUNCTION("""COMPUTED_VALUE"""),285.58)</f>
        <v>285.58</v>
      </c>
      <c r="D1611" s="1">
        <f ca="1">IFERROR(__xludf.DUMMYFUNCTION("""COMPUTED_VALUE"""),267.03)</f>
        <v>267.02999999999997</v>
      </c>
      <c r="E1611" s="1">
        <f ca="1">IFERROR(__xludf.DUMMYFUNCTION("""COMPUTED_VALUE"""),273.84)</f>
        <v>273.83999999999997</v>
      </c>
      <c r="F1611" s="1">
        <f ca="1">IFERROR(__xludf.DUMMYFUNCTION("""COMPUTED_VALUE"""),27762734)</f>
        <v>27762734</v>
      </c>
    </row>
    <row r="1612" spans="1:6" x14ac:dyDescent="0.2">
      <c r="A1612" s="2">
        <f ca="1">IFERROR(__xludf.DUMMYFUNCTION("""COMPUTED_VALUE"""),44615.6666666666)</f>
        <v>44615.666666666599</v>
      </c>
      <c r="B1612" s="1">
        <f ca="1">IFERROR(__xludf.DUMMYFUNCTION("""COMPUTED_VALUE"""),276.81)</f>
        <v>276.81</v>
      </c>
      <c r="C1612" s="1">
        <f ca="1">IFERROR(__xludf.DUMMYFUNCTION("""COMPUTED_VALUE"""),278.43)</f>
        <v>278.43</v>
      </c>
      <c r="D1612" s="1">
        <f ca="1">IFERROR(__xludf.DUMMYFUNCTION("""COMPUTED_VALUE"""),253.52)</f>
        <v>253.52</v>
      </c>
      <c r="E1612" s="1">
        <f ca="1">IFERROR(__xludf.DUMMYFUNCTION("""COMPUTED_VALUE"""),254.68)</f>
        <v>254.68</v>
      </c>
      <c r="F1612" s="1">
        <f ca="1">IFERROR(__xludf.DUMMYFUNCTION("""COMPUTED_VALUE"""),31752336)</f>
        <v>31752336</v>
      </c>
    </row>
    <row r="1613" spans="1:6" x14ac:dyDescent="0.2">
      <c r="A1613" s="2">
        <f ca="1">IFERROR(__xludf.DUMMYFUNCTION("""COMPUTED_VALUE"""),44616.6666666666)</f>
        <v>44616.666666666599</v>
      </c>
      <c r="B1613" s="1">
        <f ca="1">IFERROR(__xludf.DUMMYFUNCTION("""COMPUTED_VALUE"""),233.46)</f>
        <v>233.46</v>
      </c>
      <c r="C1613" s="1">
        <f ca="1">IFERROR(__xludf.DUMMYFUNCTION("""COMPUTED_VALUE"""),267.49)</f>
        <v>267.49</v>
      </c>
      <c r="D1613" s="1">
        <f ca="1">IFERROR(__xludf.DUMMYFUNCTION("""COMPUTED_VALUE"""),233.33)</f>
        <v>233.33</v>
      </c>
      <c r="E1613" s="1">
        <f ca="1">IFERROR(__xludf.DUMMYFUNCTION("""COMPUTED_VALUE"""),266.92)</f>
        <v>266.92</v>
      </c>
      <c r="F1613" s="1">
        <f ca="1">IFERROR(__xludf.DUMMYFUNCTION("""COMPUTED_VALUE"""),45107425)</f>
        <v>45107425</v>
      </c>
    </row>
    <row r="1614" spans="1:6" x14ac:dyDescent="0.2">
      <c r="A1614" s="2">
        <f ca="1">IFERROR(__xludf.DUMMYFUNCTION("""COMPUTED_VALUE"""),44617.6666666666)</f>
        <v>44617.666666666599</v>
      </c>
      <c r="B1614" s="1">
        <f ca="1">IFERROR(__xludf.DUMMYFUNCTION("""COMPUTED_VALUE"""),269.74)</f>
        <v>269.74</v>
      </c>
      <c r="C1614" s="1">
        <f ca="1">IFERROR(__xludf.DUMMYFUNCTION("""COMPUTED_VALUE"""),273.17)</f>
        <v>273.17</v>
      </c>
      <c r="D1614" s="1">
        <f ca="1">IFERROR(__xludf.DUMMYFUNCTION("""COMPUTED_VALUE"""),260.8)</f>
        <v>260.8</v>
      </c>
      <c r="E1614" s="1">
        <f ca="1">IFERROR(__xludf.DUMMYFUNCTION("""COMPUTED_VALUE"""),269.96)</f>
        <v>269.95999999999998</v>
      </c>
      <c r="F1614" s="1">
        <f ca="1">IFERROR(__xludf.DUMMYFUNCTION("""COMPUTED_VALUE"""),25355921)</f>
        <v>25355921</v>
      </c>
    </row>
    <row r="1615" spans="1:6" x14ac:dyDescent="0.2">
      <c r="A1615" s="2">
        <f ca="1">IFERROR(__xludf.DUMMYFUNCTION("""COMPUTED_VALUE"""),44620.6666666666)</f>
        <v>44620.666666666599</v>
      </c>
      <c r="B1615" s="1">
        <f ca="1">IFERROR(__xludf.DUMMYFUNCTION("""COMPUTED_VALUE"""),271.67)</f>
        <v>271.67</v>
      </c>
      <c r="C1615" s="1">
        <f ca="1">IFERROR(__xludf.DUMMYFUNCTION("""COMPUTED_VALUE"""),292.29)</f>
        <v>292.29000000000002</v>
      </c>
      <c r="D1615" s="1">
        <f ca="1">IFERROR(__xludf.DUMMYFUNCTION("""COMPUTED_VALUE"""),271.57)</f>
        <v>271.57</v>
      </c>
      <c r="E1615" s="1">
        <f ca="1">IFERROR(__xludf.DUMMYFUNCTION("""COMPUTED_VALUE"""),290.14)</f>
        <v>290.14</v>
      </c>
      <c r="F1615" s="1">
        <f ca="1">IFERROR(__xludf.DUMMYFUNCTION("""COMPUTED_VALUE"""),33002289)</f>
        <v>33002289</v>
      </c>
    </row>
    <row r="1616" spans="1:6" x14ac:dyDescent="0.2">
      <c r="A1616" s="2">
        <f ca="1">IFERROR(__xludf.DUMMYFUNCTION("""COMPUTED_VALUE"""),44621.6666666666)</f>
        <v>44621.666666666599</v>
      </c>
      <c r="B1616" s="1">
        <f ca="1">IFERROR(__xludf.DUMMYFUNCTION("""COMPUTED_VALUE"""),289.89)</f>
        <v>289.89</v>
      </c>
      <c r="C1616" s="1">
        <f ca="1">IFERROR(__xludf.DUMMYFUNCTION("""COMPUTED_VALUE"""),296.63)</f>
        <v>296.63</v>
      </c>
      <c r="D1616" s="1">
        <f ca="1">IFERROR(__xludf.DUMMYFUNCTION("""COMPUTED_VALUE"""),284.59)</f>
        <v>284.58999999999997</v>
      </c>
      <c r="E1616" s="1">
        <f ca="1">IFERROR(__xludf.DUMMYFUNCTION("""COMPUTED_VALUE"""),288.12)</f>
        <v>288.12</v>
      </c>
      <c r="F1616" s="1">
        <f ca="1">IFERROR(__xludf.DUMMYFUNCTION("""COMPUTED_VALUE"""),24922287)</f>
        <v>24922287</v>
      </c>
    </row>
    <row r="1617" spans="1:6" x14ac:dyDescent="0.2">
      <c r="A1617" s="2">
        <f ca="1">IFERROR(__xludf.DUMMYFUNCTION("""COMPUTED_VALUE"""),44622.6666666666)</f>
        <v>44622.666666666599</v>
      </c>
      <c r="B1617" s="1">
        <f ca="1">IFERROR(__xludf.DUMMYFUNCTION("""COMPUTED_VALUE"""),290.71)</f>
        <v>290.70999999999998</v>
      </c>
      <c r="C1617" s="1">
        <f ca="1">IFERROR(__xludf.DUMMYFUNCTION("""COMPUTED_VALUE"""),295.49)</f>
        <v>295.49</v>
      </c>
      <c r="D1617" s="1">
        <f ca="1">IFERROR(__xludf.DUMMYFUNCTION("""COMPUTED_VALUE"""),281.42)</f>
        <v>281.42</v>
      </c>
      <c r="E1617" s="1">
        <f ca="1">IFERROR(__xludf.DUMMYFUNCTION("""COMPUTED_VALUE"""),293.3)</f>
        <v>293.3</v>
      </c>
      <c r="F1617" s="1">
        <f ca="1">IFERROR(__xludf.DUMMYFUNCTION("""COMPUTED_VALUE"""),24881146)</f>
        <v>24881146</v>
      </c>
    </row>
    <row r="1618" spans="1:6" x14ac:dyDescent="0.2">
      <c r="A1618" s="2">
        <f ca="1">IFERROR(__xludf.DUMMYFUNCTION("""COMPUTED_VALUE"""),44623.6666666666)</f>
        <v>44623.666666666599</v>
      </c>
      <c r="B1618" s="1">
        <f ca="1">IFERROR(__xludf.DUMMYFUNCTION("""COMPUTED_VALUE"""),292.92)</f>
        <v>292.92</v>
      </c>
      <c r="C1618" s="1">
        <f ca="1">IFERROR(__xludf.DUMMYFUNCTION("""COMPUTED_VALUE"""),295.48)</f>
        <v>295.48</v>
      </c>
      <c r="D1618" s="1">
        <f ca="1">IFERROR(__xludf.DUMMYFUNCTION("""COMPUTED_VALUE"""),277.53)</f>
        <v>277.52999999999997</v>
      </c>
      <c r="E1618" s="1">
        <f ca="1">IFERROR(__xludf.DUMMYFUNCTION("""COMPUTED_VALUE"""),279.76)</f>
        <v>279.76</v>
      </c>
      <c r="F1618" s="1">
        <f ca="1">IFERROR(__xludf.DUMMYFUNCTION("""COMPUTED_VALUE"""),20541169)</f>
        <v>20541169</v>
      </c>
    </row>
    <row r="1619" spans="1:6" x14ac:dyDescent="0.2">
      <c r="A1619" s="2">
        <f ca="1">IFERROR(__xludf.DUMMYFUNCTION("""COMPUTED_VALUE"""),44624.6666666666)</f>
        <v>44624.666666666599</v>
      </c>
      <c r="B1619" s="1">
        <f ca="1">IFERROR(__xludf.DUMMYFUNCTION("""COMPUTED_VALUE"""),283.03)</f>
        <v>283.02999999999997</v>
      </c>
      <c r="C1619" s="1">
        <f ca="1">IFERROR(__xludf.DUMMYFUNCTION("""COMPUTED_VALUE"""),285.22)</f>
        <v>285.22000000000003</v>
      </c>
      <c r="D1619" s="1">
        <f ca="1">IFERROR(__xludf.DUMMYFUNCTION("""COMPUTED_VALUE"""),275.05)</f>
        <v>275.05</v>
      </c>
      <c r="E1619" s="1">
        <f ca="1">IFERROR(__xludf.DUMMYFUNCTION("""COMPUTED_VALUE"""),279.43)</f>
        <v>279.43</v>
      </c>
      <c r="F1619" s="1">
        <f ca="1">IFERROR(__xludf.DUMMYFUNCTION("""COMPUTED_VALUE"""),22393287)</f>
        <v>22393287</v>
      </c>
    </row>
    <row r="1620" spans="1:6" x14ac:dyDescent="0.2">
      <c r="A1620" s="2">
        <f ca="1">IFERROR(__xludf.DUMMYFUNCTION("""COMPUTED_VALUE"""),44627.6666666666)</f>
        <v>44627.666666666599</v>
      </c>
      <c r="B1620" s="1">
        <f ca="1">IFERROR(__xludf.DUMMYFUNCTION("""COMPUTED_VALUE"""),285.43)</f>
        <v>285.43</v>
      </c>
      <c r="C1620" s="1">
        <f ca="1">IFERROR(__xludf.DUMMYFUNCTION("""COMPUTED_VALUE"""),288.71)</f>
        <v>288.70999999999998</v>
      </c>
      <c r="D1620" s="1">
        <f ca="1">IFERROR(__xludf.DUMMYFUNCTION("""COMPUTED_VALUE"""),268.19)</f>
        <v>268.19</v>
      </c>
      <c r="E1620" s="1">
        <f ca="1">IFERROR(__xludf.DUMMYFUNCTION("""COMPUTED_VALUE"""),268.19)</f>
        <v>268.19</v>
      </c>
      <c r="F1620" s="1">
        <f ca="1">IFERROR(__xludf.DUMMYFUNCTION("""COMPUTED_VALUE"""),24164724)</f>
        <v>24164724</v>
      </c>
    </row>
    <row r="1621" spans="1:6" x14ac:dyDescent="0.2">
      <c r="A1621" s="2">
        <f ca="1">IFERROR(__xludf.DUMMYFUNCTION("""COMPUTED_VALUE"""),44628.6666666666)</f>
        <v>44628.666666666599</v>
      </c>
      <c r="B1621" s="1">
        <f ca="1">IFERROR(__xludf.DUMMYFUNCTION("""COMPUTED_VALUE"""),265.18)</f>
        <v>265.18</v>
      </c>
      <c r="C1621" s="1">
        <f ca="1">IFERROR(__xludf.DUMMYFUNCTION("""COMPUTED_VALUE"""),283.33)</f>
        <v>283.33</v>
      </c>
      <c r="D1621" s="1">
        <f ca="1">IFERROR(__xludf.DUMMYFUNCTION("""COMPUTED_VALUE"""),260.72)</f>
        <v>260.72000000000003</v>
      </c>
      <c r="E1621" s="1">
        <f ca="1">IFERROR(__xludf.DUMMYFUNCTION("""COMPUTED_VALUE"""),274.8)</f>
        <v>274.8</v>
      </c>
      <c r="F1621" s="1">
        <f ca="1">IFERROR(__xludf.DUMMYFUNCTION("""COMPUTED_VALUE"""),26799702)</f>
        <v>26799702</v>
      </c>
    </row>
    <row r="1622" spans="1:6" x14ac:dyDescent="0.2">
      <c r="A1622" s="2">
        <f ca="1">IFERROR(__xludf.DUMMYFUNCTION("""COMPUTED_VALUE"""),44629.6666666666)</f>
        <v>44629.666666666599</v>
      </c>
      <c r="B1622" s="1">
        <f ca="1">IFERROR(__xludf.DUMMYFUNCTION("""COMPUTED_VALUE"""),279.83)</f>
        <v>279.83</v>
      </c>
      <c r="C1622" s="1">
        <f ca="1">IFERROR(__xludf.DUMMYFUNCTION("""COMPUTED_VALUE"""),286.85)</f>
        <v>286.85000000000002</v>
      </c>
      <c r="D1622" s="1">
        <f ca="1">IFERROR(__xludf.DUMMYFUNCTION("""COMPUTED_VALUE"""),277.34)</f>
        <v>277.33999999999997</v>
      </c>
      <c r="E1622" s="1">
        <f ca="1">IFERROR(__xludf.DUMMYFUNCTION("""COMPUTED_VALUE"""),286.32)</f>
        <v>286.32</v>
      </c>
      <c r="F1622" s="1">
        <f ca="1">IFERROR(__xludf.DUMMYFUNCTION("""COMPUTED_VALUE"""),19727993)</f>
        <v>19727993</v>
      </c>
    </row>
    <row r="1623" spans="1:6" x14ac:dyDescent="0.2">
      <c r="A1623" s="2">
        <f ca="1">IFERROR(__xludf.DUMMYFUNCTION("""COMPUTED_VALUE"""),44630.6666666666)</f>
        <v>44630.666666666599</v>
      </c>
      <c r="B1623" s="1">
        <f ca="1">IFERROR(__xludf.DUMMYFUNCTION("""COMPUTED_VALUE"""),283.82)</f>
        <v>283.82</v>
      </c>
      <c r="C1623" s="1">
        <f ca="1">IFERROR(__xludf.DUMMYFUNCTION("""COMPUTED_VALUE"""),284.82)</f>
        <v>284.82</v>
      </c>
      <c r="D1623" s="1">
        <f ca="1">IFERROR(__xludf.DUMMYFUNCTION("""COMPUTED_VALUE"""),270.12)</f>
        <v>270.12</v>
      </c>
      <c r="E1623" s="1">
        <f ca="1">IFERROR(__xludf.DUMMYFUNCTION("""COMPUTED_VALUE"""),279.43)</f>
        <v>279.43</v>
      </c>
      <c r="F1623" s="1">
        <f ca="1">IFERROR(__xludf.DUMMYFUNCTION("""COMPUTED_VALUE"""),19549548)</f>
        <v>19549548</v>
      </c>
    </row>
    <row r="1624" spans="1:6" x14ac:dyDescent="0.2">
      <c r="A1624" s="2">
        <f ca="1">IFERROR(__xludf.DUMMYFUNCTION("""COMPUTED_VALUE"""),44631.6666666666)</f>
        <v>44631.666666666599</v>
      </c>
      <c r="B1624" s="1">
        <f ca="1">IFERROR(__xludf.DUMMYFUNCTION("""COMPUTED_VALUE"""),280.07)</f>
        <v>280.07</v>
      </c>
      <c r="C1624" s="1">
        <f ca="1">IFERROR(__xludf.DUMMYFUNCTION("""COMPUTED_VALUE"""),281.27)</f>
        <v>281.27</v>
      </c>
      <c r="D1624" s="1">
        <f ca="1">IFERROR(__xludf.DUMMYFUNCTION("""COMPUTED_VALUE"""),264.59)</f>
        <v>264.58999999999997</v>
      </c>
      <c r="E1624" s="1">
        <f ca="1">IFERROR(__xludf.DUMMYFUNCTION("""COMPUTED_VALUE"""),265.12)</f>
        <v>265.12</v>
      </c>
      <c r="F1624" s="1">
        <f ca="1">IFERROR(__xludf.DUMMYFUNCTION("""COMPUTED_VALUE"""),22345722)</f>
        <v>22345722</v>
      </c>
    </row>
    <row r="1625" spans="1:6" x14ac:dyDescent="0.2">
      <c r="A1625" s="2">
        <f ca="1">IFERROR(__xludf.DUMMYFUNCTION("""COMPUTED_VALUE"""),44634.6666666666)</f>
        <v>44634.666666666599</v>
      </c>
      <c r="B1625" s="1">
        <f ca="1">IFERROR(__xludf.DUMMYFUNCTION("""COMPUTED_VALUE"""),260.2)</f>
        <v>260.2</v>
      </c>
      <c r="C1625" s="1">
        <f ca="1">IFERROR(__xludf.DUMMYFUNCTION("""COMPUTED_VALUE"""),266.9)</f>
        <v>266.89999999999998</v>
      </c>
      <c r="D1625" s="1">
        <f ca="1">IFERROR(__xludf.DUMMYFUNCTION("""COMPUTED_VALUE"""),252.01)</f>
        <v>252.01</v>
      </c>
      <c r="E1625" s="1">
        <f ca="1">IFERROR(__xludf.DUMMYFUNCTION("""COMPUTED_VALUE"""),255.46)</f>
        <v>255.46</v>
      </c>
      <c r="F1625" s="1">
        <f ca="1">IFERROR(__xludf.DUMMYFUNCTION("""COMPUTED_VALUE"""),23717421)</f>
        <v>23717421</v>
      </c>
    </row>
    <row r="1626" spans="1:6" x14ac:dyDescent="0.2">
      <c r="A1626" s="2">
        <f ca="1">IFERROR(__xludf.DUMMYFUNCTION("""COMPUTED_VALUE"""),44635.6666666666)</f>
        <v>44635.666666666599</v>
      </c>
      <c r="B1626" s="1">
        <f ca="1">IFERROR(__xludf.DUMMYFUNCTION("""COMPUTED_VALUE"""),258.42)</f>
        <v>258.42</v>
      </c>
      <c r="C1626" s="1">
        <f ca="1">IFERROR(__xludf.DUMMYFUNCTION("""COMPUTED_VALUE"""),268.52)</f>
        <v>268.52</v>
      </c>
      <c r="D1626" s="1">
        <f ca="1">IFERROR(__xludf.DUMMYFUNCTION("""COMPUTED_VALUE"""),252.19)</f>
        <v>252.19</v>
      </c>
      <c r="E1626" s="1">
        <f ca="1">IFERROR(__xludf.DUMMYFUNCTION("""COMPUTED_VALUE"""),267.3)</f>
        <v>267.3</v>
      </c>
      <c r="F1626" s="1">
        <f ca="1">IFERROR(__xludf.DUMMYFUNCTION("""COMPUTED_VALUE"""),22280381)</f>
        <v>22280381</v>
      </c>
    </row>
    <row r="1627" spans="1:6" x14ac:dyDescent="0.2">
      <c r="A1627" s="2">
        <f ca="1">IFERROR(__xludf.DUMMYFUNCTION("""COMPUTED_VALUE"""),44636.6666666666)</f>
        <v>44636.666666666599</v>
      </c>
      <c r="B1627" s="1">
        <f ca="1">IFERROR(__xludf.DUMMYFUNCTION("""COMPUTED_VALUE"""),269.67)</f>
        <v>269.67</v>
      </c>
      <c r="C1627" s="1">
        <f ca="1">IFERROR(__xludf.DUMMYFUNCTION("""COMPUTED_VALUE"""),280.67)</f>
        <v>280.67</v>
      </c>
      <c r="D1627" s="1">
        <f ca="1">IFERROR(__xludf.DUMMYFUNCTION("""COMPUTED_VALUE"""),267.42)</f>
        <v>267.42</v>
      </c>
      <c r="E1627" s="1">
        <f ca="1">IFERROR(__xludf.DUMMYFUNCTION("""COMPUTED_VALUE"""),280.08)</f>
        <v>280.08</v>
      </c>
      <c r="F1627" s="1">
        <f ca="1">IFERROR(__xludf.DUMMYFUNCTION("""COMPUTED_VALUE"""),28009607)</f>
        <v>28009607</v>
      </c>
    </row>
    <row r="1628" spans="1:6" x14ac:dyDescent="0.2">
      <c r="A1628" s="2">
        <f ca="1">IFERROR(__xludf.DUMMYFUNCTION("""COMPUTED_VALUE"""),44637.6666666666)</f>
        <v>44637.666666666599</v>
      </c>
      <c r="B1628" s="1">
        <f ca="1">IFERROR(__xludf.DUMMYFUNCTION("""COMPUTED_VALUE"""),277)</f>
        <v>277</v>
      </c>
      <c r="C1628" s="1">
        <f ca="1">IFERROR(__xludf.DUMMYFUNCTION("""COMPUTED_VALUE"""),291.67)</f>
        <v>291.67</v>
      </c>
      <c r="D1628" s="1">
        <f ca="1">IFERROR(__xludf.DUMMYFUNCTION("""COMPUTED_VALUE"""),275.24)</f>
        <v>275.24</v>
      </c>
      <c r="E1628" s="1">
        <f ca="1">IFERROR(__xludf.DUMMYFUNCTION("""COMPUTED_VALUE"""),290.53)</f>
        <v>290.52999999999997</v>
      </c>
      <c r="F1628" s="1">
        <f ca="1">IFERROR(__xludf.DUMMYFUNCTION("""COMPUTED_VALUE"""),22194324)</f>
        <v>22194324</v>
      </c>
    </row>
    <row r="1629" spans="1:6" x14ac:dyDescent="0.2">
      <c r="A1629" s="2">
        <f ca="1">IFERROR(__xludf.DUMMYFUNCTION("""COMPUTED_VALUE"""),44638.6666666666)</f>
        <v>44638.666666666599</v>
      </c>
      <c r="B1629" s="1">
        <f ca="1">IFERROR(__xludf.DUMMYFUNCTION("""COMPUTED_VALUE"""),291.5)</f>
        <v>291.5</v>
      </c>
      <c r="C1629" s="1">
        <f ca="1">IFERROR(__xludf.DUMMYFUNCTION("""COMPUTED_VALUE"""),302.62)</f>
        <v>302.62</v>
      </c>
      <c r="D1629" s="1">
        <f ca="1">IFERROR(__xludf.DUMMYFUNCTION("""COMPUTED_VALUE"""),289.13)</f>
        <v>289.13</v>
      </c>
      <c r="E1629" s="1">
        <f ca="1">IFERROR(__xludf.DUMMYFUNCTION("""COMPUTED_VALUE"""),301.8)</f>
        <v>301.8</v>
      </c>
      <c r="F1629" s="1">
        <f ca="1">IFERROR(__xludf.DUMMYFUNCTION("""COMPUTED_VALUE"""),33471397)</f>
        <v>33471397</v>
      </c>
    </row>
    <row r="1630" spans="1:6" x14ac:dyDescent="0.2">
      <c r="A1630" s="2">
        <f ca="1">IFERROR(__xludf.DUMMYFUNCTION("""COMPUTED_VALUE"""),44641.6666666666)</f>
        <v>44641.666666666599</v>
      </c>
      <c r="B1630" s="1">
        <f ca="1">IFERROR(__xludf.DUMMYFUNCTION("""COMPUTED_VALUE"""),304.99)</f>
        <v>304.99</v>
      </c>
      <c r="C1630" s="1">
        <f ca="1">IFERROR(__xludf.DUMMYFUNCTION("""COMPUTED_VALUE"""),314.28)</f>
        <v>314.27999999999997</v>
      </c>
      <c r="D1630" s="1">
        <f ca="1">IFERROR(__xludf.DUMMYFUNCTION("""COMPUTED_VALUE"""),302.36)</f>
        <v>302.36</v>
      </c>
      <c r="E1630" s="1">
        <f ca="1">IFERROR(__xludf.DUMMYFUNCTION("""COMPUTED_VALUE"""),307.05)</f>
        <v>307.05</v>
      </c>
      <c r="F1630" s="1">
        <f ca="1">IFERROR(__xludf.DUMMYFUNCTION("""COMPUTED_VALUE"""),27327216)</f>
        <v>27327216</v>
      </c>
    </row>
    <row r="1631" spans="1:6" x14ac:dyDescent="0.2">
      <c r="A1631" s="2">
        <f ca="1">IFERROR(__xludf.DUMMYFUNCTION("""COMPUTED_VALUE"""),44642.6666666666)</f>
        <v>44642.666666666599</v>
      </c>
      <c r="B1631" s="1">
        <f ca="1">IFERROR(__xludf.DUMMYFUNCTION("""COMPUTED_VALUE"""),310)</f>
        <v>310</v>
      </c>
      <c r="C1631" s="1">
        <f ca="1">IFERROR(__xludf.DUMMYFUNCTION("""COMPUTED_VALUE"""),332.62)</f>
        <v>332.62</v>
      </c>
      <c r="D1631" s="1">
        <f ca="1">IFERROR(__xludf.DUMMYFUNCTION("""COMPUTED_VALUE"""),307.25)</f>
        <v>307.25</v>
      </c>
      <c r="E1631" s="1">
        <f ca="1">IFERROR(__xludf.DUMMYFUNCTION("""COMPUTED_VALUE"""),331.33)</f>
        <v>331.33</v>
      </c>
      <c r="F1631" s="1">
        <f ca="1">IFERROR(__xludf.DUMMYFUNCTION("""COMPUTED_VALUE"""),35289519)</f>
        <v>35289519</v>
      </c>
    </row>
    <row r="1632" spans="1:6" x14ac:dyDescent="0.2">
      <c r="A1632" s="2">
        <f ca="1">IFERROR(__xludf.DUMMYFUNCTION("""COMPUTED_VALUE"""),44643.6666666666)</f>
        <v>44643.666666666599</v>
      </c>
      <c r="B1632" s="1">
        <f ca="1">IFERROR(__xludf.DUMMYFUNCTION("""COMPUTED_VALUE"""),326.65)</f>
        <v>326.64999999999998</v>
      </c>
      <c r="C1632" s="1">
        <f ca="1">IFERROR(__xludf.DUMMYFUNCTION("""COMPUTED_VALUE"""),346.9)</f>
        <v>346.9</v>
      </c>
      <c r="D1632" s="1">
        <f ca="1">IFERROR(__xludf.DUMMYFUNCTION("""COMPUTED_VALUE"""),325.47)</f>
        <v>325.47000000000003</v>
      </c>
      <c r="E1632" s="1">
        <f ca="1">IFERROR(__xludf.DUMMYFUNCTION("""COMPUTED_VALUE"""),333.04)</f>
        <v>333.04</v>
      </c>
      <c r="F1632" s="1">
        <f ca="1">IFERROR(__xludf.DUMMYFUNCTION("""COMPUTED_VALUE"""),40225383)</f>
        <v>40225383</v>
      </c>
    </row>
    <row r="1633" spans="1:6" x14ac:dyDescent="0.2">
      <c r="A1633" s="2">
        <f ca="1">IFERROR(__xludf.DUMMYFUNCTION("""COMPUTED_VALUE"""),44644.6666666666)</f>
        <v>44644.666666666599</v>
      </c>
      <c r="B1633" s="1">
        <f ca="1">IFERROR(__xludf.DUMMYFUNCTION("""COMPUTED_VALUE"""),336.58)</f>
        <v>336.58</v>
      </c>
      <c r="C1633" s="1">
        <f ca="1">IFERROR(__xludf.DUMMYFUNCTION("""COMPUTED_VALUE"""),341.5)</f>
        <v>341.5</v>
      </c>
      <c r="D1633" s="1">
        <f ca="1">IFERROR(__xludf.DUMMYFUNCTION("""COMPUTED_VALUE"""),329.6)</f>
        <v>329.6</v>
      </c>
      <c r="E1633" s="1">
        <f ca="1">IFERROR(__xludf.DUMMYFUNCTION("""COMPUTED_VALUE"""),337.97)</f>
        <v>337.97</v>
      </c>
      <c r="F1633" s="1">
        <f ca="1">IFERROR(__xludf.DUMMYFUNCTION("""COMPUTED_VALUE"""),22973626)</f>
        <v>22973626</v>
      </c>
    </row>
    <row r="1634" spans="1:6" x14ac:dyDescent="0.2">
      <c r="A1634" s="2">
        <f ca="1">IFERROR(__xludf.DUMMYFUNCTION("""COMPUTED_VALUE"""),44645.6666666666)</f>
        <v>44645.666666666599</v>
      </c>
      <c r="B1634" s="1">
        <f ca="1">IFERROR(__xludf.DUMMYFUNCTION("""COMPUTED_VALUE"""),336)</f>
        <v>336</v>
      </c>
      <c r="C1634" s="1">
        <f ca="1">IFERROR(__xludf.DUMMYFUNCTION("""COMPUTED_VALUE"""),340.6)</f>
        <v>340.6</v>
      </c>
      <c r="D1634" s="1">
        <f ca="1">IFERROR(__xludf.DUMMYFUNCTION("""COMPUTED_VALUE"""),332.44)</f>
        <v>332.44</v>
      </c>
      <c r="E1634" s="1">
        <f ca="1">IFERROR(__xludf.DUMMYFUNCTION("""COMPUTED_VALUE"""),336.88)</f>
        <v>336.88</v>
      </c>
      <c r="F1634" s="1">
        <f ca="1">IFERROR(__xludf.DUMMYFUNCTION("""COMPUTED_VALUE"""),20677182)</f>
        <v>20677182</v>
      </c>
    </row>
    <row r="1635" spans="1:6" x14ac:dyDescent="0.2">
      <c r="A1635" s="2">
        <f ca="1">IFERROR(__xludf.DUMMYFUNCTION("""COMPUTED_VALUE"""),44648.6666666666)</f>
        <v>44648.666666666599</v>
      </c>
      <c r="B1635" s="1">
        <f ca="1">IFERROR(__xludf.DUMMYFUNCTION("""COMPUTED_VALUE"""),355.03)</f>
        <v>355.03</v>
      </c>
      <c r="C1635" s="1">
        <f ca="1">IFERROR(__xludf.DUMMYFUNCTION("""COMPUTED_VALUE"""),365.96)</f>
        <v>365.96</v>
      </c>
      <c r="D1635" s="1">
        <f ca="1">IFERROR(__xludf.DUMMYFUNCTION("""COMPUTED_VALUE"""),351.2)</f>
        <v>351.2</v>
      </c>
      <c r="E1635" s="1">
        <f ca="1">IFERROR(__xludf.DUMMYFUNCTION("""COMPUTED_VALUE"""),363.95)</f>
        <v>363.95</v>
      </c>
      <c r="F1635" s="1">
        <f ca="1">IFERROR(__xludf.DUMMYFUNCTION("""COMPUTED_VALUE"""),34168693)</f>
        <v>34168693</v>
      </c>
    </row>
    <row r="1636" spans="1:6" x14ac:dyDescent="0.2">
      <c r="A1636" s="2">
        <f ca="1">IFERROR(__xludf.DUMMYFUNCTION("""COMPUTED_VALUE"""),44649.6666666666)</f>
        <v>44649.666666666599</v>
      </c>
      <c r="B1636" s="1">
        <f ca="1">IFERROR(__xludf.DUMMYFUNCTION("""COMPUTED_VALUE"""),369.33)</f>
        <v>369.33</v>
      </c>
      <c r="C1636" s="1">
        <f ca="1">IFERROR(__xludf.DUMMYFUNCTION("""COMPUTED_VALUE"""),371.59)</f>
        <v>371.59</v>
      </c>
      <c r="D1636" s="1">
        <f ca="1">IFERROR(__xludf.DUMMYFUNCTION("""COMPUTED_VALUE"""),357.7)</f>
        <v>357.7</v>
      </c>
      <c r="E1636" s="1">
        <f ca="1">IFERROR(__xludf.DUMMYFUNCTION("""COMPUTED_VALUE"""),366.52)</f>
        <v>366.52</v>
      </c>
      <c r="F1636" s="1">
        <f ca="1">IFERROR(__xludf.DUMMYFUNCTION("""COMPUTED_VALUE"""),24538273)</f>
        <v>24538273</v>
      </c>
    </row>
    <row r="1637" spans="1:6" x14ac:dyDescent="0.2">
      <c r="A1637" s="2">
        <f ca="1">IFERROR(__xludf.DUMMYFUNCTION("""COMPUTED_VALUE"""),44650.6666666666)</f>
        <v>44650.666666666599</v>
      </c>
      <c r="B1637" s="1">
        <f ca="1">IFERROR(__xludf.DUMMYFUNCTION("""COMPUTED_VALUE"""),363.72)</f>
        <v>363.72</v>
      </c>
      <c r="C1637" s="1">
        <f ca="1">IFERROR(__xludf.DUMMYFUNCTION("""COMPUTED_VALUE"""),371.32)</f>
        <v>371.32</v>
      </c>
      <c r="D1637" s="1">
        <f ca="1">IFERROR(__xludf.DUMMYFUNCTION("""COMPUTED_VALUE"""),361.33)</f>
        <v>361.33</v>
      </c>
      <c r="E1637" s="1">
        <f ca="1">IFERROR(__xludf.DUMMYFUNCTION("""COMPUTED_VALUE"""),364.66)</f>
        <v>364.66</v>
      </c>
      <c r="F1637" s="1">
        <f ca="1">IFERROR(__xludf.DUMMYFUNCTION("""COMPUTED_VALUE"""),19955002)</f>
        <v>19955002</v>
      </c>
    </row>
    <row r="1638" spans="1:6" x14ac:dyDescent="0.2">
      <c r="A1638" s="2">
        <f ca="1">IFERROR(__xludf.DUMMYFUNCTION("""COMPUTED_VALUE"""),44651.6666666666)</f>
        <v>44651.666666666599</v>
      </c>
      <c r="B1638" s="1">
        <f ca="1">IFERROR(__xludf.DUMMYFUNCTION("""COMPUTED_VALUE"""),364.86)</f>
        <v>364.86</v>
      </c>
      <c r="C1638" s="1">
        <f ca="1">IFERROR(__xludf.DUMMYFUNCTION("""COMPUTED_VALUE"""),367.71)</f>
        <v>367.71</v>
      </c>
      <c r="D1638" s="1">
        <f ca="1">IFERROR(__xludf.DUMMYFUNCTION("""COMPUTED_VALUE"""),358.88)</f>
        <v>358.88</v>
      </c>
      <c r="E1638" s="1">
        <f ca="1">IFERROR(__xludf.DUMMYFUNCTION("""COMPUTED_VALUE"""),359.2)</f>
        <v>359.2</v>
      </c>
      <c r="F1638" s="1">
        <f ca="1">IFERROR(__xludf.DUMMYFUNCTION("""COMPUTED_VALUE"""),16330919)</f>
        <v>16330919</v>
      </c>
    </row>
    <row r="1639" spans="1:6" x14ac:dyDescent="0.2">
      <c r="A1639" s="2">
        <f ca="1">IFERROR(__xludf.DUMMYFUNCTION("""COMPUTED_VALUE"""),44652.6666666666)</f>
        <v>44652.666666666599</v>
      </c>
      <c r="B1639" s="1">
        <f ca="1">IFERROR(__xludf.DUMMYFUNCTION("""COMPUTED_VALUE"""),360.38)</f>
        <v>360.38</v>
      </c>
      <c r="C1639" s="1">
        <f ca="1">IFERROR(__xludf.DUMMYFUNCTION("""COMPUTED_VALUE"""),364.92)</f>
        <v>364.92</v>
      </c>
      <c r="D1639" s="1">
        <f ca="1">IFERROR(__xludf.DUMMYFUNCTION("""COMPUTED_VALUE"""),355.55)</f>
        <v>355.55</v>
      </c>
      <c r="E1639" s="1">
        <f ca="1">IFERROR(__xludf.DUMMYFUNCTION("""COMPUTED_VALUE"""),361.53)</f>
        <v>361.53</v>
      </c>
      <c r="F1639" s="1">
        <f ca="1">IFERROR(__xludf.DUMMYFUNCTION("""COMPUTED_VALUE"""),18087741)</f>
        <v>18087741</v>
      </c>
    </row>
    <row r="1640" spans="1:6" x14ac:dyDescent="0.2">
      <c r="A1640" s="2">
        <f ca="1">IFERROR(__xludf.DUMMYFUNCTION("""COMPUTED_VALUE"""),44655.6666666666)</f>
        <v>44655.666666666599</v>
      </c>
      <c r="B1640" s="1">
        <f ca="1">IFERROR(__xludf.DUMMYFUNCTION("""COMPUTED_VALUE"""),363.13)</f>
        <v>363.13</v>
      </c>
      <c r="C1640" s="1">
        <f ca="1">IFERROR(__xludf.DUMMYFUNCTION("""COMPUTED_VALUE"""),383.3)</f>
        <v>383.3</v>
      </c>
      <c r="D1640" s="1">
        <f ca="1">IFERROR(__xludf.DUMMYFUNCTION("""COMPUTED_VALUE"""),357.51)</f>
        <v>357.51</v>
      </c>
      <c r="E1640" s="1">
        <f ca="1">IFERROR(__xludf.DUMMYFUNCTION("""COMPUTED_VALUE"""),381.82)</f>
        <v>381.82</v>
      </c>
      <c r="F1640" s="1">
        <f ca="1">IFERROR(__xludf.DUMMYFUNCTION("""COMPUTED_VALUE"""),27392567)</f>
        <v>27392567</v>
      </c>
    </row>
    <row r="1641" spans="1:6" x14ac:dyDescent="0.2">
      <c r="A1641" s="2">
        <f ca="1">IFERROR(__xludf.DUMMYFUNCTION("""COMPUTED_VALUE"""),44656.6666666666)</f>
        <v>44656.666666666599</v>
      </c>
      <c r="B1641" s="1">
        <f ca="1">IFERROR(__xludf.DUMMYFUNCTION("""COMPUTED_VALUE"""),378.77)</f>
        <v>378.77</v>
      </c>
      <c r="C1641" s="1">
        <f ca="1">IFERROR(__xludf.DUMMYFUNCTION("""COMPUTED_VALUE"""),384.29)</f>
        <v>384.29</v>
      </c>
      <c r="D1641" s="1">
        <f ca="1">IFERROR(__xludf.DUMMYFUNCTION("""COMPUTED_VALUE"""),362.43)</f>
        <v>362.43</v>
      </c>
      <c r="E1641" s="1">
        <f ca="1">IFERROR(__xludf.DUMMYFUNCTION("""COMPUTED_VALUE"""),363.75)</f>
        <v>363.75</v>
      </c>
      <c r="F1641" s="1">
        <f ca="1">IFERROR(__xludf.DUMMYFUNCTION("""COMPUTED_VALUE"""),26691673)</f>
        <v>26691673</v>
      </c>
    </row>
    <row r="1642" spans="1:6" x14ac:dyDescent="0.2">
      <c r="A1642" s="2">
        <f ca="1">IFERROR(__xludf.DUMMYFUNCTION("""COMPUTED_VALUE"""),44657.6666666666)</f>
        <v>44657.666666666599</v>
      </c>
      <c r="B1642" s="1">
        <f ca="1">IFERROR(__xludf.DUMMYFUNCTION("""COMPUTED_VALUE"""),357.82)</f>
        <v>357.82</v>
      </c>
      <c r="C1642" s="1">
        <f ca="1">IFERROR(__xludf.DUMMYFUNCTION("""COMPUTED_VALUE"""),359.67)</f>
        <v>359.67</v>
      </c>
      <c r="D1642" s="1">
        <f ca="1">IFERROR(__xludf.DUMMYFUNCTION("""COMPUTED_VALUE"""),342.57)</f>
        <v>342.57</v>
      </c>
      <c r="E1642" s="1">
        <f ca="1">IFERROR(__xludf.DUMMYFUNCTION("""COMPUTED_VALUE"""),348.59)</f>
        <v>348.59</v>
      </c>
      <c r="F1642" s="1">
        <f ca="1">IFERROR(__xludf.DUMMYFUNCTION("""COMPUTED_VALUE"""),29782845)</f>
        <v>29782845</v>
      </c>
    </row>
    <row r="1643" spans="1:6" x14ac:dyDescent="0.2">
      <c r="A1643" s="2">
        <f ca="1">IFERROR(__xludf.DUMMYFUNCTION("""COMPUTED_VALUE"""),44658.6666666666)</f>
        <v>44658.666666666599</v>
      </c>
      <c r="B1643" s="1">
        <f ca="1">IFERROR(__xludf.DUMMYFUNCTION("""COMPUTED_VALUE"""),350.8)</f>
        <v>350.8</v>
      </c>
      <c r="C1643" s="1">
        <f ca="1">IFERROR(__xludf.DUMMYFUNCTION("""COMPUTED_VALUE"""),358.86)</f>
        <v>358.86</v>
      </c>
      <c r="D1643" s="1">
        <f ca="1">IFERROR(__xludf.DUMMYFUNCTION("""COMPUTED_VALUE"""),340.51)</f>
        <v>340.51</v>
      </c>
      <c r="E1643" s="1">
        <f ca="1">IFERROR(__xludf.DUMMYFUNCTION("""COMPUTED_VALUE"""),352.42)</f>
        <v>352.42</v>
      </c>
      <c r="F1643" s="1">
        <f ca="1">IFERROR(__xludf.DUMMYFUNCTION("""COMPUTED_VALUE"""),26482353)</f>
        <v>26482353</v>
      </c>
    </row>
    <row r="1644" spans="1:6" x14ac:dyDescent="0.2">
      <c r="A1644" s="2">
        <f ca="1">IFERROR(__xludf.DUMMYFUNCTION("""COMPUTED_VALUE"""),44659.6666666666)</f>
        <v>44659.666666666599</v>
      </c>
      <c r="B1644" s="1">
        <f ca="1">IFERROR(__xludf.DUMMYFUNCTION("""COMPUTED_VALUE"""),347.74)</f>
        <v>347.74</v>
      </c>
      <c r="C1644" s="1">
        <f ca="1">IFERROR(__xludf.DUMMYFUNCTION("""COMPUTED_VALUE"""),349.48)</f>
        <v>349.48</v>
      </c>
      <c r="D1644" s="1">
        <f ca="1">IFERROR(__xludf.DUMMYFUNCTION("""COMPUTED_VALUE"""),340.81)</f>
        <v>340.81</v>
      </c>
      <c r="E1644" s="1">
        <f ca="1">IFERROR(__xludf.DUMMYFUNCTION("""COMPUTED_VALUE"""),341.83)</f>
        <v>341.83</v>
      </c>
      <c r="F1644" s="1">
        <f ca="1">IFERROR(__xludf.DUMMYFUNCTION("""COMPUTED_VALUE"""),18337896)</f>
        <v>18337896</v>
      </c>
    </row>
    <row r="1645" spans="1:6" x14ac:dyDescent="0.2">
      <c r="A1645" s="2">
        <f ca="1">IFERROR(__xludf.DUMMYFUNCTION("""COMPUTED_VALUE"""),44662.6666666666)</f>
        <v>44662.666666666599</v>
      </c>
      <c r="B1645" s="1">
        <f ca="1">IFERROR(__xludf.DUMMYFUNCTION("""COMPUTED_VALUE"""),326.8)</f>
        <v>326.8</v>
      </c>
      <c r="C1645" s="1">
        <f ca="1">IFERROR(__xludf.DUMMYFUNCTION("""COMPUTED_VALUE"""),336.16)</f>
        <v>336.16</v>
      </c>
      <c r="D1645" s="1">
        <f ca="1">IFERROR(__xludf.DUMMYFUNCTION("""COMPUTED_VALUE"""),324.88)</f>
        <v>324.88</v>
      </c>
      <c r="E1645" s="1">
        <f ca="1">IFERROR(__xludf.DUMMYFUNCTION("""COMPUTED_VALUE"""),325.31)</f>
        <v>325.31</v>
      </c>
      <c r="F1645" s="1">
        <f ca="1">IFERROR(__xludf.DUMMYFUNCTION("""COMPUTED_VALUE"""),19785735)</f>
        <v>19785735</v>
      </c>
    </row>
    <row r="1646" spans="1:6" x14ac:dyDescent="0.2">
      <c r="A1646" s="2">
        <f ca="1">IFERROR(__xludf.DUMMYFUNCTION("""COMPUTED_VALUE"""),44663.6666666666)</f>
        <v>44663.666666666599</v>
      </c>
      <c r="B1646" s="1">
        <f ca="1">IFERROR(__xludf.DUMMYFUNCTION("""COMPUTED_VALUE"""),332.55)</f>
        <v>332.55</v>
      </c>
      <c r="C1646" s="1">
        <f ca="1">IFERROR(__xludf.DUMMYFUNCTION("""COMPUTED_VALUE"""),340.4)</f>
        <v>340.4</v>
      </c>
      <c r="D1646" s="1">
        <f ca="1">IFERROR(__xludf.DUMMYFUNCTION("""COMPUTED_VALUE"""),325.53)</f>
        <v>325.52999999999997</v>
      </c>
      <c r="E1646" s="1">
        <f ca="1">IFERROR(__xludf.DUMMYFUNCTION("""COMPUTED_VALUE"""),328.98)</f>
        <v>328.98</v>
      </c>
      <c r="F1646" s="1">
        <f ca="1">IFERROR(__xludf.DUMMYFUNCTION("""COMPUTED_VALUE"""),21992032)</f>
        <v>21992032</v>
      </c>
    </row>
    <row r="1647" spans="1:6" x14ac:dyDescent="0.2">
      <c r="A1647" s="2">
        <f ca="1">IFERROR(__xludf.DUMMYFUNCTION("""COMPUTED_VALUE"""),44664.6666666666)</f>
        <v>44664.666666666599</v>
      </c>
      <c r="B1647" s="1">
        <f ca="1">IFERROR(__xludf.DUMMYFUNCTION("""COMPUTED_VALUE"""),327.02)</f>
        <v>327.02</v>
      </c>
      <c r="C1647" s="1">
        <f ca="1">IFERROR(__xludf.DUMMYFUNCTION("""COMPUTED_VALUE"""),342.08)</f>
        <v>342.08</v>
      </c>
      <c r="D1647" s="1">
        <f ca="1">IFERROR(__xludf.DUMMYFUNCTION("""COMPUTED_VALUE"""),324.37)</f>
        <v>324.37</v>
      </c>
      <c r="E1647" s="1">
        <f ca="1">IFERROR(__xludf.DUMMYFUNCTION("""COMPUTED_VALUE"""),340.79)</f>
        <v>340.79</v>
      </c>
      <c r="F1647" s="1">
        <f ca="1">IFERROR(__xludf.DUMMYFUNCTION("""COMPUTED_VALUE"""),18373737)</f>
        <v>18373737</v>
      </c>
    </row>
    <row r="1648" spans="1:6" x14ac:dyDescent="0.2">
      <c r="A1648" s="2">
        <f ca="1">IFERROR(__xludf.DUMMYFUNCTION("""COMPUTED_VALUE"""),44665.6666666666)</f>
        <v>44665.666666666599</v>
      </c>
      <c r="B1648" s="1">
        <f ca="1">IFERROR(__xludf.DUMMYFUNCTION("""COMPUTED_VALUE"""),333.1)</f>
        <v>333.1</v>
      </c>
      <c r="C1648" s="1">
        <f ca="1">IFERROR(__xludf.DUMMYFUNCTION("""COMPUTED_VALUE"""),337.57)</f>
        <v>337.57</v>
      </c>
      <c r="D1648" s="1">
        <f ca="1">IFERROR(__xludf.DUMMYFUNCTION("""COMPUTED_VALUE"""),327.4)</f>
        <v>327.39999999999998</v>
      </c>
      <c r="E1648" s="1">
        <f ca="1">IFERROR(__xludf.DUMMYFUNCTION("""COMPUTED_VALUE"""),328.33)</f>
        <v>328.33</v>
      </c>
      <c r="F1648" s="1">
        <f ca="1">IFERROR(__xludf.DUMMYFUNCTION("""COMPUTED_VALUE"""),19474135)</f>
        <v>19474135</v>
      </c>
    </row>
    <row r="1649" spans="1:6" x14ac:dyDescent="0.2">
      <c r="A1649" s="2">
        <f ca="1">IFERROR(__xludf.DUMMYFUNCTION("""COMPUTED_VALUE"""),44669.6666666666)</f>
        <v>44669.666666666599</v>
      </c>
      <c r="B1649" s="1">
        <f ca="1">IFERROR(__xludf.DUMMYFUNCTION("""COMPUTED_VALUE"""),329.68)</f>
        <v>329.68</v>
      </c>
      <c r="C1649" s="1">
        <f ca="1">IFERROR(__xludf.DUMMYFUNCTION("""COMPUTED_VALUE"""),338.31)</f>
        <v>338.31</v>
      </c>
      <c r="D1649" s="1">
        <f ca="1">IFERROR(__xludf.DUMMYFUNCTION("""COMPUTED_VALUE"""),324.47)</f>
        <v>324.47000000000003</v>
      </c>
      <c r="E1649" s="1">
        <f ca="1">IFERROR(__xludf.DUMMYFUNCTION("""COMPUTED_VALUE"""),334.76)</f>
        <v>334.76</v>
      </c>
      <c r="F1649" s="1">
        <f ca="1">IFERROR(__xludf.DUMMYFUNCTION("""COMPUTED_VALUE"""),17238407)</f>
        <v>17238407</v>
      </c>
    </row>
    <row r="1650" spans="1:6" x14ac:dyDescent="0.2">
      <c r="A1650" s="2">
        <f ca="1">IFERROR(__xludf.DUMMYFUNCTION("""COMPUTED_VALUE"""),44670.6666666666)</f>
        <v>44670.666666666599</v>
      </c>
      <c r="B1650" s="1">
        <f ca="1">IFERROR(__xludf.DUMMYFUNCTION("""COMPUTED_VALUE"""),335.02)</f>
        <v>335.02</v>
      </c>
      <c r="C1650" s="1">
        <f ca="1">IFERROR(__xludf.DUMMYFUNCTION("""COMPUTED_VALUE"""),344.98)</f>
        <v>344.98</v>
      </c>
      <c r="D1650" s="1">
        <f ca="1">IFERROR(__xludf.DUMMYFUNCTION("""COMPUTED_VALUE"""),331.78)</f>
        <v>331.78</v>
      </c>
      <c r="E1650" s="1">
        <f ca="1">IFERROR(__xludf.DUMMYFUNCTION("""COMPUTED_VALUE"""),342.72)</f>
        <v>342.72</v>
      </c>
      <c r="F1650" s="1">
        <f ca="1">IFERROR(__xludf.DUMMYFUNCTION("""COMPUTED_VALUE"""),16615944)</f>
        <v>16615944</v>
      </c>
    </row>
    <row r="1651" spans="1:6" x14ac:dyDescent="0.2">
      <c r="A1651" s="2">
        <f ca="1">IFERROR(__xludf.DUMMYFUNCTION("""COMPUTED_VALUE"""),44671.6666666666)</f>
        <v>44671.666666666599</v>
      </c>
      <c r="B1651" s="1">
        <f ca="1">IFERROR(__xludf.DUMMYFUNCTION("""COMPUTED_VALUE"""),343.33)</f>
        <v>343.33</v>
      </c>
      <c r="C1651" s="1">
        <f ca="1">IFERROR(__xludf.DUMMYFUNCTION("""COMPUTED_VALUE"""),344.67)</f>
        <v>344.67</v>
      </c>
      <c r="D1651" s="1">
        <f ca="1">IFERROR(__xludf.DUMMYFUNCTION("""COMPUTED_VALUE"""),325.08)</f>
        <v>325.08</v>
      </c>
      <c r="E1651" s="1">
        <f ca="1">IFERROR(__xludf.DUMMYFUNCTION("""COMPUTED_VALUE"""),325.73)</f>
        <v>325.73</v>
      </c>
      <c r="F1651" s="1">
        <f ca="1">IFERROR(__xludf.DUMMYFUNCTION("""COMPUTED_VALUE"""),23570442)</f>
        <v>23570442</v>
      </c>
    </row>
    <row r="1652" spans="1:6" x14ac:dyDescent="0.2">
      <c r="A1652" s="2">
        <f ca="1">IFERROR(__xludf.DUMMYFUNCTION("""COMPUTED_VALUE"""),44672.6666666666)</f>
        <v>44672.666666666599</v>
      </c>
      <c r="B1652" s="1">
        <f ca="1">IFERROR(__xludf.DUMMYFUNCTION("""COMPUTED_VALUE"""),358.24)</f>
        <v>358.24</v>
      </c>
      <c r="C1652" s="1">
        <f ca="1">IFERROR(__xludf.DUMMYFUNCTION("""COMPUTED_VALUE"""),364.07)</f>
        <v>364.07</v>
      </c>
      <c r="D1652" s="1">
        <f ca="1">IFERROR(__xludf.DUMMYFUNCTION("""COMPUTED_VALUE"""),332.14)</f>
        <v>332.14</v>
      </c>
      <c r="E1652" s="1">
        <f ca="1">IFERROR(__xludf.DUMMYFUNCTION("""COMPUTED_VALUE"""),336.26)</f>
        <v>336.26</v>
      </c>
      <c r="F1652" s="1">
        <f ca="1">IFERROR(__xludf.DUMMYFUNCTION("""COMPUTED_VALUE"""),35138779)</f>
        <v>35138779</v>
      </c>
    </row>
    <row r="1653" spans="1:6" x14ac:dyDescent="0.2">
      <c r="A1653" s="2">
        <f ca="1">IFERROR(__xludf.DUMMYFUNCTION("""COMPUTED_VALUE"""),44673.6666666666)</f>
        <v>44673.666666666599</v>
      </c>
      <c r="B1653" s="1">
        <f ca="1">IFERROR(__xludf.DUMMYFUNCTION("""COMPUTED_VALUE"""),338.3)</f>
        <v>338.3</v>
      </c>
      <c r="C1653" s="1">
        <f ca="1">IFERROR(__xludf.DUMMYFUNCTION("""COMPUTED_VALUE"""),344.95)</f>
        <v>344.95</v>
      </c>
      <c r="D1653" s="1">
        <f ca="1">IFERROR(__xludf.DUMMYFUNCTION("""COMPUTED_VALUE"""),331.33)</f>
        <v>331.33</v>
      </c>
      <c r="E1653" s="1">
        <f ca="1">IFERROR(__xludf.DUMMYFUNCTION("""COMPUTED_VALUE"""),335.02)</f>
        <v>335.02</v>
      </c>
      <c r="F1653" s="1">
        <f ca="1">IFERROR(__xludf.DUMMYFUNCTION("""COMPUTED_VALUE"""),23232186)</f>
        <v>23232186</v>
      </c>
    </row>
    <row r="1654" spans="1:6" x14ac:dyDescent="0.2">
      <c r="A1654" s="2">
        <f ca="1">IFERROR(__xludf.DUMMYFUNCTION("""COMPUTED_VALUE"""),44676.6666666666)</f>
        <v>44676.666666666599</v>
      </c>
      <c r="B1654" s="1">
        <f ca="1">IFERROR(__xludf.DUMMYFUNCTION("""COMPUTED_VALUE"""),326.32)</f>
        <v>326.32</v>
      </c>
      <c r="C1654" s="1">
        <f ca="1">IFERROR(__xludf.DUMMYFUNCTION("""COMPUTED_VALUE"""),336.21)</f>
        <v>336.21</v>
      </c>
      <c r="D1654" s="1">
        <f ca="1">IFERROR(__xludf.DUMMYFUNCTION("""COMPUTED_VALUE"""),325.1)</f>
        <v>325.10000000000002</v>
      </c>
      <c r="E1654" s="1">
        <f ca="1">IFERROR(__xludf.DUMMYFUNCTION("""COMPUTED_VALUE"""),332.67)</f>
        <v>332.67</v>
      </c>
      <c r="F1654" s="1">
        <f ca="1">IFERROR(__xludf.DUMMYFUNCTION("""COMPUTED_VALUE"""),22780445)</f>
        <v>22780445</v>
      </c>
    </row>
    <row r="1655" spans="1:6" x14ac:dyDescent="0.2">
      <c r="A1655" s="2">
        <f ca="1">IFERROR(__xludf.DUMMYFUNCTION("""COMPUTED_VALUE"""),44677.6666666666)</f>
        <v>44677.666666666599</v>
      </c>
      <c r="B1655" s="1">
        <f ca="1">IFERROR(__xludf.DUMMYFUNCTION("""COMPUTED_VALUE"""),331.81)</f>
        <v>331.81</v>
      </c>
      <c r="C1655" s="1">
        <f ca="1">IFERROR(__xludf.DUMMYFUNCTION("""COMPUTED_VALUE"""),333.33)</f>
        <v>333.33</v>
      </c>
      <c r="D1655" s="1">
        <f ca="1">IFERROR(__xludf.DUMMYFUNCTION("""COMPUTED_VALUE"""),291.67)</f>
        <v>291.67</v>
      </c>
      <c r="E1655" s="1">
        <f ca="1">IFERROR(__xludf.DUMMYFUNCTION("""COMPUTED_VALUE"""),292.14)</f>
        <v>292.14</v>
      </c>
      <c r="F1655" s="1">
        <f ca="1">IFERROR(__xludf.DUMMYFUNCTION("""COMPUTED_VALUE"""),45377889)</f>
        <v>45377889</v>
      </c>
    </row>
    <row r="1656" spans="1:6" x14ac:dyDescent="0.2">
      <c r="A1656" s="2">
        <f ca="1">IFERROR(__xludf.DUMMYFUNCTION("""COMPUTED_VALUE"""),44678.6666666666)</f>
        <v>44678.666666666599</v>
      </c>
      <c r="B1656" s="1">
        <f ca="1">IFERROR(__xludf.DUMMYFUNCTION("""COMPUTED_VALUE"""),299.53)</f>
        <v>299.52999999999997</v>
      </c>
      <c r="C1656" s="1">
        <f ca="1">IFERROR(__xludf.DUMMYFUNCTION("""COMPUTED_VALUE"""),306)</f>
        <v>306</v>
      </c>
      <c r="D1656" s="1">
        <f ca="1">IFERROR(__xludf.DUMMYFUNCTION("""COMPUTED_VALUE"""),292.45)</f>
        <v>292.45</v>
      </c>
      <c r="E1656" s="1">
        <f ca="1">IFERROR(__xludf.DUMMYFUNCTION("""COMPUTED_VALUE"""),293.84)</f>
        <v>293.83999999999997</v>
      </c>
      <c r="F1656" s="1">
        <f ca="1">IFERROR(__xludf.DUMMYFUNCTION("""COMPUTED_VALUE"""),25652132)</f>
        <v>25652132</v>
      </c>
    </row>
    <row r="1657" spans="1:6" x14ac:dyDescent="0.2">
      <c r="A1657" s="2">
        <f ca="1">IFERROR(__xludf.DUMMYFUNCTION("""COMPUTED_VALUE"""),44679.6666666666)</f>
        <v>44679.666666666599</v>
      </c>
      <c r="B1657" s="1">
        <f ca="1">IFERROR(__xludf.DUMMYFUNCTION("""COMPUTED_VALUE"""),299.99)</f>
        <v>299.99</v>
      </c>
      <c r="C1657" s="1">
        <f ca="1">IFERROR(__xludf.DUMMYFUNCTION("""COMPUTED_VALUE"""),300)</f>
        <v>300</v>
      </c>
      <c r="D1657" s="1">
        <f ca="1">IFERROR(__xludf.DUMMYFUNCTION("""COMPUTED_VALUE"""),273.9)</f>
        <v>273.89999999999998</v>
      </c>
      <c r="E1657" s="1">
        <f ca="1">IFERROR(__xludf.DUMMYFUNCTION("""COMPUTED_VALUE"""),292.5)</f>
        <v>292.5</v>
      </c>
      <c r="F1657" s="1">
        <f ca="1">IFERROR(__xludf.DUMMYFUNCTION("""COMPUTED_VALUE"""),41649509)</f>
        <v>41649509</v>
      </c>
    </row>
    <row r="1658" spans="1:6" x14ac:dyDescent="0.2">
      <c r="A1658" s="2">
        <f ca="1">IFERROR(__xludf.DUMMYFUNCTION("""COMPUTED_VALUE"""),44680.6666666666)</f>
        <v>44680.666666666599</v>
      </c>
      <c r="B1658" s="1">
        <f ca="1">IFERROR(__xludf.DUMMYFUNCTION("""COMPUTED_VALUE"""),300.75)</f>
        <v>300.75</v>
      </c>
      <c r="C1658" s="1">
        <f ca="1">IFERROR(__xludf.DUMMYFUNCTION("""COMPUTED_VALUE"""),311.47)</f>
        <v>311.47000000000003</v>
      </c>
      <c r="D1658" s="1">
        <f ca="1">IFERROR(__xludf.DUMMYFUNCTION("""COMPUTED_VALUE"""),290)</f>
        <v>290</v>
      </c>
      <c r="E1658" s="1">
        <f ca="1">IFERROR(__xludf.DUMMYFUNCTION("""COMPUTED_VALUE"""),290.25)</f>
        <v>290.25</v>
      </c>
      <c r="F1658" s="1">
        <f ca="1">IFERROR(__xludf.DUMMYFUNCTION("""COMPUTED_VALUE"""),29377665)</f>
        <v>29377665</v>
      </c>
    </row>
    <row r="1659" spans="1:6" x14ac:dyDescent="0.2">
      <c r="A1659" s="2">
        <f ca="1">IFERROR(__xludf.DUMMYFUNCTION("""COMPUTED_VALUE"""),44683.6666666666)</f>
        <v>44683.666666666599</v>
      </c>
      <c r="B1659" s="1">
        <f ca="1">IFERROR(__xludf.DUMMYFUNCTION("""COMPUTED_VALUE"""),286.92)</f>
        <v>286.92</v>
      </c>
      <c r="C1659" s="1">
        <f ca="1">IFERROR(__xludf.DUMMYFUNCTION("""COMPUTED_VALUE"""),302.12)</f>
        <v>302.12</v>
      </c>
      <c r="D1659" s="1">
        <f ca="1">IFERROR(__xludf.DUMMYFUNCTION("""COMPUTED_VALUE"""),282.68)</f>
        <v>282.68</v>
      </c>
      <c r="E1659" s="1">
        <f ca="1">IFERROR(__xludf.DUMMYFUNCTION("""COMPUTED_VALUE"""),300.98)</f>
        <v>300.98</v>
      </c>
      <c r="F1659" s="1">
        <f ca="1">IFERROR(__xludf.DUMMYFUNCTION("""COMPUTED_VALUE"""),25260457)</f>
        <v>25260457</v>
      </c>
    </row>
    <row r="1660" spans="1:6" x14ac:dyDescent="0.2">
      <c r="A1660" s="2">
        <f ca="1">IFERROR(__xludf.DUMMYFUNCTION("""COMPUTED_VALUE"""),44684.6666666666)</f>
        <v>44684.666666666599</v>
      </c>
      <c r="B1660" s="1">
        <f ca="1">IFERROR(__xludf.DUMMYFUNCTION("""COMPUTED_VALUE"""),301.06)</f>
        <v>301.06</v>
      </c>
      <c r="C1660" s="1">
        <f ca="1">IFERROR(__xludf.DUMMYFUNCTION("""COMPUTED_VALUE"""),308.03)</f>
        <v>308.02999999999997</v>
      </c>
      <c r="D1660" s="1">
        <f ca="1">IFERROR(__xludf.DUMMYFUNCTION("""COMPUTED_VALUE"""),296.2)</f>
        <v>296.2</v>
      </c>
      <c r="E1660" s="1">
        <f ca="1">IFERROR(__xludf.DUMMYFUNCTION("""COMPUTED_VALUE"""),303.08)</f>
        <v>303.08</v>
      </c>
      <c r="F1660" s="1">
        <f ca="1">IFERROR(__xludf.DUMMYFUNCTION("""COMPUTED_VALUE"""),21236525)</f>
        <v>21236525</v>
      </c>
    </row>
    <row r="1661" spans="1:6" x14ac:dyDescent="0.2">
      <c r="A1661" s="2">
        <f ca="1">IFERROR(__xludf.DUMMYFUNCTION("""COMPUTED_VALUE"""),44685.6666666666)</f>
        <v>44685.666666666599</v>
      </c>
      <c r="B1661" s="1">
        <f ca="1">IFERROR(__xludf.DUMMYFUNCTION("""COMPUTED_VALUE"""),301.31)</f>
        <v>301.31</v>
      </c>
      <c r="C1661" s="1">
        <f ca="1">IFERROR(__xludf.DUMMYFUNCTION("""COMPUTED_VALUE"""),318.5)</f>
        <v>318.5</v>
      </c>
      <c r="D1661" s="1">
        <f ca="1">IFERROR(__xludf.DUMMYFUNCTION("""COMPUTED_VALUE"""),295.09)</f>
        <v>295.08999999999997</v>
      </c>
      <c r="E1661" s="1">
        <f ca="1">IFERROR(__xludf.DUMMYFUNCTION("""COMPUTED_VALUE"""),317.54)</f>
        <v>317.54000000000002</v>
      </c>
      <c r="F1661" s="1">
        <f ca="1">IFERROR(__xludf.DUMMYFUNCTION("""COMPUTED_VALUE"""),27214568)</f>
        <v>27214568</v>
      </c>
    </row>
    <row r="1662" spans="1:6" x14ac:dyDescent="0.2">
      <c r="A1662" s="2">
        <f ca="1">IFERROR(__xludf.DUMMYFUNCTION("""COMPUTED_VALUE"""),44686.6666666666)</f>
        <v>44686.666666666599</v>
      </c>
      <c r="B1662" s="1">
        <f ca="1">IFERROR(__xludf.DUMMYFUNCTION("""COMPUTED_VALUE"""),313.07)</f>
        <v>313.07</v>
      </c>
      <c r="C1662" s="1">
        <f ca="1">IFERROR(__xludf.DUMMYFUNCTION("""COMPUTED_VALUE"""),315.2)</f>
        <v>315.2</v>
      </c>
      <c r="D1662" s="1">
        <f ca="1">IFERROR(__xludf.DUMMYFUNCTION("""COMPUTED_VALUE"""),285.9)</f>
        <v>285.89999999999998</v>
      </c>
      <c r="E1662" s="1">
        <f ca="1">IFERROR(__xludf.DUMMYFUNCTION("""COMPUTED_VALUE"""),291.09)</f>
        <v>291.08999999999997</v>
      </c>
      <c r="F1662" s="1">
        <f ca="1">IFERROR(__xludf.DUMMYFUNCTION("""COMPUTED_VALUE"""),30839731)</f>
        <v>30839731</v>
      </c>
    </row>
    <row r="1663" spans="1:6" x14ac:dyDescent="0.2">
      <c r="A1663" s="2">
        <f ca="1">IFERROR(__xludf.DUMMYFUNCTION("""COMPUTED_VALUE"""),44687.6666666666)</f>
        <v>44687.666666666599</v>
      </c>
      <c r="B1663" s="1">
        <f ca="1">IFERROR(__xludf.DUMMYFUNCTION("""COMPUTED_VALUE"""),295.67)</f>
        <v>295.67</v>
      </c>
      <c r="C1663" s="1">
        <f ca="1">IFERROR(__xludf.DUMMYFUNCTION("""COMPUTED_VALUE"""),296)</f>
        <v>296</v>
      </c>
      <c r="D1663" s="1">
        <f ca="1">IFERROR(__xludf.DUMMYFUNCTION("""COMPUTED_VALUE"""),281.04)</f>
        <v>281.04000000000002</v>
      </c>
      <c r="E1663" s="1">
        <f ca="1">IFERROR(__xludf.DUMMYFUNCTION("""COMPUTED_VALUE"""),288.55)</f>
        <v>288.55</v>
      </c>
      <c r="F1663" s="1">
        <f ca="1">IFERROR(__xludf.DUMMYFUNCTION("""COMPUTED_VALUE"""),24301037)</f>
        <v>24301037</v>
      </c>
    </row>
    <row r="1664" spans="1:6" x14ac:dyDescent="0.2">
      <c r="A1664" s="2">
        <f ca="1">IFERROR(__xludf.DUMMYFUNCTION("""COMPUTED_VALUE"""),44690.6666666666)</f>
        <v>44690.666666666599</v>
      </c>
      <c r="B1664" s="1">
        <f ca="1">IFERROR(__xludf.DUMMYFUNCTION("""COMPUTED_VALUE"""),278.82)</f>
        <v>278.82</v>
      </c>
      <c r="C1664" s="1">
        <f ca="1">IFERROR(__xludf.DUMMYFUNCTION("""COMPUTED_VALUE"""),281.88)</f>
        <v>281.88</v>
      </c>
      <c r="D1664" s="1">
        <f ca="1">IFERROR(__xludf.DUMMYFUNCTION("""COMPUTED_VALUE"""),260.38)</f>
        <v>260.38</v>
      </c>
      <c r="E1664" s="1">
        <f ca="1">IFERROR(__xludf.DUMMYFUNCTION("""COMPUTED_VALUE"""),262.37)</f>
        <v>262.37</v>
      </c>
      <c r="F1664" s="1">
        <f ca="1">IFERROR(__xludf.DUMMYFUNCTION("""COMPUTED_VALUE"""),30270074)</f>
        <v>30270074</v>
      </c>
    </row>
    <row r="1665" spans="1:6" x14ac:dyDescent="0.2">
      <c r="A1665" s="2">
        <f ca="1">IFERROR(__xludf.DUMMYFUNCTION("""COMPUTED_VALUE"""),44691.6666666666)</f>
        <v>44691.666666666599</v>
      </c>
      <c r="B1665" s="1">
        <f ca="1">IFERROR(__xludf.DUMMYFUNCTION("""COMPUTED_VALUE"""),273.1)</f>
        <v>273.10000000000002</v>
      </c>
      <c r="C1665" s="1">
        <f ca="1">IFERROR(__xludf.DUMMYFUNCTION("""COMPUTED_VALUE"""),275.12)</f>
        <v>275.12</v>
      </c>
      <c r="D1665" s="1">
        <f ca="1">IFERROR(__xludf.DUMMYFUNCTION("""COMPUTED_VALUE"""),258.08)</f>
        <v>258.08</v>
      </c>
      <c r="E1665" s="1">
        <f ca="1">IFERROR(__xludf.DUMMYFUNCTION("""COMPUTED_VALUE"""),266.68)</f>
        <v>266.68</v>
      </c>
      <c r="F1665" s="1">
        <f ca="1">IFERROR(__xludf.DUMMYFUNCTION("""COMPUTED_VALUE"""),28133877)</f>
        <v>28133877</v>
      </c>
    </row>
    <row r="1666" spans="1:6" x14ac:dyDescent="0.2">
      <c r="A1666" s="2">
        <f ca="1">IFERROR(__xludf.DUMMYFUNCTION("""COMPUTED_VALUE"""),44692.6666666666)</f>
        <v>44692.666666666599</v>
      </c>
      <c r="B1666" s="1">
        <f ca="1">IFERROR(__xludf.DUMMYFUNCTION("""COMPUTED_VALUE"""),265)</f>
        <v>265</v>
      </c>
      <c r="C1666" s="1">
        <f ca="1">IFERROR(__xludf.DUMMYFUNCTION("""COMPUTED_VALUE"""),269.92)</f>
        <v>269.92</v>
      </c>
      <c r="D1666" s="1">
        <f ca="1">IFERROR(__xludf.DUMMYFUNCTION("""COMPUTED_VALUE"""),242.4)</f>
        <v>242.4</v>
      </c>
      <c r="E1666" s="1">
        <f ca="1">IFERROR(__xludf.DUMMYFUNCTION("""COMPUTED_VALUE"""),244.67)</f>
        <v>244.67</v>
      </c>
      <c r="F1666" s="1">
        <f ca="1">IFERROR(__xludf.DUMMYFUNCTION("""COMPUTED_VALUE"""),32408153)</f>
        <v>32408153</v>
      </c>
    </row>
    <row r="1667" spans="1:6" x14ac:dyDescent="0.2">
      <c r="A1667" s="2">
        <f ca="1">IFERROR(__xludf.DUMMYFUNCTION("""COMPUTED_VALUE"""),44693.6666666666)</f>
        <v>44693.666666666599</v>
      </c>
      <c r="B1667" s="1">
        <f ca="1">IFERROR(__xludf.DUMMYFUNCTION("""COMPUTED_VALUE"""),233.67)</f>
        <v>233.67</v>
      </c>
      <c r="C1667" s="1">
        <f ca="1">IFERROR(__xludf.DUMMYFUNCTION("""COMPUTED_VALUE"""),253.22)</f>
        <v>253.22</v>
      </c>
      <c r="D1667" s="1">
        <f ca="1">IFERROR(__xludf.DUMMYFUNCTION("""COMPUTED_VALUE"""),226.67)</f>
        <v>226.67</v>
      </c>
      <c r="E1667" s="1">
        <f ca="1">IFERROR(__xludf.DUMMYFUNCTION("""COMPUTED_VALUE"""),242.67)</f>
        <v>242.67</v>
      </c>
      <c r="F1667" s="1">
        <f ca="1">IFERROR(__xludf.DUMMYFUNCTION("""COMPUTED_VALUE"""),46770954)</f>
        <v>46770954</v>
      </c>
    </row>
    <row r="1668" spans="1:6" x14ac:dyDescent="0.2">
      <c r="A1668" s="2">
        <f ca="1">IFERROR(__xludf.DUMMYFUNCTION("""COMPUTED_VALUE"""),44694.6666666666)</f>
        <v>44694.666666666599</v>
      </c>
      <c r="B1668" s="1">
        <f ca="1">IFERROR(__xludf.DUMMYFUNCTION("""COMPUTED_VALUE"""),257.83)</f>
        <v>257.83</v>
      </c>
      <c r="C1668" s="1">
        <f ca="1">IFERROR(__xludf.DUMMYFUNCTION("""COMPUTED_VALUE"""),262.45)</f>
        <v>262.45</v>
      </c>
      <c r="D1668" s="1">
        <f ca="1">IFERROR(__xludf.DUMMYFUNCTION("""COMPUTED_VALUE"""),250.52)</f>
        <v>250.52</v>
      </c>
      <c r="E1668" s="1">
        <f ca="1">IFERROR(__xludf.DUMMYFUNCTION("""COMPUTED_VALUE"""),256.53)</f>
        <v>256.52999999999997</v>
      </c>
      <c r="F1668" s="1">
        <f ca="1">IFERROR(__xludf.DUMMYFUNCTION("""COMPUTED_VALUE"""),30716908)</f>
        <v>30716908</v>
      </c>
    </row>
    <row r="1669" spans="1:6" x14ac:dyDescent="0.2">
      <c r="A1669" s="2">
        <f ca="1">IFERROR(__xludf.DUMMYFUNCTION("""COMPUTED_VALUE"""),44697.6666666666)</f>
        <v>44697.666666666599</v>
      </c>
      <c r="B1669" s="1">
        <f ca="1">IFERROR(__xludf.DUMMYFUNCTION("""COMPUTED_VALUE"""),255.72)</f>
        <v>255.72</v>
      </c>
      <c r="C1669" s="1">
        <f ca="1">IFERROR(__xludf.DUMMYFUNCTION("""COMPUTED_VALUE"""),256.59)</f>
        <v>256.58999999999997</v>
      </c>
      <c r="D1669" s="1">
        <f ca="1">IFERROR(__xludf.DUMMYFUNCTION("""COMPUTED_VALUE"""),239.7)</f>
        <v>239.7</v>
      </c>
      <c r="E1669" s="1">
        <f ca="1">IFERROR(__xludf.DUMMYFUNCTION("""COMPUTED_VALUE"""),241.46)</f>
        <v>241.46</v>
      </c>
      <c r="F1669" s="1">
        <f ca="1">IFERROR(__xludf.DUMMYFUNCTION("""COMPUTED_VALUE"""),28699513)</f>
        <v>28699513</v>
      </c>
    </row>
    <row r="1670" spans="1:6" x14ac:dyDescent="0.2">
      <c r="A1670" s="2">
        <f ca="1">IFERROR(__xludf.DUMMYFUNCTION("""COMPUTED_VALUE"""),44698.6666666666)</f>
        <v>44698.666666666599</v>
      </c>
      <c r="B1670" s="1">
        <f ca="1">IFERROR(__xludf.DUMMYFUNCTION("""COMPUTED_VALUE"""),249.12)</f>
        <v>249.12</v>
      </c>
      <c r="C1670" s="1">
        <f ca="1">IFERROR(__xludf.DUMMYFUNCTION("""COMPUTED_VALUE"""),254.83)</f>
        <v>254.83</v>
      </c>
      <c r="D1670" s="1">
        <f ca="1">IFERROR(__xludf.DUMMYFUNCTION("""COMPUTED_VALUE"""),242.95)</f>
        <v>242.95</v>
      </c>
      <c r="E1670" s="1">
        <f ca="1">IFERROR(__xludf.DUMMYFUNCTION("""COMPUTED_VALUE"""),253.87)</f>
        <v>253.87</v>
      </c>
      <c r="F1670" s="1">
        <f ca="1">IFERROR(__xludf.DUMMYFUNCTION("""COMPUTED_VALUE"""),26745370)</f>
        <v>26745370</v>
      </c>
    </row>
    <row r="1671" spans="1:6" x14ac:dyDescent="0.2">
      <c r="A1671" s="2">
        <f ca="1">IFERROR(__xludf.DUMMYFUNCTION("""COMPUTED_VALUE"""),44699.6666666666)</f>
        <v>44699.666666666599</v>
      </c>
      <c r="B1671" s="1">
        <f ca="1">IFERROR(__xludf.DUMMYFUNCTION("""COMPUTED_VALUE"""),248.17)</f>
        <v>248.17</v>
      </c>
      <c r="C1671" s="1">
        <f ca="1">IFERROR(__xludf.DUMMYFUNCTION("""COMPUTED_VALUE"""),253.5)</f>
        <v>253.5</v>
      </c>
      <c r="D1671" s="1">
        <f ca="1">IFERROR(__xludf.DUMMYFUNCTION("""COMPUTED_VALUE"""),233.6)</f>
        <v>233.6</v>
      </c>
      <c r="E1671" s="1">
        <f ca="1">IFERROR(__xludf.DUMMYFUNCTION("""COMPUTED_VALUE"""),236.6)</f>
        <v>236.6</v>
      </c>
      <c r="F1671" s="1">
        <f ca="1">IFERROR(__xludf.DUMMYFUNCTION("""COMPUTED_VALUE"""),29270604)</f>
        <v>29270604</v>
      </c>
    </row>
    <row r="1672" spans="1:6" x14ac:dyDescent="0.2">
      <c r="A1672" s="2">
        <f ca="1">IFERROR(__xludf.DUMMYFUNCTION("""COMPUTED_VALUE"""),44700.6666666666)</f>
        <v>44700.666666666599</v>
      </c>
      <c r="B1672" s="1">
        <f ca="1">IFERROR(__xludf.DUMMYFUNCTION("""COMPUTED_VALUE"""),235.67)</f>
        <v>235.67</v>
      </c>
      <c r="C1672" s="1">
        <f ca="1">IFERROR(__xludf.DUMMYFUNCTION("""COMPUTED_VALUE"""),244.67)</f>
        <v>244.67</v>
      </c>
      <c r="D1672" s="1">
        <f ca="1">IFERROR(__xludf.DUMMYFUNCTION("""COMPUTED_VALUE"""),231.37)</f>
        <v>231.37</v>
      </c>
      <c r="E1672" s="1">
        <f ca="1">IFERROR(__xludf.DUMMYFUNCTION("""COMPUTED_VALUE"""),236.47)</f>
        <v>236.47</v>
      </c>
      <c r="F1672" s="1">
        <f ca="1">IFERROR(__xludf.DUMMYFUNCTION("""COMPUTED_VALUE"""),30098891)</f>
        <v>30098891</v>
      </c>
    </row>
    <row r="1673" spans="1:6" x14ac:dyDescent="0.2">
      <c r="A1673" s="2">
        <f ca="1">IFERROR(__xludf.DUMMYFUNCTION("""COMPUTED_VALUE"""),44701.6666666666)</f>
        <v>44701.666666666599</v>
      </c>
      <c r="B1673" s="1">
        <f ca="1">IFERROR(__xludf.DUMMYFUNCTION("""COMPUTED_VALUE"""),238)</f>
        <v>238</v>
      </c>
      <c r="C1673" s="1">
        <f ca="1">IFERROR(__xludf.DUMMYFUNCTION("""COMPUTED_VALUE"""),240.53)</f>
        <v>240.53</v>
      </c>
      <c r="D1673" s="1">
        <f ca="1">IFERROR(__xludf.DUMMYFUNCTION("""COMPUTED_VALUE"""),211)</f>
        <v>211</v>
      </c>
      <c r="E1673" s="1">
        <f ca="1">IFERROR(__xludf.DUMMYFUNCTION("""COMPUTED_VALUE"""),221.3)</f>
        <v>221.3</v>
      </c>
      <c r="F1673" s="1">
        <f ca="1">IFERROR(__xludf.DUMMYFUNCTION("""COMPUTED_VALUE"""),48324435)</f>
        <v>48324435</v>
      </c>
    </row>
    <row r="1674" spans="1:6" x14ac:dyDescent="0.2">
      <c r="A1674" s="2">
        <f ca="1">IFERROR(__xludf.DUMMYFUNCTION("""COMPUTED_VALUE"""),44704.6666666666)</f>
        <v>44704.666666666599</v>
      </c>
      <c r="B1674" s="1">
        <f ca="1">IFERROR(__xludf.DUMMYFUNCTION("""COMPUTED_VALUE"""),218.34)</f>
        <v>218.34</v>
      </c>
      <c r="C1674" s="1">
        <f ca="1">IFERROR(__xludf.DUMMYFUNCTION("""COMPUTED_VALUE"""),226.65)</f>
        <v>226.65</v>
      </c>
      <c r="D1674" s="1">
        <f ca="1">IFERROR(__xludf.DUMMYFUNCTION("""COMPUTED_VALUE"""),212.69)</f>
        <v>212.69</v>
      </c>
      <c r="E1674" s="1">
        <f ca="1">IFERROR(__xludf.DUMMYFUNCTION("""COMPUTED_VALUE"""),224.97)</f>
        <v>224.97</v>
      </c>
      <c r="F1674" s="1">
        <f ca="1">IFERROR(__xludf.DUMMYFUNCTION("""COMPUTED_VALUE"""),29634546)</f>
        <v>29634546</v>
      </c>
    </row>
    <row r="1675" spans="1:6" x14ac:dyDescent="0.2">
      <c r="A1675" s="2">
        <f ca="1">IFERROR(__xludf.DUMMYFUNCTION("""COMPUTED_VALUE"""),44705.6666666666)</f>
        <v>44705.666666666599</v>
      </c>
      <c r="B1675" s="1">
        <f ca="1">IFERROR(__xludf.DUMMYFUNCTION("""COMPUTED_VALUE"""),217.84)</f>
        <v>217.84</v>
      </c>
      <c r="C1675" s="1">
        <f ca="1">IFERROR(__xludf.DUMMYFUNCTION("""COMPUTED_VALUE"""),217.97)</f>
        <v>217.97</v>
      </c>
      <c r="D1675" s="1">
        <f ca="1">IFERROR(__xludf.DUMMYFUNCTION("""COMPUTED_VALUE"""),206.86)</f>
        <v>206.86</v>
      </c>
      <c r="E1675" s="1">
        <f ca="1">IFERROR(__xludf.DUMMYFUNCTION("""COMPUTED_VALUE"""),209.39)</f>
        <v>209.39</v>
      </c>
      <c r="F1675" s="1">
        <f ca="1">IFERROR(__xludf.DUMMYFUNCTION("""COMPUTED_VALUE"""),29697505)</f>
        <v>29697505</v>
      </c>
    </row>
    <row r="1676" spans="1:6" x14ac:dyDescent="0.2">
      <c r="A1676" s="2">
        <f ca="1">IFERROR(__xludf.DUMMYFUNCTION("""COMPUTED_VALUE"""),44706.6666666666)</f>
        <v>44706.666666666599</v>
      </c>
      <c r="B1676" s="1">
        <f ca="1">IFERROR(__xludf.DUMMYFUNCTION("""COMPUTED_VALUE"""),207.95)</f>
        <v>207.95</v>
      </c>
      <c r="C1676" s="1">
        <f ca="1">IFERROR(__xludf.DUMMYFUNCTION("""COMPUTED_VALUE"""),223.11)</f>
        <v>223.11</v>
      </c>
      <c r="D1676" s="1">
        <f ca="1">IFERROR(__xludf.DUMMYFUNCTION("""COMPUTED_VALUE"""),207.67)</f>
        <v>207.67</v>
      </c>
      <c r="E1676" s="1">
        <f ca="1">IFERROR(__xludf.DUMMYFUNCTION("""COMPUTED_VALUE"""),219.6)</f>
        <v>219.6</v>
      </c>
      <c r="F1676" s="1">
        <f ca="1">IFERROR(__xludf.DUMMYFUNCTION("""COMPUTED_VALUE"""),30713108)</f>
        <v>30713108</v>
      </c>
    </row>
    <row r="1677" spans="1:6" x14ac:dyDescent="0.2">
      <c r="A1677" s="2">
        <f ca="1">IFERROR(__xludf.DUMMYFUNCTION("""COMPUTED_VALUE"""),44707.6666666666)</f>
        <v>44707.666666666599</v>
      </c>
      <c r="B1677" s="1">
        <f ca="1">IFERROR(__xludf.DUMMYFUNCTION("""COMPUTED_VALUE"""),220.47)</f>
        <v>220.47</v>
      </c>
      <c r="C1677" s="1">
        <f ca="1">IFERROR(__xludf.DUMMYFUNCTION("""COMPUTED_VALUE"""),239.56)</f>
        <v>239.56</v>
      </c>
      <c r="D1677" s="1">
        <f ca="1">IFERROR(__xludf.DUMMYFUNCTION("""COMPUTED_VALUE"""),217.89)</f>
        <v>217.89</v>
      </c>
      <c r="E1677" s="1">
        <f ca="1">IFERROR(__xludf.DUMMYFUNCTION("""COMPUTED_VALUE"""),235.91)</f>
        <v>235.91</v>
      </c>
      <c r="F1677" s="1">
        <f ca="1">IFERROR(__xludf.DUMMYFUNCTION("""COMPUTED_VALUE"""),35334448)</f>
        <v>35334448</v>
      </c>
    </row>
    <row r="1678" spans="1:6" x14ac:dyDescent="0.2">
      <c r="A1678" s="2">
        <f ca="1">IFERROR(__xludf.DUMMYFUNCTION("""COMPUTED_VALUE"""),44708.6666666666)</f>
        <v>44708.666666666599</v>
      </c>
      <c r="B1678" s="1">
        <f ca="1">IFERROR(__xludf.DUMMYFUNCTION("""COMPUTED_VALUE"""),241.08)</f>
        <v>241.08</v>
      </c>
      <c r="C1678" s="1">
        <f ca="1">IFERROR(__xludf.DUMMYFUNCTION("""COMPUTED_VALUE"""),253.27)</f>
        <v>253.27</v>
      </c>
      <c r="D1678" s="1">
        <f ca="1">IFERROR(__xludf.DUMMYFUNCTION("""COMPUTED_VALUE"""),240.18)</f>
        <v>240.18</v>
      </c>
      <c r="E1678" s="1">
        <f ca="1">IFERROR(__xludf.DUMMYFUNCTION("""COMPUTED_VALUE"""),253.21)</f>
        <v>253.21</v>
      </c>
      <c r="F1678" s="1">
        <f ca="1">IFERROR(__xludf.DUMMYFUNCTION("""COMPUTED_VALUE"""),29764994)</f>
        <v>29764994</v>
      </c>
    </row>
    <row r="1679" spans="1:6" x14ac:dyDescent="0.2">
      <c r="A1679" s="2">
        <f ca="1">IFERROR(__xludf.DUMMYFUNCTION("""COMPUTED_VALUE"""),44712.6666666666)</f>
        <v>44712.666666666599</v>
      </c>
      <c r="B1679" s="1">
        <f ca="1">IFERROR(__xludf.DUMMYFUNCTION("""COMPUTED_VALUE"""),257.95)</f>
        <v>257.95</v>
      </c>
      <c r="C1679" s="1">
        <f ca="1">IFERROR(__xludf.DUMMYFUNCTION("""COMPUTED_VALUE"""),259.6)</f>
        <v>259.60000000000002</v>
      </c>
      <c r="D1679" s="1">
        <f ca="1">IFERROR(__xludf.DUMMYFUNCTION("""COMPUTED_VALUE"""),244.74)</f>
        <v>244.74</v>
      </c>
      <c r="E1679" s="1">
        <f ca="1">IFERROR(__xludf.DUMMYFUNCTION("""COMPUTED_VALUE"""),252.75)</f>
        <v>252.75</v>
      </c>
      <c r="F1679" s="1">
        <f ca="1">IFERROR(__xludf.DUMMYFUNCTION("""COMPUTED_VALUE"""),33971457)</f>
        <v>33971457</v>
      </c>
    </row>
    <row r="1680" spans="1:6" x14ac:dyDescent="0.2">
      <c r="A1680" s="2">
        <f ca="1">IFERROR(__xludf.DUMMYFUNCTION("""COMPUTED_VALUE"""),44713.6666666666)</f>
        <v>44713.666666666599</v>
      </c>
      <c r="B1680" s="1">
        <f ca="1">IFERROR(__xludf.DUMMYFUNCTION("""COMPUTED_VALUE"""),251.72)</f>
        <v>251.72</v>
      </c>
      <c r="C1680" s="1">
        <f ca="1">IFERROR(__xludf.DUMMYFUNCTION("""COMPUTED_VALUE"""),257.33)</f>
        <v>257.33</v>
      </c>
      <c r="D1680" s="1">
        <f ca="1">IFERROR(__xludf.DUMMYFUNCTION("""COMPUTED_VALUE"""),243.64)</f>
        <v>243.64</v>
      </c>
      <c r="E1680" s="1">
        <f ca="1">IFERROR(__xludf.DUMMYFUNCTION("""COMPUTED_VALUE"""),246.79)</f>
        <v>246.79</v>
      </c>
      <c r="F1680" s="1">
        <f ca="1">IFERROR(__xludf.DUMMYFUNCTION("""COMPUTED_VALUE"""),25749321)</f>
        <v>25749321</v>
      </c>
    </row>
    <row r="1681" spans="1:6" x14ac:dyDescent="0.2">
      <c r="A1681" s="2">
        <f ca="1">IFERROR(__xludf.DUMMYFUNCTION("""COMPUTED_VALUE"""),44714.6666666666)</f>
        <v>44714.666666666599</v>
      </c>
      <c r="B1681" s="1">
        <f ca="1">IFERROR(__xludf.DUMMYFUNCTION("""COMPUTED_VALUE"""),244.16)</f>
        <v>244.16</v>
      </c>
      <c r="C1681" s="1">
        <f ca="1">IFERROR(__xludf.DUMMYFUNCTION("""COMPUTED_VALUE"""),264.21)</f>
        <v>264.20999999999998</v>
      </c>
      <c r="D1681" s="1">
        <f ca="1">IFERROR(__xludf.DUMMYFUNCTION("""COMPUTED_VALUE"""),242.07)</f>
        <v>242.07</v>
      </c>
      <c r="E1681" s="1">
        <f ca="1">IFERROR(__xludf.DUMMYFUNCTION("""COMPUTED_VALUE"""),258.33)</f>
        <v>258.33</v>
      </c>
      <c r="F1681" s="1">
        <f ca="1">IFERROR(__xludf.DUMMYFUNCTION("""COMPUTED_VALUE"""),31157706)</f>
        <v>31157706</v>
      </c>
    </row>
    <row r="1682" spans="1:6" x14ac:dyDescent="0.2">
      <c r="A1682" s="2">
        <f ca="1">IFERROR(__xludf.DUMMYFUNCTION("""COMPUTED_VALUE"""),44715.6666666666)</f>
        <v>44715.666666666599</v>
      </c>
      <c r="B1682" s="1">
        <f ca="1">IFERROR(__xludf.DUMMYFUNCTION("""COMPUTED_VALUE"""),243.23)</f>
        <v>243.23</v>
      </c>
      <c r="C1682" s="1">
        <f ca="1">IFERROR(__xludf.DUMMYFUNCTION("""COMPUTED_VALUE"""),247.8)</f>
        <v>247.8</v>
      </c>
      <c r="D1682" s="1">
        <f ca="1">IFERROR(__xludf.DUMMYFUNCTION("""COMPUTED_VALUE"""),233.42)</f>
        <v>233.42</v>
      </c>
      <c r="E1682" s="1">
        <f ca="1">IFERROR(__xludf.DUMMYFUNCTION("""COMPUTED_VALUE"""),234.52)</f>
        <v>234.52</v>
      </c>
      <c r="F1682" s="1">
        <f ca="1">IFERROR(__xludf.DUMMYFUNCTION("""COMPUTED_VALUE"""),37464579)</f>
        <v>37464579</v>
      </c>
    </row>
    <row r="1683" spans="1:6" x14ac:dyDescent="0.2">
      <c r="A1683" s="2">
        <f ca="1">IFERROR(__xludf.DUMMYFUNCTION("""COMPUTED_VALUE"""),44718.6666666666)</f>
        <v>44718.666666666599</v>
      </c>
      <c r="B1683" s="1">
        <f ca="1">IFERROR(__xludf.DUMMYFUNCTION("""COMPUTED_VALUE"""),244.35)</f>
        <v>244.35</v>
      </c>
      <c r="C1683" s="1">
        <f ca="1">IFERROR(__xludf.DUMMYFUNCTION("""COMPUTED_VALUE"""),244.87)</f>
        <v>244.87</v>
      </c>
      <c r="D1683" s="1">
        <f ca="1">IFERROR(__xludf.DUMMYFUNCTION("""COMPUTED_VALUE"""),234.35)</f>
        <v>234.35</v>
      </c>
      <c r="E1683" s="1">
        <f ca="1">IFERROR(__xludf.DUMMYFUNCTION("""COMPUTED_VALUE"""),238.28)</f>
        <v>238.28</v>
      </c>
      <c r="F1683" s="1">
        <f ca="1">IFERROR(__xludf.DUMMYFUNCTION("""COMPUTED_VALUE"""),28068174)</f>
        <v>28068174</v>
      </c>
    </row>
    <row r="1684" spans="1:6" x14ac:dyDescent="0.2">
      <c r="A1684" s="2">
        <f ca="1">IFERROR(__xludf.DUMMYFUNCTION("""COMPUTED_VALUE"""),44719.6666666666)</f>
        <v>44719.666666666599</v>
      </c>
      <c r="B1684" s="1">
        <f ca="1">IFERROR(__xludf.DUMMYFUNCTION("""COMPUTED_VALUE"""),234)</f>
        <v>234</v>
      </c>
      <c r="C1684" s="1">
        <f ca="1">IFERROR(__xludf.DUMMYFUNCTION("""COMPUTED_VALUE"""),240)</f>
        <v>240</v>
      </c>
      <c r="D1684" s="1">
        <f ca="1">IFERROR(__xludf.DUMMYFUNCTION("""COMPUTED_VALUE"""),230.09)</f>
        <v>230.09</v>
      </c>
      <c r="E1684" s="1">
        <f ca="1">IFERROR(__xludf.DUMMYFUNCTION("""COMPUTED_VALUE"""),238.89)</f>
        <v>238.89</v>
      </c>
      <c r="F1684" s="1">
        <f ca="1">IFERROR(__xludf.DUMMYFUNCTION("""COMPUTED_VALUE"""),24269534)</f>
        <v>24269534</v>
      </c>
    </row>
    <row r="1685" spans="1:6" x14ac:dyDescent="0.2">
      <c r="A1685" s="2">
        <f ca="1">IFERROR(__xludf.DUMMYFUNCTION("""COMPUTED_VALUE"""),44720.6666666666)</f>
        <v>44720.666666666599</v>
      </c>
      <c r="B1685" s="1">
        <f ca="1">IFERROR(__xludf.DUMMYFUNCTION("""COMPUTED_VALUE"""),240.09)</f>
        <v>240.09</v>
      </c>
      <c r="C1685" s="1">
        <f ca="1">IFERROR(__xludf.DUMMYFUNCTION("""COMPUTED_VALUE"""),249.96)</f>
        <v>249.96</v>
      </c>
      <c r="D1685" s="1">
        <f ca="1">IFERROR(__xludf.DUMMYFUNCTION("""COMPUTED_VALUE"""),239.18)</f>
        <v>239.18</v>
      </c>
      <c r="E1685" s="1">
        <f ca="1">IFERROR(__xludf.DUMMYFUNCTION("""COMPUTED_VALUE"""),241.87)</f>
        <v>241.87</v>
      </c>
      <c r="F1685" s="1">
        <f ca="1">IFERROR(__xludf.DUMMYFUNCTION("""COMPUTED_VALUE"""),25403540)</f>
        <v>25403540</v>
      </c>
    </row>
    <row r="1686" spans="1:6" x14ac:dyDescent="0.2">
      <c r="A1686" s="2">
        <f ca="1">IFERROR(__xludf.DUMMYFUNCTION("""COMPUTED_VALUE"""),44721.6666666666)</f>
        <v>44721.666666666599</v>
      </c>
      <c r="B1686" s="1">
        <f ca="1">IFERROR(__xludf.DUMMYFUNCTION("""COMPUTED_VALUE"""),249.34)</f>
        <v>249.34</v>
      </c>
      <c r="C1686" s="1">
        <f ca="1">IFERROR(__xludf.DUMMYFUNCTION("""COMPUTED_VALUE"""),255.55)</f>
        <v>255.55</v>
      </c>
      <c r="D1686" s="1">
        <f ca="1">IFERROR(__xludf.DUMMYFUNCTION("""COMPUTED_VALUE"""),239.33)</f>
        <v>239.33</v>
      </c>
      <c r="E1686" s="1">
        <f ca="1">IFERROR(__xludf.DUMMYFUNCTION("""COMPUTED_VALUE"""),239.71)</f>
        <v>239.71</v>
      </c>
      <c r="F1686" s="1">
        <f ca="1">IFERROR(__xludf.DUMMYFUNCTION("""COMPUTED_VALUE"""),32163769)</f>
        <v>32163769</v>
      </c>
    </row>
    <row r="1687" spans="1:6" x14ac:dyDescent="0.2">
      <c r="A1687" s="2">
        <f ca="1">IFERROR(__xludf.DUMMYFUNCTION("""COMPUTED_VALUE"""),44722.6666666666)</f>
        <v>44722.666666666599</v>
      </c>
      <c r="B1687" s="1">
        <f ca="1">IFERROR(__xludf.DUMMYFUNCTION("""COMPUTED_VALUE"""),235.16)</f>
        <v>235.16</v>
      </c>
      <c r="C1687" s="1">
        <f ca="1">IFERROR(__xludf.DUMMYFUNCTION("""COMPUTED_VALUE"""),239.5)</f>
        <v>239.5</v>
      </c>
      <c r="D1687" s="1">
        <f ca="1">IFERROR(__xludf.DUMMYFUNCTION("""COMPUTED_VALUE"""),227.91)</f>
        <v>227.91</v>
      </c>
      <c r="E1687" s="1">
        <f ca="1">IFERROR(__xludf.DUMMYFUNCTION("""COMPUTED_VALUE"""),232.23)</f>
        <v>232.23</v>
      </c>
      <c r="F1687" s="1">
        <f ca="1">IFERROR(__xludf.DUMMYFUNCTION("""COMPUTED_VALUE"""),32696966)</f>
        <v>32696966</v>
      </c>
    </row>
    <row r="1688" spans="1:6" x14ac:dyDescent="0.2">
      <c r="A1688" s="2">
        <f ca="1">IFERROR(__xludf.DUMMYFUNCTION("""COMPUTED_VALUE"""),44725.6666666666)</f>
        <v>44725.666666666599</v>
      </c>
      <c r="B1688" s="1">
        <f ca="1">IFERROR(__xludf.DUMMYFUNCTION("""COMPUTED_VALUE"""),223.17)</f>
        <v>223.17</v>
      </c>
      <c r="C1688" s="1">
        <f ca="1">IFERROR(__xludf.DUMMYFUNCTION("""COMPUTED_VALUE"""),226.63)</f>
        <v>226.63</v>
      </c>
      <c r="D1688" s="1">
        <f ca="1">IFERROR(__xludf.DUMMYFUNCTION("""COMPUTED_VALUE"""),214.68)</f>
        <v>214.68</v>
      </c>
      <c r="E1688" s="1">
        <f ca="1">IFERROR(__xludf.DUMMYFUNCTION("""COMPUTED_VALUE"""),215.74)</f>
        <v>215.74</v>
      </c>
      <c r="F1688" s="1">
        <f ca="1">IFERROR(__xludf.DUMMYFUNCTION("""COMPUTED_VALUE"""),34255754)</f>
        <v>34255754</v>
      </c>
    </row>
    <row r="1689" spans="1:6" x14ac:dyDescent="0.2">
      <c r="A1689" s="2">
        <f ca="1">IFERROR(__xludf.DUMMYFUNCTION("""COMPUTED_VALUE"""),44726.6666666666)</f>
        <v>44726.666666666599</v>
      </c>
      <c r="B1689" s="1">
        <f ca="1">IFERROR(__xludf.DUMMYFUNCTION("""COMPUTED_VALUE"""),218.29)</f>
        <v>218.29</v>
      </c>
      <c r="C1689" s="1">
        <f ca="1">IFERROR(__xludf.DUMMYFUNCTION("""COMPUTED_VALUE"""),226.33)</f>
        <v>226.33</v>
      </c>
      <c r="D1689" s="1">
        <f ca="1">IFERROR(__xludf.DUMMYFUNCTION("""COMPUTED_VALUE"""),211.74)</f>
        <v>211.74</v>
      </c>
      <c r="E1689" s="1">
        <f ca="1">IFERROR(__xludf.DUMMYFUNCTION("""COMPUTED_VALUE"""),220.89)</f>
        <v>220.89</v>
      </c>
      <c r="F1689" s="1">
        <f ca="1">IFERROR(__xludf.DUMMYFUNCTION("""COMPUTED_VALUE"""),32662932)</f>
        <v>32662932</v>
      </c>
    </row>
    <row r="1690" spans="1:6" x14ac:dyDescent="0.2">
      <c r="A1690" s="2">
        <f ca="1">IFERROR(__xludf.DUMMYFUNCTION("""COMPUTED_VALUE"""),44727.6666666666)</f>
        <v>44727.666666666599</v>
      </c>
      <c r="B1690" s="1">
        <f ca="1">IFERROR(__xludf.DUMMYFUNCTION("""COMPUTED_VALUE"""),220.92)</f>
        <v>220.92</v>
      </c>
      <c r="C1690" s="1">
        <f ca="1">IFERROR(__xludf.DUMMYFUNCTION("""COMPUTED_VALUE"""),235.66)</f>
        <v>235.66</v>
      </c>
      <c r="D1690" s="1">
        <f ca="1">IFERROR(__xludf.DUMMYFUNCTION("""COMPUTED_VALUE"""),218.15)</f>
        <v>218.15</v>
      </c>
      <c r="E1690" s="1">
        <f ca="1">IFERROR(__xludf.DUMMYFUNCTION("""COMPUTED_VALUE"""),233)</f>
        <v>233</v>
      </c>
      <c r="F1690" s="1">
        <f ca="1">IFERROR(__xludf.DUMMYFUNCTION("""COMPUTED_VALUE"""),39710645)</f>
        <v>39710645</v>
      </c>
    </row>
    <row r="1691" spans="1:6" x14ac:dyDescent="0.2">
      <c r="A1691" s="2">
        <f ca="1">IFERROR(__xludf.DUMMYFUNCTION("""COMPUTED_VALUE"""),44728.6666666666)</f>
        <v>44728.666666666599</v>
      </c>
      <c r="B1691" s="1">
        <f ca="1">IFERROR(__xludf.DUMMYFUNCTION("""COMPUTED_VALUE"""),222.74)</f>
        <v>222.74</v>
      </c>
      <c r="C1691" s="1">
        <f ca="1">IFERROR(__xludf.DUMMYFUNCTION("""COMPUTED_VALUE"""),225.17)</f>
        <v>225.17</v>
      </c>
      <c r="D1691" s="1">
        <f ca="1">IFERROR(__xludf.DUMMYFUNCTION("""COMPUTED_VALUE"""),208.69)</f>
        <v>208.69</v>
      </c>
      <c r="E1691" s="1">
        <f ca="1">IFERROR(__xludf.DUMMYFUNCTION("""COMPUTED_VALUE"""),213.1)</f>
        <v>213.1</v>
      </c>
      <c r="F1691" s="1">
        <f ca="1">IFERROR(__xludf.DUMMYFUNCTION("""COMPUTED_VALUE"""),35796900)</f>
        <v>35796900</v>
      </c>
    </row>
    <row r="1692" spans="1:6" x14ac:dyDescent="0.2">
      <c r="A1692" s="2">
        <f ca="1">IFERROR(__xludf.DUMMYFUNCTION("""COMPUTED_VALUE"""),44729.6666666666)</f>
        <v>44729.666666666599</v>
      </c>
      <c r="B1692" s="1">
        <f ca="1">IFERROR(__xludf.DUMMYFUNCTION("""COMPUTED_VALUE"""),213.43)</f>
        <v>213.43</v>
      </c>
      <c r="C1692" s="1">
        <f ca="1">IFERROR(__xludf.DUMMYFUNCTION("""COMPUTED_VALUE"""),220.97)</f>
        <v>220.97</v>
      </c>
      <c r="D1692" s="1">
        <f ca="1">IFERROR(__xludf.DUMMYFUNCTION("""COMPUTED_VALUE"""),213.2)</f>
        <v>213.2</v>
      </c>
      <c r="E1692" s="1">
        <f ca="1">IFERROR(__xludf.DUMMYFUNCTION("""COMPUTED_VALUE"""),216.76)</f>
        <v>216.76</v>
      </c>
      <c r="F1692" s="1">
        <f ca="1">IFERROR(__xludf.DUMMYFUNCTION("""COMPUTED_VALUE"""),30880590)</f>
        <v>30880590</v>
      </c>
    </row>
    <row r="1693" spans="1:6" x14ac:dyDescent="0.2">
      <c r="A1693" s="2">
        <f ca="1">IFERROR(__xludf.DUMMYFUNCTION("""COMPUTED_VALUE"""),44733.6666666666)</f>
        <v>44733.666666666599</v>
      </c>
      <c r="B1693" s="1">
        <f ca="1">IFERROR(__xludf.DUMMYFUNCTION("""COMPUTED_VALUE"""),224.6)</f>
        <v>224.6</v>
      </c>
      <c r="C1693" s="1">
        <f ca="1">IFERROR(__xludf.DUMMYFUNCTION("""COMPUTED_VALUE"""),243.58)</f>
        <v>243.58</v>
      </c>
      <c r="D1693" s="1">
        <f ca="1">IFERROR(__xludf.DUMMYFUNCTION("""COMPUTED_VALUE"""),224.33)</f>
        <v>224.33</v>
      </c>
      <c r="E1693" s="1">
        <f ca="1">IFERROR(__xludf.DUMMYFUNCTION("""COMPUTED_VALUE"""),237.04)</f>
        <v>237.04</v>
      </c>
      <c r="F1693" s="1">
        <f ca="1">IFERROR(__xludf.DUMMYFUNCTION("""COMPUTED_VALUE"""),40930985)</f>
        <v>40930985</v>
      </c>
    </row>
    <row r="1694" spans="1:6" x14ac:dyDescent="0.2">
      <c r="A1694" s="2">
        <f ca="1">IFERROR(__xludf.DUMMYFUNCTION("""COMPUTED_VALUE"""),44734.6666666666)</f>
        <v>44734.666666666599</v>
      </c>
      <c r="B1694" s="1">
        <f ca="1">IFERROR(__xludf.DUMMYFUNCTION("""COMPUTED_VALUE"""),234.5)</f>
        <v>234.5</v>
      </c>
      <c r="C1694" s="1">
        <f ca="1">IFERROR(__xludf.DUMMYFUNCTION("""COMPUTED_VALUE"""),246.83)</f>
        <v>246.83</v>
      </c>
      <c r="D1694" s="1">
        <f ca="1">IFERROR(__xludf.DUMMYFUNCTION("""COMPUTED_VALUE"""),233.83)</f>
        <v>233.83</v>
      </c>
      <c r="E1694" s="1">
        <f ca="1">IFERROR(__xludf.DUMMYFUNCTION("""COMPUTED_VALUE"""),236.09)</f>
        <v>236.09</v>
      </c>
      <c r="F1694" s="1">
        <f ca="1">IFERROR(__xludf.DUMMYFUNCTION("""COMPUTED_VALUE"""),33842420)</f>
        <v>33842420</v>
      </c>
    </row>
    <row r="1695" spans="1:6" x14ac:dyDescent="0.2">
      <c r="A1695" s="2">
        <f ca="1">IFERROR(__xludf.DUMMYFUNCTION("""COMPUTED_VALUE"""),44735.6666666666)</f>
        <v>44735.666666666599</v>
      </c>
      <c r="B1695" s="1">
        <f ca="1">IFERROR(__xludf.DUMMYFUNCTION("""COMPUTED_VALUE"""),237.91)</f>
        <v>237.91</v>
      </c>
      <c r="C1695" s="1">
        <f ca="1">IFERROR(__xludf.DUMMYFUNCTION("""COMPUTED_VALUE"""),239.32)</f>
        <v>239.32</v>
      </c>
      <c r="D1695" s="1">
        <f ca="1">IFERROR(__xludf.DUMMYFUNCTION("""COMPUTED_VALUE"""),228.64)</f>
        <v>228.64</v>
      </c>
      <c r="E1695" s="1">
        <f ca="1">IFERROR(__xludf.DUMMYFUNCTION("""COMPUTED_VALUE"""),235.07)</f>
        <v>235.07</v>
      </c>
      <c r="F1695" s="1">
        <f ca="1">IFERROR(__xludf.DUMMYFUNCTION("""COMPUTED_VALUE"""),34734226)</f>
        <v>34734226</v>
      </c>
    </row>
    <row r="1696" spans="1:6" x14ac:dyDescent="0.2">
      <c r="A1696" s="2">
        <f ca="1">IFERROR(__xludf.DUMMYFUNCTION("""COMPUTED_VALUE"""),44736.6666666666)</f>
        <v>44736.666666666599</v>
      </c>
      <c r="B1696" s="1">
        <f ca="1">IFERROR(__xludf.DUMMYFUNCTION("""COMPUTED_VALUE"""),237.47)</f>
        <v>237.47</v>
      </c>
      <c r="C1696" s="1">
        <f ca="1">IFERROR(__xludf.DUMMYFUNCTION("""COMPUTED_VALUE"""),246.07)</f>
        <v>246.07</v>
      </c>
      <c r="D1696" s="1">
        <f ca="1">IFERROR(__xludf.DUMMYFUNCTION("""COMPUTED_VALUE"""),236.09)</f>
        <v>236.09</v>
      </c>
      <c r="E1696" s="1">
        <f ca="1">IFERROR(__xludf.DUMMYFUNCTION("""COMPUTED_VALUE"""),245.71)</f>
        <v>245.71</v>
      </c>
      <c r="F1696" s="1">
        <f ca="1">IFERROR(__xludf.DUMMYFUNCTION("""COMPUTED_VALUE"""),31923565)</f>
        <v>31923565</v>
      </c>
    </row>
    <row r="1697" spans="1:6" x14ac:dyDescent="0.2">
      <c r="A1697" s="2">
        <f ca="1">IFERROR(__xludf.DUMMYFUNCTION("""COMPUTED_VALUE"""),44739.6666666666)</f>
        <v>44739.666666666599</v>
      </c>
      <c r="B1697" s="1">
        <f ca="1">IFERROR(__xludf.DUMMYFUNCTION("""COMPUTED_VALUE"""),249.37)</f>
        <v>249.37</v>
      </c>
      <c r="C1697" s="1">
        <f ca="1">IFERROR(__xludf.DUMMYFUNCTION("""COMPUTED_VALUE"""),252.07)</f>
        <v>252.07</v>
      </c>
      <c r="D1697" s="1">
        <f ca="1">IFERROR(__xludf.DUMMYFUNCTION("""COMPUTED_VALUE"""),242.57)</f>
        <v>242.57</v>
      </c>
      <c r="E1697" s="1">
        <f ca="1">IFERROR(__xludf.DUMMYFUNCTION("""COMPUTED_VALUE"""),244.92)</f>
        <v>244.92</v>
      </c>
      <c r="F1697" s="1">
        <f ca="1">IFERROR(__xludf.DUMMYFUNCTION("""COMPUTED_VALUE"""),29726104)</f>
        <v>29726104</v>
      </c>
    </row>
    <row r="1698" spans="1:6" x14ac:dyDescent="0.2">
      <c r="A1698" s="2">
        <f ca="1">IFERROR(__xludf.DUMMYFUNCTION("""COMPUTED_VALUE"""),44740.6666666666)</f>
        <v>44740.666666666599</v>
      </c>
      <c r="B1698" s="1">
        <f ca="1">IFERROR(__xludf.DUMMYFUNCTION("""COMPUTED_VALUE"""),244.48)</f>
        <v>244.48</v>
      </c>
      <c r="C1698" s="1">
        <f ca="1">IFERROR(__xludf.DUMMYFUNCTION("""COMPUTED_VALUE"""),249.97)</f>
        <v>249.97</v>
      </c>
      <c r="D1698" s="1">
        <f ca="1">IFERROR(__xludf.DUMMYFUNCTION("""COMPUTED_VALUE"""),232.34)</f>
        <v>232.34</v>
      </c>
      <c r="E1698" s="1">
        <f ca="1">IFERROR(__xludf.DUMMYFUNCTION("""COMPUTED_VALUE"""),232.66)</f>
        <v>232.66</v>
      </c>
      <c r="F1698" s="1">
        <f ca="1">IFERROR(__xludf.DUMMYFUNCTION("""COMPUTED_VALUE"""),30222167)</f>
        <v>30222167</v>
      </c>
    </row>
    <row r="1699" spans="1:6" x14ac:dyDescent="0.2">
      <c r="A1699" s="2">
        <f ca="1">IFERROR(__xludf.DUMMYFUNCTION("""COMPUTED_VALUE"""),44741.6666666666)</f>
        <v>44741.666666666599</v>
      </c>
      <c r="B1699" s="1">
        <f ca="1">IFERROR(__xludf.DUMMYFUNCTION("""COMPUTED_VALUE"""),230.5)</f>
        <v>230.5</v>
      </c>
      <c r="C1699" s="1">
        <f ca="1">IFERROR(__xludf.DUMMYFUNCTION("""COMPUTED_VALUE"""),231.17)</f>
        <v>231.17</v>
      </c>
      <c r="D1699" s="1">
        <f ca="1">IFERROR(__xludf.DUMMYFUNCTION("""COMPUTED_VALUE"""),222.27)</f>
        <v>222.27</v>
      </c>
      <c r="E1699" s="1">
        <f ca="1">IFERROR(__xludf.DUMMYFUNCTION("""COMPUTED_VALUE"""),228.49)</f>
        <v>228.49</v>
      </c>
      <c r="F1699" s="1">
        <f ca="1">IFERROR(__xludf.DUMMYFUNCTION("""COMPUTED_VALUE"""),27632418)</f>
        <v>27632418</v>
      </c>
    </row>
    <row r="1700" spans="1:6" x14ac:dyDescent="0.2">
      <c r="A1700" s="2">
        <f ca="1">IFERROR(__xludf.DUMMYFUNCTION("""COMPUTED_VALUE"""),44742.6666666666)</f>
        <v>44742.666666666599</v>
      </c>
      <c r="B1700" s="1">
        <f ca="1">IFERROR(__xludf.DUMMYFUNCTION("""COMPUTED_VALUE"""),224.51)</f>
        <v>224.51</v>
      </c>
      <c r="C1700" s="1">
        <f ca="1">IFERROR(__xludf.DUMMYFUNCTION("""COMPUTED_VALUE"""),229.46)</f>
        <v>229.46</v>
      </c>
      <c r="D1700" s="1">
        <f ca="1">IFERROR(__xludf.DUMMYFUNCTION("""COMPUTED_VALUE"""),218.86)</f>
        <v>218.86</v>
      </c>
      <c r="E1700" s="1">
        <f ca="1">IFERROR(__xludf.DUMMYFUNCTION("""COMPUTED_VALUE"""),224.47)</f>
        <v>224.47</v>
      </c>
      <c r="F1700" s="1">
        <f ca="1">IFERROR(__xludf.DUMMYFUNCTION("""COMPUTED_VALUE"""),31533484)</f>
        <v>31533484</v>
      </c>
    </row>
    <row r="1701" spans="1:6" x14ac:dyDescent="0.2">
      <c r="A1701" s="2">
        <f ca="1">IFERROR(__xludf.DUMMYFUNCTION("""COMPUTED_VALUE"""),44743.6666666666)</f>
        <v>44743.666666666599</v>
      </c>
      <c r="B1701" s="1">
        <f ca="1">IFERROR(__xludf.DUMMYFUNCTION("""COMPUTED_VALUE"""),227)</f>
        <v>227</v>
      </c>
      <c r="C1701" s="1">
        <f ca="1">IFERROR(__xludf.DUMMYFUNCTION("""COMPUTED_VALUE"""),230.23)</f>
        <v>230.23</v>
      </c>
      <c r="D1701" s="1">
        <f ca="1">IFERROR(__xludf.DUMMYFUNCTION("""COMPUTED_VALUE"""),222.12)</f>
        <v>222.12</v>
      </c>
      <c r="E1701" s="1">
        <f ca="1">IFERROR(__xludf.DUMMYFUNCTION("""COMPUTED_VALUE"""),227.26)</f>
        <v>227.26</v>
      </c>
      <c r="F1701" s="1">
        <f ca="1">IFERROR(__xludf.DUMMYFUNCTION("""COMPUTED_VALUE"""),24820148)</f>
        <v>24820148</v>
      </c>
    </row>
    <row r="1702" spans="1:6" x14ac:dyDescent="0.2">
      <c r="A1702" s="2">
        <f ca="1">IFERROR(__xludf.DUMMYFUNCTION("""COMPUTED_VALUE"""),44747.6666666666)</f>
        <v>44747.666666666599</v>
      </c>
      <c r="B1702" s="1">
        <f ca="1">IFERROR(__xludf.DUMMYFUNCTION("""COMPUTED_VALUE"""),223)</f>
        <v>223</v>
      </c>
      <c r="C1702" s="1">
        <f ca="1">IFERROR(__xludf.DUMMYFUNCTION("""COMPUTED_VALUE"""),233.15)</f>
        <v>233.15</v>
      </c>
      <c r="D1702" s="1">
        <f ca="1">IFERROR(__xludf.DUMMYFUNCTION("""COMPUTED_VALUE"""),216.17)</f>
        <v>216.17</v>
      </c>
      <c r="E1702" s="1">
        <f ca="1">IFERROR(__xludf.DUMMYFUNCTION("""COMPUTED_VALUE"""),233.07)</f>
        <v>233.07</v>
      </c>
      <c r="F1702" s="1">
        <f ca="1">IFERROR(__xludf.DUMMYFUNCTION("""COMPUTED_VALUE"""),28259704)</f>
        <v>28259704</v>
      </c>
    </row>
    <row r="1703" spans="1:6" x14ac:dyDescent="0.2">
      <c r="A1703" s="2">
        <f ca="1">IFERROR(__xludf.DUMMYFUNCTION("""COMPUTED_VALUE"""),44748.6666666666)</f>
        <v>44748.666666666599</v>
      </c>
      <c r="B1703" s="1">
        <f ca="1">IFERROR(__xludf.DUMMYFUNCTION("""COMPUTED_VALUE"""),230.78)</f>
        <v>230.78</v>
      </c>
      <c r="C1703" s="1">
        <f ca="1">IFERROR(__xludf.DUMMYFUNCTION("""COMPUTED_VALUE"""),234.56)</f>
        <v>234.56</v>
      </c>
      <c r="D1703" s="1">
        <f ca="1">IFERROR(__xludf.DUMMYFUNCTION("""COMPUTED_VALUE"""),227.19)</f>
        <v>227.19</v>
      </c>
      <c r="E1703" s="1">
        <f ca="1">IFERROR(__xludf.DUMMYFUNCTION("""COMPUTED_VALUE"""),231.73)</f>
        <v>231.73</v>
      </c>
      <c r="F1703" s="1">
        <f ca="1">IFERROR(__xludf.DUMMYFUNCTION("""COMPUTED_VALUE"""),23951210)</f>
        <v>23951210</v>
      </c>
    </row>
    <row r="1704" spans="1:6" x14ac:dyDescent="0.2">
      <c r="A1704" s="2">
        <f ca="1">IFERROR(__xludf.DUMMYFUNCTION("""COMPUTED_VALUE"""),44749.6666666666)</f>
        <v>44749.666666666599</v>
      </c>
      <c r="B1704" s="1">
        <f ca="1">IFERROR(__xludf.DUMMYFUNCTION("""COMPUTED_VALUE"""),233.92)</f>
        <v>233.92</v>
      </c>
      <c r="C1704" s="1">
        <f ca="1">IFERROR(__xludf.DUMMYFUNCTION("""COMPUTED_VALUE"""),245.36)</f>
        <v>245.36</v>
      </c>
      <c r="D1704" s="1">
        <f ca="1">IFERROR(__xludf.DUMMYFUNCTION("""COMPUTED_VALUE"""),232.21)</f>
        <v>232.21</v>
      </c>
      <c r="E1704" s="1">
        <f ca="1">IFERROR(__xludf.DUMMYFUNCTION("""COMPUTED_VALUE"""),244.54)</f>
        <v>244.54</v>
      </c>
      <c r="F1704" s="1">
        <f ca="1">IFERROR(__xludf.DUMMYFUNCTION("""COMPUTED_VALUE"""),27310230)</f>
        <v>27310230</v>
      </c>
    </row>
    <row r="1705" spans="1:6" x14ac:dyDescent="0.2">
      <c r="A1705" s="2">
        <f ca="1">IFERROR(__xludf.DUMMYFUNCTION("""COMPUTED_VALUE"""),44750.6666666666)</f>
        <v>44750.666666666599</v>
      </c>
      <c r="B1705" s="1">
        <f ca="1">IFERROR(__xludf.DUMMYFUNCTION("""COMPUTED_VALUE"""),242.33)</f>
        <v>242.33</v>
      </c>
      <c r="C1705" s="1">
        <f ca="1">IFERROR(__xludf.DUMMYFUNCTION("""COMPUTED_VALUE"""),254.98)</f>
        <v>254.98</v>
      </c>
      <c r="D1705" s="1">
        <f ca="1">IFERROR(__xludf.DUMMYFUNCTION("""COMPUTED_VALUE"""),241.16)</f>
        <v>241.16</v>
      </c>
      <c r="E1705" s="1">
        <f ca="1">IFERROR(__xludf.DUMMYFUNCTION("""COMPUTED_VALUE"""),250.76)</f>
        <v>250.76</v>
      </c>
      <c r="F1705" s="1">
        <f ca="1">IFERROR(__xludf.DUMMYFUNCTION("""COMPUTED_VALUE"""),33951362)</f>
        <v>33951362</v>
      </c>
    </row>
    <row r="1706" spans="1:6" x14ac:dyDescent="0.2">
      <c r="A1706" s="2">
        <f ca="1">IFERROR(__xludf.DUMMYFUNCTION("""COMPUTED_VALUE"""),44753.6666666666)</f>
        <v>44753.666666666599</v>
      </c>
      <c r="B1706" s="1">
        <f ca="1">IFERROR(__xludf.DUMMYFUNCTION("""COMPUTED_VALUE"""),252.1)</f>
        <v>252.1</v>
      </c>
      <c r="C1706" s="1">
        <f ca="1">IFERROR(__xludf.DUMMYFUNCTION("""COMPUTED_VALUE"""),253.06)</f>
        <v>253.06</v>
      </c>
      <c r="D1706" s="1">
        <f ca="1">IFERROR(__xludf.DUMMYFUNCTION("""COMPUTED_VALUE"""),233.63)</f>
        <v>233.63</v>
      </c>
      <c r="E1706" s="1">
        <f ca="1">IFERROR(__xludf.DUMMYFUNCTION("""COMPUTED_VALUE"""),234.34)</f>
        <v>234.34</v>
      </c>
      <c r="F1706" s="1">
        <f ca="1">IFERROR(__xludf.DUMMYFUNCTION("""COMPUTED_VALUE"""),33169740)</f>
        <v>33169740</v>
      </c>
    </row>
    <row r="1707" spans="1:6" x14ac:dyDescent="0.2">
      <c r="A1707" s="2">
        <f ca="1">IFERROR(__xludf.DUMMYFUNCTION("""COMPUTED_VALUE"""),44754.6666666666)</f>
        <v>44754.666666666599</v>
      </c>
      <c r="B1707" s="1">
        <f ca="1">IFERROR(__xludf.DUMMYFUNCTION("""COMPUTED_VALUE"""),236.85)</f>
        <v>236.85</v>
      </c>
      <c r="C1707" s="1">
        <f ca="1">IFERROR(__xludf.DUMMYFUNCTION("""COMPUTED_VALUE"""),239.77)</f>
        <v>239.77</v>
      </c>
      <c r="D1707" s="1">
        <f ca="1">IFERROR(__xludf.DUMMYFUNCTION("""COMPUTED_VALUE"""),228.37)</f>
        <v>228.37</v>
      </c>
      <c r="E1707" s="1">
        <f ca="1">IFERROR(__xludf.DUMMYFUNCTION("""COMPUTED_VALUE"""),233.07)</f>
        <v>233.07</v>
      </c>
      <c r="F1707" s="1">
        <f ca="1">IFERROR(__xludf.DUMMYFUNCTION("""COMPUTED_VALUE"""),29310320)</f>
        <v>29310320</v>
      </c>
    </row>
    <row r="1708" spans="1:6" x14ac:dyDescent="0.2">
      <c r="A1708" s="2">
        <f ca="1">IFERROR(__xludf.DUMMYFUNCTION("""COMPUTED_VALUE"""),44755.6666666666)</f>
        <v>44755.666666666599</v>
      </c>
      <c r="B1708" s="1">
        <f ca="1">IFERROR(__xludf.DUMMYFUNCTION("""COMPUTED_VALUE"""),225.5)</f>
        <v>225.5</v>
      </c>
      <c r="C1708" s="1">
        <f ca="1">IFERROR(__xludf.DUMMYFUNCTION("""COMPUTED_VALUE"""),242.06)</f>
        <v>242.06</v>
      </c>
      <c r="D1708" s="1">
        <f ca="1">IFERROR(__xludf.DUMMYFUNCTION("""COMPUTED_VALUE"""),225.03)</f>
        <v>225.03</v>
      </c>
      <c r="E1708" s="1">
        <f ca="1">IFERROR(__xludf.DUMMYFUNCTION("""COMPUTED_VALUE"""),237.04)</f>
        <v>237.04</v>
      </c>
      <c r="F1708" s="1">
        <f ca="1">IFERROR(__xludf.DUMMYFUNCTION("""COMPUTED_VALUE"""),32651499)</f>
        <v>32651499</v>
      </c>
    </row>
    <row r="1709" spans="1:6" x14ac:dyDescent="0.2">
      <c r="A1709" s="2">
        <f ca="1">IFERROR(__xludf.DUMMYFUNCTION("""COMPUTED_VALUE"""),44756.6666666666)</f>
        <v>44756.666666666599</v>
      </c>
      <c r="B1709" s="1">
        <f ca="1">IFERROR(__xludf.DUMMYFUNCTION("""COMPUTED_VALUE"""),234.9)</f>
        <v>234.9</v>
      </c>
      <c r="C1709" s="1">
        <f ca="1">IFERROR(__xludf.DUMMYFUNCTION("""COMPUTED_VALUE"""),238.65)</f>
        <v>238.65</v>
      </c>
      <c r="D1709" s="1">
        <f ca="1">IFERROR(__xludf.DUMMYFUNCTION("""COMPUTED_VALUE"""),229.33)</f>
        <v>229.33</v>
      </c>
      <c r="E1709" s="1">
        <f ca="1">IFERROR(__xludf.DUMMYFUNCTION("""COMPUTED_VALUE"""),238.31)</f>
        <v>238.31</v>
      </c>
      <c r="F1709" s="1">
        <f ca="1">IFERROR(__xludf.DUMMYFUNCTION("""COMPUTED_VALUE"""),26185833)</f>
        <v>26185833</v>
      </c>
    </row>
    <row r="1710" spans="1:6" x14ac:dyDescent="0.2">
      <c r="A1710" s="2">
        <f ca="1">IFERROR(__xludf.DUMMYFUNCTION("""COMPUTED_VALUE"""),44757.6666666666)</f>
        <v>44757.666666666599</v>
      </c>
      <c r="B1710" s="1">
        <f ca="1">IFERROR(__xludf.DUMMYFUNCTION("""COMPUTED_VALUE"""),240)</f>
        <v>240</v>
      </c>
      <c r="C1710" s="1">
        <f ca="1">IFERROR(__xludf.DUMMYFUNCTION("""COMPUTED_VALUE"""),243.62)</f>
        <v>243.62</v>
      </c>
      <c r="D1710" s="1">
        <f ca="1">IFERROR(__xludf.DUMMYFUNCTION("""COMPUTED_VALUE"""),236.89)</f>
        <v>236.89</v>
      </c>
      <c r="E1710" s="1">
        <f ca="1">IFERROR(__xludf.DUMMYFUNCTION("""COMPUTED_VALUE"""),240.07)</f>
        <v>240.07</v>
      </c>
      <c r="F1710" s="1">
        <f ca="1">IFERROR(__xludf.DUMMYFUNCTION("""COMPUTED_VALUE"""),23227673)</f>
        <v>23227673</v>
      </c>
    </row>
    <row r="1711" spans="1:6" x14ac:dyDescent="0.2">
      <c r="A1711" s="2">
        <f ca="1">IFERROR(__xludf.DUMMYFUNCTION("""COMPUTED_VALUE"""),44760.6666666666)</f>
        <v>44760.666666666599</v>
      </c>
      <c r="B1711" s="1">
        <f ca="1">IFERROR(__xludf.DUMMYFUNCTION("""COMPUTED_VALUE"""),244.94)</f>
        <v>244.94</v>
      </c>
      <c r="C1711" s="1">
        <f ca="1">IFERROR(__xludf.DUMMYFUNCTION("""COMPUTED_VALUE"""),250.52)</f>
        <v>250.52</v>
      </c>
      <c r="D1711" s="1">
        <f ca="1">IFERROR(__xludf.DUMMYFUNCTION("""COMPUTED_VALUE"""),239.6)</f>
        <v>239.6</v>
      </c>
      <c r="E1711" s="1">
        <f ca="1">IFERROR(__xludf.DUMMYFUNCTION("""COMPUTED_VALUE"""),240.55)</f>
        <v>240.55</v>
      </c>
      <c r="F1711" s="1">
        <f ca="1">IFERROR(__xludf.DUMMYFUNCTION("""COMPUTED_VALUE"""),27512476)</f>
        <v>27512476</v>
      </c>
    </row>
    <row r="1712" spans="1:6" x14ac:dyDescent="0.2">
      <c r="A1712" s="2">
        <f ca="1">IFERROR(__xludf.DUMMYFUNCTION("""COMPUTED_VALUE"""),44761.6666666666)</f>
        <v>44761.666666666599</v>
      </c>
      <c r="B1712" s="1">
        <f ca="1">IFERROR(__xludf.DUMMYFUNCTION("""COMPUTED_VALUE"""),245)</f>
        <v>245</v>
      </c>
      <c r="C1712" s="1">
        <f ca="1">IFERROR(__xludf.DUMMYFUNCTION("""COMPUTED_VALUE"""),247.14)</f>
        <v>247.14</v>
      </c>
      <c r="D1712" s="1">
        <f ca="1">IFERROR(__xludf.DUMMYFUNCTION("""COMPUTED_VALUE"""),236.98)</f>
        <v>236.98</v>
      </c>
      <c r="E1712" s="1">
        <f ca="1">IFERROR(__xludf.DUMMYFUNCTION("""COMPUTED_VALUE"""),245.53)</f>
        <v>245.53</v>
      </c>
      <c r="F1712" s="1">
        <f ca="1">IFERROR(__xludf.DUMMYFUNCTION("""COMPUTED_VALUE"""),26963370)</f>
        <v>26963370</v>
      </c>
    </row>
    <row r="1713" spans="1:6" x14ac:dyDescent="0.2">
      <c r="A1713" s="2">
        <f ca="1">IFERROR(__xludf.DUMMYFUNCTION("""COMPUTED_VALUE"""),44762.6666666666)</f>
        <v>44762.666666666599</v>
      </c>
      <c r="B1713" s="1">
        <f ca="1">IFERROR(__xludf.DUMMYFUNCTION("""COMPUTED_VALUE"""),246.78)</f>
        <v>246.78</v>
      </c>
      <c r="C1713" s="1">
        <f ca="1">IFERROR(__xludf.DUMMYFUNCTION("""COMPUTED_VALUE"""),250.66)</f>
        <v>250.66</v>
      </c>
      <c r="D1713" s="1">
        <f ca="1">IFERROR(__xludf.DUMMYFUNCTION("""COMPUTED_VALUE"""),243.48)</f>
        <v>243.48</v>
      </c>
      <c r="E1713" s="1">
        <f ca="1">IFERROR(__xludf.DUMMYFUNCTION("""COMPUTED_VALUE"""),247.5)</f>
        <v>247.5</v>
      </c>
      <c r="F1713" s="1">
        <f ca="1">IFERROR(__xludf.DUMMYFUNCTION("""COMPUTED_VALUE"""),29621363)</f>
        <v>29621363</v>
      </c>
    </row>
    <row r="1714" spans="1:6" x14ac:dyDescent="0.2">
      <c r="A1714" s="2">
        <f ca="1">IFERROR(__xludf.DUMMYFUNCTION("""COMPUTED_VALUE"""),44763.6666666666)</f>
        <v>44763.666666666599</v>
      </c>
      <c r="B1714" s="1">
        <f ca="1">IFERROR(__xludf.DUMMYFUNCTION("""COMPUTED_VALUE"""),255.11)</f>
        <v>255.11</v>
      </c>
      <c r="C1714" s="1">
        <f ca="1">IFERROR(__xludf.DUMMYFUNCTION("""COMPUTED_VALUE"""),273.27)</f>
        <v>273.27</v>
      </c>
      <c r="D1714" s="1">
        <f ca="1">IFERROR(__xludf.DUMMYFUNCTION("""COMPUTED_VALUE"""),254.87)</f>
        <v>254.87</v>
      </c>
      <c r="E1714" s="1">
        <f ca="1">IFERROR(__xludf.DUMMYFUNCTION("""COMPUTED_VALUE"""),271.71)</f>
        <v>271.70999999999998</v>
      </c>
      <c r="F1714" s="1">
        <f ca="1">IFERROR(__xludf.DUMMYFUNCTION("""COMPUTED_VALUE"""),47344059)</f>
        <v>47344059</v>
      </c>
    </row>
    <row r="1715" spans="1:6" x14ac:dyDescent="0.2">
      <c r="A1715" s="2">
        <f ca="1">IFERROR(__xludf.DUMMYFUNCTION("""COMPUTED_VALUE"""),44764.6666666666)</f>
        <v>44764.666666666599</v>
      </c>
      <c r="B1715" s="1">
        <f ca="1">IFERROR(__xludf.DUMMYFUNCTION("""COMPUTED_VALUE"""),276.22)</f>
        <v>276.22000000000003</v>
      </c>
      <c r="C1715" s="1">
        <f ca="1">IFERROR(__xludf.DUMMYFUNCTION("""COMPUTED_VALUE"""),280.79)</f>
        <v>280.79000000000002</v>
      </c>
      <c r="D1715" s="1">
        <f ca="1">IFERROR(__xludf.DUMMYFUNCTION("""COMPUTED_VALUE"""),270.71)</f>
        <v>270.70999999999998</v>
      </c>
      <c r="E1715" s="1">
        <f ca="1">IFERROR(__xludf.DUMMYFUNCTION("""COMPUTED_VALUE"""),272.24)</f>
        <v>272.24</v>
      </c>
      <c r="F1715" s="1">
        <f ca="1">IFERROR(__xludf.DUMMYFUNCTION("""COMPUTED_VALUE"""),34490949)</f>
        <v>34490949</v>
      </c>
    </row>
    <row r="1716" spans="1:6" x14ac:dyDescent="0.2">
      <c r="A1716" s="2">
        <f ca="1">IFERROR(__xludf.DUMMYFUNCTION("""COMPUTED_VALUE"""),44767.6666666666)</f>
        <v>44767.666666666599</v>
      </c>
      <c r="B1716" s="1">
        <f ca="1">IFERROR(__xludf.DUMMYFUNCTION("""COMPUTED_VALUE"""),272.22)</f>
        <v>272.22000000000003</v>
      </c>
      <c r="C1716" s="1">
        <f ca="1">IFERROR(__xludf.DUMMYFUNCTION("""COMPUTED_VALUE"""),274.15)</f>
        <v>274.14999999999998</v>
      </c>
      <c r="D1716" s="1">
        <f ca="1">IFERROR(__xludf.DUMMYFUNCTION("""COMPUTED_VALUE"""),267.4)</f>
        <v>267.39999999999998</v>
      </c>
      <c r="E1716" s="1">
        <f ca="1">IFERROR(__xludf.DUMMYFUNCTION("""COMPUTED_VALUE"""),268.43)</f>
        <v>268.43</v>
      </c>
      <c r="F1716" s="1">
        <f ca="1">IFERROR(__xludf.DUMMYFUNCTION("""COMPUTED_VALUE"""),21357835)</f>
        <v>21357835</v>
      </c>
    </row>
    <row r="1717" spans="1:6" x14ac:dyDescent="0.2">
      <c r="A1717" s="2">
        <f ca="1">IFERROR(__xludf.DUMMYFUNCTION("""COMPUTED_VALUE"""),44768.6666666666)</f>
        <v>44768.666666666599</v>
      </c>
      <c r="B1717" s="1">
        <f ca="1">IFERROR(__xludf.DUMMYFUNCTION("""COMPUTED_VALUE"""),266.51)</f>
        <v>266.51</v>
      </c>
      <c r="C1717" s="1">
        <f ca="1">IFERROR(__xludf.DUMMYFUNCTION("""COMPUTED_VALUE"""),267.31)</f>
        <v>267.31</v>
      </c>
      <c r="D1717" s="1">
        <f ca="1">IFERROR(__xludf.DUMMYFUNCTION("""COMPUTED_VALUE"""),256.26)</f>
        <v>256.26</v>
      </c>
      <c r="E1717" s="1">
        <f ca="1">IFERROR(__xludf.DUMMYFUNCTION("""COMPUTED_VALUE"""),258.86)</f>
        <v>258.86</v>
      </c>
      <c r="F1717" s="1">
        <f ca="1">IFERROR(__xludf.DUMMYFUNCTION("""COMPUTED_VALUE"""),22273586)</f>
        <v>22273586</v>
      </c>
    </row>
    <row r="1718" spans="1:6" x14ac:dyDescent="0.2">
      <c r="A1718" s="2">
        <f ca="1">IFERROR(__xludf.DUMMYFUNCTION("""COMPUTED_VALUE"""),44769.6666666666)</f>
        <v>44769.666666666599</v>
      </c>
      <c r="B1718" s="1">
        <f ca="1">IFERROR(__xludf.DUMMYFUNCTION("""COMPUTED_VALUE"""),263.81)</f>
        <v>263.81</v>
      </c>
      <c r="C1718" s="1">
        <f ca="1">IFERROR(__xludf.DUMMYFUNCTION("""COMPUTED_VALUE"""),275.93)</f>
        <v>275.93</v>
      </c>
      <c r="D1718" s="1">
        <f ca="1">IFERROR(__xludf.DUMMYFUNCTION("""COMPUTED_VALUE"""),261.79)</f>
        <v>261.79000000000002</v>
      </c>
      <c r="E1718" s="1">
        <f ca="1">IFERROR(__xludf.DUMMYFUNCTION("""COMPUTED_VALUE"""),274.82)</f>
        <v>274.82</v>
      </c>
      <c r="F1718" s="1">
        <f ca="1">IFERROR(__xludf.DUMMYFUNCTION("""COMPUTED_VALUE"""),29369996)</f>
        <v>29369996</v>
      </c>
    </row>
    <row r="1719" spans="1:6" x14ac:dyDescent="0.2">
      <c r="A1719" s="2">
        <f ca="1">IFERROR(__xludf.DUMMYFUNCTION("""COMPUTED_VALUE"""),44770.6666666666)</f>
        <v>44770.666666666599</v>
      </c>
      <c r="B1719" s="1">
        <f ca="1">IFERROR(__xludf.DUMMYFUNCTION("""COMPUTED_VALUE"""),280.07)</f>
        <v>280.07</v>
      </c>
      <c r="C1719" s="1">
        <f ca="1">IFERROR(__xludf.DUMMYFUNCTION("""COMPUTED_VALUE"""),283.3)</f>
        <v>283.3</v>
      </c>
      <c r="D1719" s="1">
        <f ca="1">IFERROR(__xludf.DUMMYFUNCTION("""COMPUTED_VALUE"""),272.8)</f>
        <v>272.8</v>
      </c>
      <c r="E1719" s="1">
        <f ca="1">IFERROR(__xludf.DUMMYFUNCTION("""COMPUTED_VALUE"""),280.9)</f>
        <v>280.89999999999998</v>
      </c>
      <c r="F1719" s="1">
        <f ca="1">IFERROR(__xludf.DUMMYFUNCTION("""COMPUTED_VALUE"""),28240997)</f>
        <v>28240997</v>
      </c>
    </row>
    <row r="1720" spans="1:6" x14ac:dyDescent="0.2">
      <c r="A1720" s="2">
        <f ca="1">IFERROR(__xludf.DUMMYFUNCTION("""COMPUTED_VALUE"""),44771.6666666666)</f>
        <v>44771.666666666599</v>
      </c>
      <c r="B1720" s="1">
        <f ca="1">IFERROR(__xludf.DUMMYFUNCTION("""COMPUTED_VALUE"""),280.7)</f>
        <v>280.7</v>
      </c>
      <c r="C1720" s="1">
        <f ca="1">IFERROR(__xludf.DUMMYFUNCTION("""COMPUTED_VALUE"""),298.32)</f>
        <v>298.32</v>
      </c>
      <c r="D1720" s="1">
        <f ca="1">IFERROR(__xludf.DUMMYFUNCTION("""COMPUTED_VALUE"""),279.1)</f>
        <v>279.10000000000002</v>
      </c>
      <c r="E1720" s="1">
        <f ca="1">IFERROR(__xludf.DUMMYFUNCTION("""COMPUTED_VALUE"""),297.15)</f>
        <v>297.14999999999998</v>
      </c>
      <c r="F1720" s="1">
        <f ca="1">IFERROR(__xludf.DUMMYFUNCTION("""COMPUTED_VALUE"""),31770961)</f>
        <v>31770961</v>
      </c>
    </row>
    <row r="1721" spans="1:6" x14ac:dyDescent="0.2">
      <c r="A1721" s="2">
        <f ca="1">IFERROR(__xludf.DUMMYFUNCTION("""COMPUTED_VALUE"""),44774.6666666666)</f>
        <v>44774.666666666599</v>
      </c>
      <c r="B1721" s="1">
        <f ca="1">IFERROR(__xludf.DUMMYFUNCTION("""COMPUTED_VALUE"""),301.27)</f>
        <v>301.27</v>
      </c>
      <c r="C1721" s="1">
        <f ca="1">IFERROR(__xludf.DUMMYFUNCTION("""COMPUTED_VALUE"""),311.88)</f>
        <v>311.88</v>
      </c>
      <c r="D1721" s="1">
        <f ca="1">IFERROR(__xludf.DUMMYFUNCTION("""COMPUTED_VALUE"""),295)</f>
        <v>295</v>
      </c>
      <c r="E1721" s="1">
        <f ca="1">IFERROR(__xludf.DUMMYFUNCTION("""COMPUTED_VALUE"""),297.28)</f>
        <v>297.27999999999997</v>
      </c>
      <c r="F1721" s="1">
        <f ca="1">IFERROR(__xludf.DUMMYFUNCTION("""COMPUTED_VALUE"""),39014296)</f>
        <v>39014296</v>
      </c>
    </row>
    <row r="1722" spans="1:6" x14ac:dyDescent="0.2">
      <c r="A1722" s="2">
        <f ca="1">IFERROR(__xludf.DUMMYFUNCTION("""COMPUTED_VALUE"""),44775.6666666666)</f>
        <v>44775.666666666599</v>
      </c>
      <c r="B1722" s="1">
        <f ca="1">IFERROR(__xludf.DUMMYFUNCTION("""COMPUTED_VALUE"""),294)</f>
        <v>294</v>
      </c>
      <c r="C1722" s="1">
        <f ca="1">IFERROR(__xludf.DUMMYFUNCTION("""COMPUTED_VALUE"""),307.83)</f>
        <v>307.83</v>
      </c>
      <c r="D1722" s="1">
        <f ca="1">IFERROR(__xludf.DUMMYFUNCTION("""COMPUTED_VALUE"""),292.67)</f>
        <v>292.67</v>
      </c>
      <c r="E1722" s="1">
        <f ca="1">IFERROR(__xludf.DUMMYFUNCTION("""COMPUTED_VALUE"""),300.59)</f>
        <v>300.58999999999997</v>
      </c>
      <c r="F1722" s="1">
        <f ca="1">IFERROR(__xludf.DUMMYFUNCTION("""COMPUTED_VALUE"""),31859156)</f>
        <v>31859156</v>
      </c>
    </row>
    <row r="1723" spans="1:6" x14ac:dyDescent="0.2">
      <c r="A1723" s="2">
        <f ca="1">IFERROR(__xludf.DUMMYFUNCTION("""COMPUTED_VALUE"""),44776.6666666666)</f>
        <v>44776.666666666599</v>
      </c>
      <c r="B1723" s="1">
        <f ca="1">IFERROR(__xludf.DUMMYFUNCTION("""COMPUTED_VALUE"""),305)</f>
        <v>305</v>
      </c>
      <c r="C1723" s="1">
        <f ca="1">IFERROR(__xludf.DUMMYFUNCTION("""COMPUTED_VALUE"""),309.55)</f>
        <v>309.55</v>
      </c>
      <c r="D1723" s="1">
        <f ca="1">IFERROR(__xludf.DUMMYFUNCTION("""COMPUTED_VALUE"""),301.15)</f>
        <v>301.14999999999998</v>
      </c>
      <c r="E1723" s="1">
        <f ca="1">IFERROR(__xludf.DUMMYFUNCTION("""COMPUTED_VALUE"""),307.4)</f>
        <v>307.39999999999998</v>
      </c>
      <c r="F1723" s="1">
        <f ca="1">IFERROR(__xludf.DUMMYFUNCTION("""COMPUTED_VALUE"""),26697035)</f>
        <v>26697035</v>
      </c>
    </row>
    <row r="1724" spans="1:6" x14ac:dyDescent="0.2">
      <c r="A1724" s="2">
        <f ca="1">IFERROR(__xludf.DUMMYFUNCTION("""COMPUTED_VALUE"""),44777.6666666666)</f>
        <v>44777.666666666599</v>
      </c>
      <c r="B1724" s="1">
        <f ca="1">IFERROR(__xludf.DUMMYFUNCTION("""COMPUTED_VALUE"""),311)</f>
        <v>311</v>
      </c>
      <c r="C1724" s="1">
        <f ca="1">IFERROR(__xludf.DUMMYFUNCTION("""COMPUTED_VALUE"""),313.61)</f>
        <v>313.61</v>
      </c>
      <c r="D1724" s="1">
        <f ca="1">IFERROR(__xludf.DUMMYFUNCTION("""COMPUTED_VALUE"""),305)</f>
        <v>305</v>
      </c>
      <c r="E1724" s="1">
        <f ca="1">IFERROR(__xludf.DUMMYFUNCTION("""COMPUTED_VALUE"""),308.63)</f>
        <v>308.63</v>
      </c>
      <c r="F1724" s="1">
        <f ca="1">IFERROR(__xludf.DUMMYFUNCTION("""COMPUTED_VALUE"""),24085439)</f>
        <v>24085439</v>
      </c>
    </row>
    <row r="1725" spans="1:6" x14ac:dyDescent="0.2">
      <c r="A1725" s="2">
        <f ca="1">IFERROR(__xludf.DUMMYFUNCTION("""COMPUTED_VALUE"""),44778.6666666666)</f>
        <v>44778.666666666599</v>
      </c>
      <c r="B1725" s="1">
        <f ca="1">IFERROR(__xludf.DUMMYFUNCTION("""COMPUTED_VALUE"""),302.67)</f>
        <v>302.67</v>
      </c>
      <c r="C1725" s="1">
        <f ca="1">IFERROR(__xludf.DUMMYFUNCTION("""COMPUTED_VALUE"""),304.61)</f>
        <v>304.61</v>
      </c>
      <c r="D1725" s="1">
        <f ca="1">IFERROR(__xludf.DUMMYFUNCTION("""COMPUTED_VALUE"""),285.54)</f>
        <v>285.54000000000002</v>
      </c>
      <c r="E1725" s="1">
        <f ca="1">IFERROR(__xludf.DUMMYFUNCTION("""COMPUTED_VALUE"""),288.17)</f>
        <v>288.17</v>
      </c>
      <c r="F1725" s="1">
        <f ca="1">IFERROR(__xludf.DUMMYFUNCTION("""COMPUTED_VALUE"""),37724299)</f>
        <v>37724299</v>
      </c>
    </row>
    <row r="1726" spans="1:6" x14ac:dyDescent="0.2">
      <c r="A1726" s="2">
        <f ca="1">IFERROR(__xludf.DUMMYFUNCTION("""COMPUTED_VALUE"""),44781.6666666666)</f>
        <v>44781.666666666599</v>
      </c>
      <c r="B1726" s="1">
        <f ca="1">IFERROR(__xludf.DUMMYFUNCTION("""COMPUTED_VALUE"""),295)</f>
        <v>295</v>
      </c>
      <c r="C1726" s="1">
        <f ca="1">IFERROR(__xludf.DUMMYFUNCTION("""COMPUTED_VALUE"""),305.2)</f>
        <v>305.2</v>
      </c>
      <c r="D1726" s="1">
        <f ca="1">IFERROR(__xludf.DUMMYFUNCTION("""COMPUTED_VALUE"""),289.09)</f>
        <v>289.08999999999997</v>
      </c>
      <c r="E1726" s="1">
        <f ca="1">IFERROR(__xludf.DUMMYFUNCTION("""COMPUTED_VALUE"""),290.42)</f>
        <v>290.42</v>
      </c>
      <c r="F1726" s="1">
        <f ca="1">IFERROR(__xludf.DUMMYFUNCTION("""COMPUTED_VALUE"""),33121758)</f>
        <v>33121758</v>
      </c>
    </row>
    <row r="1727" spans="1:6" x14ac:dyDescent="0.2">
      <c r="A1727" s="2">
        <f ca="1">IFERROR(__xludf.DUMMYFUNCTION("""COMPUTED_VALUE"""),44782.6666666666)</f>
        <v>44782.666666666599</v>
      </c>
      <c r="B1727" s="1">
        <f ca="1">IFERROR(__xludf.DUMMYFUNCTION("""COMPUTED_VALUE"""),290.29)</f>
        <v>290.29000000000002</v>
      </c>
      <c r="C1727" s="1">
        <f ca="1">IFERROR(__xludf.DUMMYFUNCTION("""COMPUTED_VALUE"""),292.4)</f>
        <v>292.39999999999998</v>
      </c>
      <c r="D1727" s="1">
        <f ca="1">IFERROR(__xludf.DUMMYFUNCTION("""COMPUTED_VALUE"""),279.35)</f>
        <v>279.35000000000002</v>
      </c>
      <c r="E1727" s="1">
        <f ca="1">IFERROR(__xludf.DUMMYFUNCTION("""COMPUTED_VALUE"""),283.33)</f>
        <v>283.33</v>
      </c>
      <c r="F1727" s="1">
        <f ca="1">IFERROR(__xludf.DUMMYFUNCTION("""COMPUTED_VALUE"""),28748227)</f>
        <v>28748227</v>
      </c>
    </row>
    <row r="1728" spans="1:6" x14ac:dyDescent="0.2">
      <c r="A1728" s="2">
        <f ca="1">IFERROR(__xludf.DUMMYFUNCTION("""COMPUTED_VALUE"""),44783.6666666666)</f>
        <v>44783.666666666599</v>
      </c>
      <c r="B1728" s="1">
        <f ca="1">IFERROR(__xludf.DUMMYFUNCTION("""COMPUTED_VALUE"""),297.07)</f>
        <v>297.07</v>
      </c>
      <c r="C1728" s="1">
        <f ca="1">IFERROR(__xludf.DUMMYFUNCTION("""COMPUTED_VALUE"""),297.51)</f>
        <v>297.51</v>
      </c>
      <c r="D1728" s="1">
        <f ca="1">IFERROR(__xludf.DUMMYFUNCTION("""COMPUTED_VALUE"""),283.37)</f>
        <v>283.37</v>
      </c>
      <c r="E1728" s="1">
        <f ca="1">IFERROR(__xludf.DUMMYFUNCTION("""COMPUTED_VALUE"""),294.36)</f>
        <v>294.36</v>
      </c>
      <c r="F1728" s="1">
        <f ca="1">IFERROR(__xludf.DUMMYFUNCTION("""COMPUTED_VALUE"""),31639624)</f>
        <v>31639624</v>
      </c>
    </row>
    <row r="1729" spans="1:6" x14ac:dyDescent="0.2">
      <c r="A1729" s="2">
        <f ca="1">IFERROR(__xludf.DUMMYFUNCTION("""COMPUTED_VALUE"""),44784.6666666666)</f>
        <v>44784.666666666599</v>
      </c>
      <c r="B1729" s="1">
        <f ca="1">IFERROR(__xludf.DUMMYFUNCTION("""COMPUTED_VALUE"""),296.51)</f>
        <v>296.51</v>
      </c>
      <c r="C1729" s="1">
        <f ca="1">IFERROR(__xludf.DUMMYFUNCTION("""COMPUTED_VALUE"""),298.24)</f>
        <v>298.24</v>
      </c>
      <c r="D1729" s="1">
        <f ca="1">IFERROR(__xludf.DUMMYFUNCTION("""COMPUTED_VALUE"""),285.83)</f>
        <v>285.83</v>
      </c>
      <c r="E1729" s="1">
        <f ca="1">IFERROR(__xludf.DUMMYFUNCTION("""COMPUTED_VALUE"""),286.63)</f>
        <v>286.63</v>
      </c>
      <c r="F1729" s="1">
        <f ca="1">IFERROR(__xludf.DUMMYFUNCTION("""COMPUTED_VALUE"""),23385015)</f>
        <v>23385015</v>
      </c>
    </row>
    <row r="1730" spans="1:6" x14ac:dyDescent="0.2">
      <c r="A1730" s="2">
        <f ca="1">IFERROR(__xludf.DUMMYFUNCTION("""COMPUTED_VALUE"""),44785.6666666666)</f>
        <v>44785.666666666599</v>
      </c>
      <c r="B1730" s="1">
        <f ca="1">IFERROR(__xludf.DUMMYFUNCTION("""COMPUTED_VALUE"""),289.42)</f>
        <v>289.42</v>
      </c>
      <c r="C1730" s="1">
        <f ca="1">IFERROR(__xludf.DUMMYFUNCTION("""COMPUTED_VALUE"""),300.16)</f>
        <v>300.16000000000003</v>
      </c>
      <c r="D1730" s="1">
        <f ca="1">IFERROR(__xludf.DUMMYFUNCTION("""COMPUTED_VALUE"""),285.03)</f>
        <v>285.02999999999997</v>
      </c>
      <c r="E1730" s="1">
        <f ca="1">IFERROR(__xludf.DUMMYFUNCTION("""COMPUTED_VALUE"""),300.03)</f>
        <v>300.02999999999997</v>
      </c>
      <c r="F1730" s="1">
        <f ca="1">IFERROR(__xludf.DUMMYFUNCTION("""COMPUTED_VALUE"""),26552429)</f>
        <v>26552429</v>
      </c>
    </row>
    <row r="1731" spans="1:6" x14ac:dyDescent="0.2">
      <c r="A1731" s="2">
        <f ca="1">IFERROR(__xludf.DUMMYFUNCTION("""COMPUTED_VALUE"""),44788.6666666666)</f>
        <v>44788.666666666599</v>
      </c>
      <c r="B1731" s="1">
        <f ca="1">IFERROR(__xludf.DUMMYFUNCTION("""COMPUTED_VALUE"""),301.79)</f>
        <v>301.79000000000002</v>
      </c>
      <c r="C1731" s="1">
        <f ca="1">IFERROR(__xludf.DUMMYFUNCTION("""COMPUTED_VALUE"""),313.13)</f>
        <v>313.13</v>
      </c>
      <c r="D1731" s="1">
        <f ca="1">IFERROR(__xludf.DUMMYFUNCTION("""COMPUTED_VALUE"""),301.23)</f>
        <v>301.23</v>
      </c>
      <c r="E1731" s="1">
        <f ca="1">IFERROR(__xludf.DUMMYFUNCTION("""COMPUTED_VALUE"""),309.32)</f>
        <v>309.32</v>
      </c>
      <c r="F1731" s="1">
        <f ca="1">IFERROR(__xludf.DUMMYFUNCTION("""COMPUTED_VALUE"""),29786389)</f>
        <v>29786389</v>
      </c>
    </row>
    <row r="1732" spans="1:6" x14ac:dyDescent="0.2">
      <c r="A1732" s="2">
        <f ca="1">IFERROR(__xludf.DUMMYFUNCTION("""COMPUTED_VALUE"""),44789.6666666666)</f>
        <v>44789.666666666599</v>
      </c>
      <c r="B1732" s="1">
        <f ca="1">IFERROR(__xludf.DUMMYFUNCTION("""COMPUTED_VALUE"""),311.67)</f>
        <v>311.67</v>
      </c>
      <c r="C1732" s="1">
        <f ca="1">IFERROR(__xludf.DUMMYFUNCTION("""COMPUTED_VALUE"""),314.67)</f>
        <v>314.67</v>
      </c>
      <c r="D1732" s="1">
        <f ca="1">IFERROR(__xludf.DUMMYFUNCTION("""COMPUTED_VALUE"""),302.88)</f>
        <v>302.88</v>
      </c>
      <c r="E1732" s="1">
        <f ca="1">IFERROR(__xludf.DUMMYFUNCTION("""COMPUTED_VALUE"""),306.56)</f>
        <v>306.56</v>
      </c>
      <c r="F1732" s="1">
        <f ca="1">IFERROR(__xludf.DUMMYFUNCTION("""COMPUTED_VALUE"""),29378774)</f>
        <v>29378774</v>
      </c>
    </row>
    <row r="1733" spans="1:6" x14ac:dyDescent="0.2">
      <c r="A1733" s="2">
        <f ca="1">IFERROR(__xludf.DUMMYFUNCTION("""COMPUTED_VALUE"""),44790.6666666666)</f>
        <v>44790.666666666599</v>
      </c>
      <c r="B1733" s="1">
        <f ca="1">IFERROR(__xludf.DUMMYFUNCTION("""COMPUTED_VALUE"""),303.4)</f>
        <v>303.39999999999998</v>
      </c>
      <c r="C1733" s="1">
        <f ca="1">IFERROR(__xludf.DUMMYFUNCTION("""COMPUTED_VALUE"""),309.66)</f>
        <v>309.66000000000003</v>
      </c>
      <c r="D1733" s="1">
        <f ca="1">IFERROR(__xludf.DUMMYFUNCTION("""COMPUTED_VALUE"""),300.03)</f>
        <v>300.02999999999997</v>
      </c>
      <c r="E1733" s="1">
        <f ca="1">IFERROR(__xludf.DUMMYFUNCTION("""COMPUTED_VALUE"""),304)</f>
        <v>304</v>
      </c>
      <c r="F1733" s="1">
        <f ca="1">IFERROR(__xludf.DUMMYFUNCTION("""COMPUTED_VALUE"""),22921990)</f>
        <v>22921990</v>
      </c>
    </row>
    <row r="1734" spans="1:6" x14ac:dyDescent="0.2">
      <c r="A1734" s="2">
        <f ca="1">IFERROR(__xludf.DUMMYFUNCTION("""COMPUTED_VALUE"""),44791.6666666666)</f>
        <v>44791.666666666599</v>
      </c>
      <c r="B1734" s="1">
        <f ca="1">IFERROR(__xludf.DUMMYFUNCTION("""COMPUTED_VALUE"""),306)</f>
        <v>306</v>
      </c>
      <c r="C1734" s="1">
        <f ca="1">IFERROR(__xludf.DUMMYFUNCTION("""COMPUTED_VALUE"""),306.5)</f>
        <v>306.5</v>
      </c>
      <c r="D1734" s="1">
        <f ca="1">IFERROR(__xludf.DUMMYFUNCTION("""COMPUTED_VALUE"""),301.85)</f>
        <v>301.85000000000002</v>
      </c>
      <c r="E1734" s="1">
        <f ca="1">IFERROR(__xludf.DUMMYFUNCTION("""COMPUTED_VALUE"""),302.87)</f>
        <v>302.87</v>
      </c>
      <c r="F1734" s="1">
        <f ca="1">IFERROR(__xludf.DUMMYFUNCTION("""COMPUTED_VALUE"""),15833512)</f>
        <v>15833512</v>
      </c>
    </row>
    <row r="1735" spans="1:6" x14ac:dyDescent="0.2">
      <c r="A1735" s="2">
        <f ca="1">IFERROR(__xludf.DUMMYFUNCTION("""COMPUTED_VALUE"""),44792.6666666666)</f>
        <v>44792.666666666599</v>
      </c>
      <c r="B1735" s="1">
        <f ca="1">IFERROR(__xludf.DUMMYFUNCTION("""COMPUTED_VALUE"""),299)</f>
        <v>299</v>
      </c>
      <c r="C1735" s="1">
        <f ca="1">IFERROR(__xludf.DUMMYFUNCTION("""COMPUTED_VALUE"""),300.36)</f>
        <v>300.36</v>
      </c>
      <c r="D1735" s="1">
        <f ca="1">IFERROR(__xludf.DUMMYFUNCTION("""COMPUTED_VALUE"""),292.5)</f>
        <v>292.5</v>
      </c>
      <c r="E1735" s="1">
        <f ca="1">IFERROR(__xludf.DUMMYFUNCTION("""COMPUTED_VALUE"""),296.67)</f>
        <v>296.67</v>
      </c>
      <c r="F1735" s="1">
        <f ca="1">IFERROR(__xludf.DUMMYFUNCTION("""COMPUTED_VALUE"""),20465129)</f>
        <v>20465129</v>
      </c>
    </row>
    <row r="1736" spans="1:6" x14ac:dyDescent="0.2">
      <c r="A1736" s="2">
        <f ca="1">IFERROR(__xludf.DUMMYFUNCTION("""COMPUTED_VALUE"""),44795.6666666666)</f>
        <v>44795.666666666599</v>
      </c>
      <c r="B1736" s="1">
        <f ca="1">IFERROR(__xludf.DUMMYFUNCTION("""COMPUTED_VALUE"""),291.91)</f>
        <v>291.91000000000003</v>
      </c>
      <c r="C1736" s="1">
        <f ca="1">IFERROR(__xludf.DUMMYFUNCTION("""COMPUTED_VALUE"""),292.4)</f>
        <v>292.39999999999998</v>
      </c>
      <c r="D1736" s="1">
        <f ca="1">IFERROR(__xludf.DUMMYFUNCTION("""COMPUTED_VALUE"""),286.3)</f>
        <v>286.3</v>
      </c>
      <c r="E1736" s="1">
        <f ca="1">IFERROR(__xludf.DUMMYFUNCTION("""COMPUTED_VALUE"""),289.91)</f>
        <v>289.91000000000003</v>
      </c>
      <c r="F1736" s="1">
        <f ca="1">IFERROR(__xludf.DUMMYFUNCTION("""COMPUTED_VALUE"""),18614449)</f>
        <v>18614449</v>
      </c>
    </row>
    <row r="1737" spans="1:6" x14ac:dyDescent="0.2">
      <c r="A1737" s="2">
        <f ca="1">IFERROR(__xludf.DUMMYFUNCTION("""COMPUTED_VALUE"""),44796.6666666666)</f>
        <v>44796.666666666599</v>
      </c>
      <c r="B1737" s="1">
        <f ca="1">IFERROR(__xludf.DUMMYFUNCTION("""COMPUTED_VALUE"""),291.45)</f>
        <v>291.45</v>
      </c>
      <c r="C1737" s="1">
        <f ca="1">IFERROR(__xludf.DUMMYFUNCTION("""COMPUTED_VALUE"""),298.83)</f>
        <v>298.83</v>
      </c>
      <c r="D1737" s="1">
        <f ca="1">IFERROR(__xludf.DUMMYFUNCTION("""COMPUTED_VALUE"""),287.92)</f>
        <v>287.92</v>
      </c>
      <c r="E1737" s="1">
        <f ca="1">IFERROR(__xludf.DUMMYFUNCTION("""COMPUTED_VALUE"""),296.45)</f>
        <v>296.45</v>
      </c>
      <c r="F1737" s="1">
        <f ca="1">IFERROR(__xludf.DUMMYFUNCTION("""COMPUTED_VALUE"""),21328348)</f>
        <v>21328348</v>
      </c>
    </row>
    <row r="1738" spans="1:6" x14ac:dyDescent="0.2">
      <c r="A1738" s="2">
        <f ca="1">IFERROR(__xludf.DUMMYFUNCTION("""COMPUTED_VALUE"""),44797.6666666666)</f>
        <v>44797.666666666599</v>
      </c>
      <c r="B1738" s="1">
        <f ca="1">IFERROR(__xludf.DUMMYFUNCTION("""COMPUTED_VALUE"""),297.56)</f>
        <v>297.56</v>
      </c>
      <c r="C1738" s="1">
        <f ca="1">IFERROR(__xludf.DUMMYFUNCTION("""COMPUTED_VALUE"""),303.65)</f>
        <v>303.64999999999998</v>
      </c>
      <c r="D1738" s="1">
        <f ca="1">IFERROR(__xludf.DUMMYFUNCTION("""COMPUTED_VALUE"""),296.5)</f>
        <v>296.5</v>
      </c>
      <c r="E1738" s="1">
        <f ca="1">IFERROR(__xludf.DUMMYFUNCTION("""COMPUTED_VALUE"""),297.1)</f>
        <v>297.10000000000002</v>
      </c>
      <c r="F1738" s="1">
        <f ca="1">IFERROR(__xludf.DUMMYFUNCTION("""COMPUTED_VALUE"""),19086572)</f>
        <v>19086572</v>
      </c>
    </row>
    <row r="1739" spans="1:6" x14ac:dyDescent="0.2">
      <c r="A1739" s="2">
        <f ca="1">IFERROR(__xludf.DUMMYFUNCTION("""COMPUTED_VALUE"""),44798.6666666666)</f>
        <v>44798.666666666599</v>
      </c>
      <c r="B1739" s="1">
        <f ca="1">IFERROR(__xludf.DUMMYFUNCTION("""COMPUTED_VALUE"""),302.36)</f>
        <v>302.36</v>
      </c>
      <c r="C1739" s="1">
        <f ca="1">IFERROR(__xludf.DUMMYFUNCTION("""COMPUTED_VALUE"""),302.96)</f>
        <v>302.95999999999998</v>
      </c>
      <c r="D1739" s="1">
        <f ca="1">IFERROR(__xludf.DUMMYFUNCTION("""COMPUTED_VALUE"""),291.6)</f>
        <v>291.60000000000002</v>
      </c>
      <c r="E1739" s="1">
        <f ca="1">IFERROR(__xludf.DUMMYFUNCTION("""COMPUTED_VALUE"""),296.07)</f>
        <v>296.07</v>
      </c>
      <c r="F1739" s="1">
        <f ca="1">IFERROR(__xludf.DUMMYFUNCTION("""COMPUTED_VALUE"""),53230013)</f>
        <v>53230013</v>
      </c>
    </row>
    <row r="1740" spans="1:6" x14ac:dyDescent="0.2">
      <c r="A1740" s="2">
        <f ca="1">IFERROR(__xludf.DUMMYFUNCTION("""COMPUTED_VALUE"""),44799.6666666666)</f>
        <v>44799.666666666599</v>
      </c>
      <c r="B1740" s="1">
        <f ca="1">IFERROR(__xludf.DUMMYFUNCTION("""COMPUTED_VALUE"""),297.43)</f>
        <v>297.43</v>
      </c>
      <c r="C1740" s="1">
        <f ca="1">IFERROR(__xludf.DUMMYFUNCTION("""COMPUTED_VALUE"""),302)</f>
        <v>302</v>
      </c>
      <c r="D1740" s="1">
        <f ca="1">IFERROR(__xludf.DUMMYFUNCTION("""COMPUTED_VALUE"""),287.47)</f>
        <v>287.47000000000003</v>
      </c>
      <c r="E1740" s="1">
        <f ca="1">IFERROR(__xludf.DUMMYFUNCTION("""COMPUTED_VALUE"""),288.09)</f>
        <v>288.08999999999997</v>
      </c>
      <c r="F1740" s="1">
        <f ca="1">IFERROR(__xludf.DUMMYFUNCTION("""COMPUTED_VALUE"""),57163947)</f>
        <v>57163947</v>
      </c>
    </row>
    <row r="1741" spans="1:6" x14ac:dyDescent="0.2">
      <c r="A1741" s="2">
        <f ca="1">IFERROR(__xludf.DUMMYFUNCTION("""COMPUTED_VALUE"""),44802.6666666666)</f>
        <v>44802.666666666599</v>
      </c>
      <c r="B1741" s="1">
        <f ca="1">IFERROR(__xludf.DUMMYFUNCTION("""COMPUTED_VALUE"""),282.83)</f>
        <v>282.83</v>
      </c>
      <c r="C1741" s="1">
        <f ca="1">IFERROR(__xludf.DUMMYFUNCTION("""COMPUTED_VALUE"""),287.74)</f>
        <v>287.74</v>
      </c>
      <c r="D1741" s="1">
        <f ca="1">IFERROR(__xludf.DUMMYFUNCTION("""COMPUTED_VALUE"""),280.7)</f>
        <v>280.7</v>
      </c>
      <c r="E1741" s="1">
        <f ca="1">IFERROR(__xludf.DUMMYFUNCTION("""COMPUTED_VALUE"""),284.82)</f>
        <v>284.82</v>
      </c>
      <c r="F1741" s="1">
        <f ca="1">IFERROR(__xludf.DUMMYFUNCTION("""COMPUTED_VALUE"""),41864742)</f>
        <v>41864742</v>
      </c>
    </row>
    <row r="1742" spans="1:6" x14ac:dyDescent="0.2">
      <c r="A1742" s="2">
        <f ca="1">IFERROR(__xludf.DUMMYFUNCTION("""COMPUTED_VALUE"""),44803.6666666666)</f>
        <v>44803.666666666599</v>
      </c>
      <c r="B1742" s="1">
        <f ca="1">IFERROR(__xludf.DUMMYFUNCTION("""COMPUTED_VALUE"""),287.87)</f>
        <v>287.87</v>
      </c>
      <c r="C1742" s="1">
        <f ca="1">IFERROR(__xludf.DUMMYFUNCTION("""COMPUTED_VALUE"""),288.48)</f>
        <v>288.48</v>
      </c>
      <c r="D1742" s="1">
        <f ca="1">IFERROR(__xludf.DUMMYFUNCTION("""COMPUTED_VALUE"""),272.65)</f>
        <v>272.64999999999998</v>
      </c>
      <c r="E1742" s="1">
        <f ca="1">IFERROR(__xludf.DUMMYFUNCTION("""COMPUTED_VALUE"""),277.7)</f>
        <v>277.7</v>
      </c>
      <c r="F1742" s="1">
        <f ca="1">IFERROR(__xludf.DUMMYFUNCTION("""COMPUTED_VALUE"""),50541759)</f>
        <v>50541759</v>
      </c>
    </row>
    <row r="1743" spans="1:6" x14ac:dyDescent="0.2">
      <c r="A1743" s="2">
        <f ca="1">IFERROR(__xludf.DUMMYFUNCTION("""COMPUTED_VALUE"""),44804.6666666666)</f>
        <v>44804.666666666599</v>
      </c>
      <c r="B1743" s="1">
        <f ca="1">IFERROR(__xludf.DUMMYFUNCTION("""COMPUTED_VALUE"""),280.62)</f>
        <v>280.62</v>
      </c>
      <c r="C1743" s="1">
        <f ca="1">IFERROR(__xludf.DUMMYFUNCTION("""COMPUTED_VALUE"""),281.25)</f>
        <v>281.25</v>
      </c>
      <c r="D1743" s="1">
        <f ca="1">IFERROR(__xludf.DUMMYFUNCTION("""COMPUTED_VALUE"""),271.81)</f>
        <v>271.81</v>
      </c>
      <c r="E1743" s="1">
        <f ca="1">IFERROR(__xludf.DUMMYFUNCTION("""COMPUTED_VALUE"""),275.61)</f>
        <v>275.61</v>
      </c>
      <c r="F1743" s="1">
        <f ca="1">IFERROR(__xludf.DUMMYFUNCTION("""COMPUTED_VALUE"""),52107337)</f>
        <v>52107337</v>
      </c>
    </row>
    <row r="1744" spans="1:6" x14ac:dyDescent="0.2">
      <c r="A1744" s="2">
        <f ca="1">IFERROR(__xludf.DUMMYFUNCTION("""COMPUTED_VALUE"""),44805.6666666666)</f>
        <v>44805.666666666599</v>
      </c>
      <c r="B1744" s="1">
        <f ca="1">IFERROR(__xludf.DUMMYFUNCTION("""COMPUTED_VALUE"""),272.58)</f>
        <v>272.58</v>
      </c>
      <c r="C1744" s="1">
        <f ca="1">IFERROR(__xludf.DUMMYFUNCTION("""COMPUTED_VALUE"""),277.58)</f>
        <v>277.58</v>
      </c>
      <c r="D1744" s="1">
        <f ca="1">IFERROR(__xludf.DUMMYFUNCTION("""COMPUTED_VALUE"""),266.15)</f>
        <v>266.14999999999998</v>
      </c>
      <c r="E1744" s="1">
        <f ca="1">IFERROR(__xludf.DUMMYFUNCTION("""COMPUTED_VALUE"""),277.16)</f>
        <v>277.16000000000003</v>
      </c>
      <c r="F1744" s="1">
        <f ca="1">IFERROR(__xludf.DUMMYFUNCTION("""COMPUTED_VALUE"""),54287024)</f>
        <v>54287024</v>
      </c>
    </row>
    <row r="1745" spans="1:6" x14ac:dyDescent="0.2">
      <c r="A1745" s="2">
        <f ca="1">IFERROR(__xludf.DUMMYFUNCTION("""COMPUTED_VALUE"""),44806.6666666666)</f>
        <v>44806.666666666599</v>
      </c>
      <c r="B1745" s="1">
        <f ca="1">IFERROR(__xludf.DUMMYFUNCTION("""COMPUTED_VALUE"""),281.07)</f>
        <v>281.07</v>
      </c>
      <c r="C1745" s="1">
        <f ca="1">IFERROR(__xludf.DUMMYFUNCTION("""COMPUTED_VALUE"""),282.35)</f>
        <v>282.35000000000002</v>
      </c>
      <c r="D1745" s="1">
        <f ca="1">IFERROR(__xludf.DUMMYFUNCTION("""COMPUTED_VALUE"""),269.08)</f>
        <v>269.08</v>
      </c>
      <c r="E1745" s="1">
        <f ca="1">IFERROR(__xludf.DUMMYFUNCTION("""COMPUTED_VALUE"""),270.21)</f>
        <v>270.20999999999998</v>
      </c>
      <c r="F1745" s="1">
        <f ca="1">IFERROR(__xludf.DUMMYFUNCTION("""COMPUTED_VALUE"""),50890090)</f>
        <v>50890090</v>
      </c>
    </row>
    <row r="1746" spans="1:6" x14ac:dyDescent="0.2">
      <c r="A1746" s="2">
        <f ca="1">IFERROR(__xludf.DUMMYFUNCTION("""COMPUTED_VALUE"""),44810.6666666666)</f>
        <v>44810.666666666599</v>
      </c>
      <c r="B1746" s="1">
        <f ca="1">IFERROR(__xludf.DUMMYFUNCTION("""COMPUTED_VALUE"""),272.68)</f>
        <v>272.68</v>
      </c>
      <c r="C1746" s="1">
        <f ca="1">IFERROR(__xludf.DUMMYFUNCTION("""COMPUTED_VALUE"""),275.99)</f>
        <v>275.99</v>
      </c>
      <c r="D1746" s="1">
        <f ca="1">IFERROR(__xludf.DUMMYFUNCTION("""COMPUTED_VALUE"""),265.74)</f>
        <v>265.74</v>
      </c>
      <c r="E1746" s="1">
        <f ca="1">IFERROR(__xludf.DUMMYFUNCTION("""COMPUTED_VALUE"""),274.42)</f>
        <v>274.42</v>
      </c>
      <c r="F1746" s="1">
        <f ca="1">IFERROR(__xludf.DUMMYFUNCTION("""COMPUTED_VALUE"""),55859984)</f>
        <v>55859984</v>
      </c>
    </row>
    <row r="1747" spans="1:6" x14ac:dyDescent="0.2">
      <c r="A1747" s="2">
        <f ca="1">IFERROR(__xludf.DUMMYFUNCTION("""COMPUTED_VALUE"""),44811.6666666666)</f>
        <v>44811.666666666599</v>
      </c>
      <c r="B1747" s="1">
        <f ca="1">IFERROR(__xludf.DUMMYFUNCTION("""COMPUTED_VALUE"""),273.1)</f>
        <v>273.10000000000002</v>
      </c>
      <c r="C1747" s="1">
        <f ca="1">IFERROR(__xludf.DUMMYFUNCTION("""COMPUTED_VALUE"""),283.84)</f>
        <v>283.83999999999997</v>
      </c>
      <c r="D1747" s="1">
        <f ca="1">IFERROR(__xludf.DUMMYFUNCTION("""COMPUTED_VALUE"""),272.27)</f>
        <v>272.27</v>
      </c>
      <c r="E1747" s="1">
        <f ca="1">IFERROR(__xludf.DUMMYFUNCTION("""COMPUTED_VALUE"""),283.7)</f>
        <v>283.7</v>
      </c>
      <c r="F1747" s="1">
        <f ca="1">IFERROR(__xludf.DUMMYFUNCTION("""COMPUTED_VALUE"""),50028916)</f>
        <v>50028916</v>
      </c>
    </row>
    <row r="1748" spans="1:6" x14ac:dyDescent="0.2">
      <c r="A1748" s="2">
        <f ca="1">IFERROR(__xludf.DUMMYFUNCTION("""COMPUTED_VALUE"""),44812.6666666666)</f>
        <v>44812.666666666599</v>
      </c>
      <c r="B1748" s="1">
        <f ca="1">IFERROR(__xludf.DUMMYFUNCTION("""COMPUTED_VALUE"""),281.3)</f>
        <v>281.3</v>
      </c>
      <c r="C1748" s="1">
        <f ca="1">IFERROR(__xludf.DUMMYFUNCTION("""COMPUTED_VALUE"""),289.5)</f>
        <v>289.5</v>
      </c>
      <c r="D1748" s="1">
        <f ca="1">IFERROR(__xludf.DUMMYFUNCTION("""COMPUTED_VALUE"""),279.76)</f>
        <v>279.76</v>
      </c>
      <c r="E1748" s="1">
        <f ca="1">IFERROR(__xludf.DUMMYFUNCTION("""COMPUTED_VALUE"""),289.26)</f>
        <v>289.26</v>
      </c>
      <c r="F1748" s="1">
        <f ca="1">IFERROR(__xludf.DUMMYFUNCTION("""COMPUTED_VALUE"""),53713124)</f>
        <v>53713124</v>
      </c>
    </row>
    <row r="1749" spans="1:6" x14ac:dyDescent="0.2">
      <c r="A1749" s="2">
        <f ca="1">IFERROR(__xludf.DUMMYFUNCTION("""COMPUTED_VALUE"""),44813.6666666666)</f>
        <v>44813.666666666599</v>
      </c>
      <c r="B1749" s="1">
        <f ca="1">IFERROR(__xludf.DUMMYFUNCTION("""COMPUTED_VALUE"""),291.67)</f>
        <v>291.67</v>
      </c>
      <c r="C1749" s="1">
        <f ca="1">IFERROR(__xludf.DUMMYFUNCTION("""COMPUTED_VALUE"""),299.85)</f>
        <v>299.85000000000002</v>
      </c>
      <c r="D1749" s="1">
        <f ca="1">IFERROR(__xludf.DUMMYFUNCTION("""COMPUTED_VALUE"""),291.25)</f>
        <v>291.25</v>
      </c>
      <c r="E1749" s="1">
        <f ca="1">IFERROR(__xludf.DUMMYFUNCTION("""COMPUTED_VALUE"""),299.68)</f>
        <v>299.68</v>
      </c>
      <c r="F1749" s="1">
        <f ca="1">IFERROR(__xludf.DUMMYFUNCTION("""COMPUTED_VALUE"""),54470854)</f>
        <v>54470854</v>
      </c>
    </row>
    <row r="1750" spans="1:6" x14ac:dyDescent="0.2">
      <c r="A1750" s="2">
        <f ca="1">IFERROR(__xludf.DUMMYFUNCTION("""COMPUTED_VALUE"""),44816.6666666666)</f>
        <v>44816.666666666599</v>
      </c>
      <c r="B1750" s="1">
        <f ca="1">IFERROR(__xludf.DUMMYFUNCTION("""COMPUTED_VALUE"""),300.72)</f>
        <v>300.72000000000003</v>
      </c>
      <c r="C1750" s="1">
        <f ca="1">IFERROR(__xludf.DUMMYFUNCTION("""COMPUTED_VALUE"""),305.49)</f>
        <v>305.49</v>
      </c>
      <c r="D1750" s="1">
        <f ca="1">IFERROR(__xludf.DUMMYFUNCTION("""COMPUTED_VALUE"""),300.4)</f>
        <v>300.39999999999998</v>
      </c>
      <c r="E1750" s="1">
        <f ca="1">IFERROR(__xludf.DUMMYFUNCTION("""COMPUTED_VALUE"""),304.42)</f>
        <v>304.42</v>
      </c>
      <c r="F1750" s="1">
        <f ca="1">IFERROR(__xludf.DUMMYFUNCTION("""COMPUTED_VALUE"""),48674604)</f>
        <v>48674604</v>
      </c>
    </row>
    <row r="1751" spans="1:6" x14ac:dyDescent="0.2">
      <c r="A1751" s="2">
        <f ca="1">IFERROR(__xludf.DUMMYFUNCTION("""COMPUTED_VALUE"""),44817.6666666666)</f>
        <v>44817.666666666599</v>
      </c>
      <c r="B1751" s="1">
        <f ca="1">IFERROR(__xludf.DUMMYFUNCTION("""COMPUTED_VALUE"""),292.9)</f>
        <v>292.89999999999998</v>
      </c>
      <c r="C1751" s="1">
        <f ca="1">IFERROR(__xludf.DUMMYFUNCTION("""COMPUTED_VALUE"""),297.4)</f>
        <v>297.39999999999998</v>
      </c>
      <c r="D1751" s="1">
        <f ca="1">IFERROR(__xludf.DUMMYFUNCTION("""COMPUTED_VALUE"""),290.4)</f>
        <v>290.39999999999998</v>
      </c>
      <c r="E1751" s="1">
        <f ca="1">IFERROR(__xludf.DUMMYFUNCTION("""COMPUTED_VALUE"""),292.13)</f>
        <v>292.13</v>
      </c>
      <c r="F1751" s="1">
        <f ca="1">IFERROR(__xludf.DUMMYFUNCTION("""COMPUTED_VALUE"""),68229619)</f>
        <v>68229619</v>
      </c>
    </row>
    <row r="1752" spans="1:6" x14ac:dyDescent="0.2">
      <c r="A1752" s="2">
        <f ca="1">IFERROR(__xludf.DUMMYFUNCTION("""COMPUTED_VALUE"""),44818.6666666666)</f>
        <v>44818.666666666599</v>
      </c>
      <c r="B1752" s="1">
        <f ca="1">IFERROR(__xludf.DUMMYFUNCTION("""COMPUTED_VALUE"""),292.24)</f>
        <v>292.24</v>
      </c>
      <c r="C1752" s="1">
        <f ca="1">IFERROR(__xludf.DUMMYFUNCTION("""COMPUTED_VALUE"""),306)</f>
        <v>306</v>
      </c>
      <c r="D1752" s="1">
        <f ca="1">IFERROR(__xludf.DUMMYFUNCTION("""COMPUTED_VALUE"""),291.64)</f>
        <v>291.64</v>
      </c>
      <c r="E1752" s="1">
        <f ca="1">IFERROR(__xludf.DUMMYFUNCTION("""COMPUTED_VALUE"""),302.61)</f>
        <v>302.61</v>
      </c>
      <c r="F1752" s="1">
        <f ca="1">IFERROR(__xludf.DUMMYFUNCTION("""COMPUTED_VALUE"""),72628653)</f>
        <v>72628653</v>
      </c>
    </row>
    <row r="1753" spans="1:6" x14ac:dyDescent="0.2">
      <c r="A1753" s="2">
        <f ca="1">IFERROR(__xludf.DUMMYFUNCTION("""COMPUTED_VALUE"""),44819.6666666666)</f>
        <v>44819.666666666599</v>
      </c>
      <c r="B1753" s="1">
        <f ca="1">IFERROR(__xludf.DUMMYFUNCTION("""COMPUTED_VALUE"""),301.83)</f>
        <v>301.83</v>
      </c>
      <c r="C1753" s="1">
        <f ca="1">IFERROR(__xludf.DUMMYFUNCTION("""COMPUTED_VALUE"""),309.12)</f>
        <v>309.12</v>
      </c>
      <c r="D1753" s="1">
        <f ca="1">IFERROR(__xludf.DUMMYFUNCTION("""COMPUTED_VALUE"""),300.72)</f>
        <v>300.72000000000003</v>
      </c>
      <c r="E1753" s="1">
        <f ca="1">IFERROR(__xludf.DUMMYFUNCTION("""COMPUTED_VALUE"""),303.75)</f>
        <v>303.75</v>
      </c>
      <c r="F1753" s="1">
        <f ca="1">IFERROR(__xludf.DUMMYFUNCTION("""COMPUTED_VALUE"""),64795523)</f>
        <v>64795523</v>
      </c>
    </row>
    <row r="1754" spans="1:6" x14ac:dyDescent="0.2">
      <c r="A1754" s="2">
        <f ca="1">IFERROR(__xludf.DUMMYFUNCTION("""COMPUTED_VALUE"""),44820.6666666666)</f>
        <v>44820.666666666599</v>
      </c>
      <c r="B1754" s="1">
        <f ca="1">IFERROR(__xludf.DUMMYFUNCTION("""COMPUTED_VALUE"""),299.61)</f>
        <v>299.61</v>
      </c>
      <c r="C1754" s="1">
        <f ca="1">IFERROR(__xludf.DUMMYFUNCTION("""COMPUTED_VALUE"""),303.71)</f>
        <v>303.70999999999998</v>
      </c>
      <c r="D1754" s="1">
        <f ca="1">IFERROR(__xludf.DUMMYFUNCTION("""COMPUTED_VALUE"""),295.6)</f>
        <v>295.60000000000002</v>
      </c>
      <c r="E1754" s="1">
        <f ca="1">IFERROR(__xludf.DUMMYFUNCTION("""COMPUTED_VALUE"""),303.35)</f>
        <v>303.35000000000002</v>
      </c>
      <c r="F1754" s="1">
        <f ca="1">IFERROR(__xludf.DUMMYFUNCTION("""COMPUTED_VALUE"""),87087786)</f>
        <v>87087786</v>
      </c>
    </row>
    <row r="1755" spans="1:6" x14ac:dyDescent="0.2">
      <c r="A1755" s="2">
        <f ca="1">IFERROR(__xludf.DUMMYFUNCTION("""COMPUTED_VALUE"""),44823.6666666666)</f>
        <v>44823.666666666599</v>
      </c>
      <c r="B1755" s="1">
        <f ca="1">IFERROR(__xludf.DUMMYFUNCTION("""COMPUTED_VALUE"""),300.09)</f>
        <v>300.08999999999997</v>
      </c>
      <c r="C1755" s="1">
        <f ca="1">IFERROR(__xludf.DUMMYFUNCTION("""COMPUTED_VALUE"""),309.84)</f>
        <v>309.83999999999997</v>
      </c>
      <c r="D1755" s="1">
        <f ca="1">IFERROR(__xludf.DUMMYFUNCTION("""COMPUTED_VALUE"""),297.8)</f>
        <v>297.8</v>
      </c>
      <c r="E1755" s="1">
        <f ca="1">IFERROR(__xludf.DUMMYFUNCTION("""COMPUTED_VALUE"""),309.07)</f>
        <v>309.07</v>
      </c>
      <c r="F1755" s="1">
        <f ca="1">IFERROR(__xludf.DUMMYFUNCTION("""COMPUTED_VALUE"""),60231156)</f>
        <v>60231156</v>
      </c>
    </row>
    <row r="1756" spans="1:6" x14ac:dyDescent="0.2">
      <c r="A1756" s="2">
        <f ca="1">IFERROR(__xludf.DUMMYFUNCTION("""COMPUTED_VALUE"""),44824.6666666666)</f>
        <v>44824.666666666599</v>
      </c>
      <c r="B1756" s="1">
        <f ca="1">IFERROR(__xludf.DUMMYFUNCTION("""COMPUTED_VALUE"""),306.91)</f>
        <v>306.91000000000003</v>
      </c>
      <c r="C1756" s="1">
        <f ca="1">IFERROR(__xludf.DUMMYFUNCTION("""COMPUTED_VALUE"""),313.33)</f>
        <v>313.33</v>
      </c>
      <c r="D1756" s="1">
        <f ca="1">IFERROR(__xludf.DUMMYFUNCTION("""COMPUTED_VALUE"""),305.58)</f>
        <v>305.58</v>
      </c>
      <c r="E1756" s="1">
        <f ca="1">IFERROR(__xludf.DUMMYFUNCTION("""COMPUTED_VALUE"""),308.73)</f>
        <v>308.73</v>
      </c>
      <c r="F1756" s="1">
        <f ca="1">IFERROR(__xludf.DUMMYFUNCTION("""COMPUTED_VALUE"""),61642783)</f>
        <v>61642783</v>
      </c>
    </row>
    <row r="1757" spans="1:6" x14ac:dyDescent="0.2">
      <c r="A1757" s="2">
        <f ca="1">IFERROR(__xludf.DUMMYFUNCTION("""COMPUTED_VALUE"""),44825.6666666666)</f>
        <v>44825.666666666599</v>
      </c>
      <c r="B1757" s="1">
        <f ca="1">IFERROR(__xludf.DUMMYFUNCTION("""COMPUTED_VALUE"""),308.29)</f>
        <v>308.29000000000002</v>
      </c>
      <c r="C1757" s="1">
        <f ca="1">IFERROR(__xludf.DUMMYFUNCTION("""COMPUTED_VALUE"""),313.8)</f>
        <v>313.8</v>
      </c>
      <c r="D1757" s="1">
        <f ca="1">IFERROR(__xludf.DUMMYFUNCTION("""COMPUTED_VALUE"""),300.63)</f>
        <v>300.63</v>
      </c>
      <c r="E1757" s="1">
        <f ca="1">IFERROR(__xludf.DUMMYFUNCTION("""COMPUTED_VALUE"""),300.8)</f>
        <v>300.8</v>
      </c>
      <c r="F1757" s="1">
        <f ca="1">IFERROR(__xludf.DUMMYFUNCTION("""COMPUTED_VALUE"""),62555656)</f>
        <v>62555656</v>
      </c>
    </row>
    <row r="1758" spans="1:6" x14ac:dyDescent="0.2">
      <c r="A1758" s="2">
        <f ca="1">IFERROR(__xludf.DUMMYFUNCTION("""COMPUTED_VALUE"""),44826.6666666666)</f>
        <v>44826.666666666599</v>
      </c>
      <c r="B1758" s="1">
        <f ca="1">IFERROR(__xludf.DUMMYFUNCTION("""COMPUTED_VALUE"""),299.86)</f>
        <v>299.86</v>
      </c>
      <c r="C1758" s="1">
        <f ca="1">IFERROR(__xludf.DUMMYFUNCTION("""COMPUTED_VALUE"""),301.29)</f>
        <v>301.29000000000002</v>
      </c>
      <c r="D1758" s="1">
        <f ca="1">IFERROR(__xludf.DUMMYFUNCTION("""COMPUTED_VALUE"""),285.82)</f>
        <v>285.82</v>
      </c>
      <c r="E1758" s="1">
        <f ca="1">IFERROR(__xludf.DUMMYFUNCTION("""COMPUTED_VALUE"""),288.59)</f>
        <v>288.58999999999997</v>
      </c>
      <c r="F1758" s="1">
        <f ca="1">IFERROR(__xludf.DUMMYFUNCTION("""COMPUTED_VALUE"""),70545413)</f>
        <v>70545413</v>
      </c>
    </row>
    <row r="1759" spans="1:6" x14ac:dyDescent="0.2">
      <c r="A1759" s="2">
        <f ca="1">IFERROR(__xludf.DUMMYFUNCTION("""COMPUTED_VALUE"""),44827.6666666666)</f>
        <v>44827.666666666599</v>
      </c>
      <c r="B1759" s="1">
        <f ca="1">IFERROR(__xludf.DUMMYFUNCTION("""COMPUTED_VALUE"""),283.09)</f>
        <v>283.08999999999997</v>
      </c>
      <c r="C1759" s="1">
        <f ca="1">IFERROR(__xludf.DUMMYFUNCTION("""COMPUTED_VALUE"""),284.5)</f>
        <v>284.5</v>
      </c>
      <c r="D1759" s="1">
        <f ca="1">IFERROR(__xludf.DUMMYFUNCTION("""COMPUTED_VALUE"""),272.82)</f>
        <v>272.82</v>
      </c>
      <c r="E1759" s="1">
        <f ca="1">IFERROR(__xludf.DUMMYFUNCTION("""COMPUTED_VALUE"""),275.33)</f>
        <v>275.33</v>
      </c>
      <c r="F1759" s="1">
        <f ca="1">IFERROR(__xludf.DUMMYFUNCTION("""COMPUTED_VALUE"""),63748362)</f>
        <v>63748362</v>
      </c>
    </row>
    <row r="1760" spans="1:6" x14ac:dyDescent="0.2">
      <c r="A1760" s="2">
        <f ca="1">IFERROR(__xludf.DUMMYFUNCTION("""COMPUTED_VALUE"""),44830.6666666666)</f>
        <v>44830.666666666599</v>
      </c>
      <c r="B1760" s="1">
        <f ca="1">IFERROR(__xludf.DUMMYFUNCTION("""COMPUTED_VALUE"""),271.83)</f>
        <v>271.83</v>
      </c>
      <c r="C1760" s="1">
        <f ca="1">IFERROR(__xludf.DUMMYFUNCTION("""COMPUTED_VALUE"""),284.09)</f>
        <v>284.08999999999997</v>
      </c>
      <c r="D1760" s="1">
        <f ca="1">IFERROR(__xludf.DUMMYFUNCTION("""COMPUTED_VALUE"""),270.31)</f>
        <v>270.31</v>
      </c>
      <c r="E1760" s="1">
        <f ca="1">IFERROR(__xludf.DUMMYFUNCTION("""COMPUTED_VALUE"""),276.01)</f>
        <v>276.01</v>
      </c>
      <c r="F1760" s="1">
        <f ca="1">IFERROR(__xludf.DUMMYFUNCTION("""COMPUTED_VALUE"""),58076913)</f>
        <v>58076913</v>
      </c>
    </row>
    <row r="1761" spans="1:6" x14ac:dyDescent="0.2">
      <c r="A1761" s="2">
        <f ca="1">IFERROR(__xludf.DUMMYFUNCTION("""COMPUTED_VALUE"""),44831.6666666666)</f>
        <v>44831.666666666599</v>
      </c>
      <c r="B1761" s="1">
        <f ca="1">IFERROR(__xludf.DUMMYFUNCTION("""COMPUTED_VALUE"""),283.84)</f>
        <v>283.83999999999997</v>
      </c>
      <c r="C1761" s="1">
        <f ca="1">IFERROR(__xludf.DUMMYFUNCTION("""COMPUTED_VALUE"""),288.67)</f>
        <v>288.67</v>
      </c>
      <c r="D1761" s="1">
        <f ca="1">IFERROR(__xludf.DUMMYFUNCTION("""COMPUTED_VALUE"""),277.51)</f>
        <v>277.51</v>
      </c>
      <c r="E1761" s="1">
        <f ca="1">IFERROR(__xludf.DUMMYFUNCTION("""COMPUTED_VALUE"""),282.94)</f>
        <v>282.94</v>
      </c>
      <c r="F1761" s="1">
        <f ca="1">IFERROR(__xludf.DUMMYFUNCTION("""COMPUTED_VALUE"""),61925185)</f>
        <v>61925185</v>
      </c>
    </row>
    <row r="1762" spans="1:6" x14ac:dyDescent="0.2">
      <c r="A1762" s="2">
        <f ca="1">IFERROR(__xludf.DUMMYFUNCTION("""COMPUTED_VALUE"""),44832.6666666666)</f>
        <v>44832.666666666599</v>
      </c>
      <c r="B1762" s="1">
        <f ca="1">IFERROR(__xludf.DUMMYFUNCTION("""COMPUTED_VALUE"""),283.08)</f>
        <v>283.08</v>
      </c>
      <c r="C1762" s="1">
        <f ca="1">IFERROR(__xludf.DUMMYFUNCTION("""COMPUTED_VALUE"""),289)</f>
        <v>289</v>
      </c>
      <c r="D1762" s="1">
        <f ca="1">IFERROR(__xludf.DUMMYFUNCTION("""COMPUTED_VALUE"""),277.57)</f>
        <v>277.57</v>
      </c>
      <c r="E1762" s="1">
        <f ca="1">IFERROR(__xludf.DUMMYFUNCTION("""COMPUTED_VALUE"""),287.81)</f>
        <v>287.81</v>
      </c>
      <c r="F1762" s="1">
        <f ca="1">IFERROR(__xludf.DUMMYFUNCTION("""COMPUTED_VALUE"""),54664809)</f>
        <v>54664809</v>
      </c>
    </row>
    <row r="1763" spans="1:6" x14ac:dyDescent="0.2">
      <c r="A1763" s="2">
        <f ca="1">IFERROR(__xludf.DUMMYFUNCTION("""COMPUTED_VALUE"""),44833.6666666666)</f>
        <v>44833.666666666599</v>
      </c>
      <c r="B1763" s="1">
        <f ca="1">IFERROR(__xludf.DUMMYFUNCTION("""COMPUTED_VALUE"""),282.76)</f>
        <v>282.76</v>
      </c>
      <c r="C1763" s="1">
        <f ca="1">IFERROR(__xludf.DUMMYFUNCTION("""COMPUTED_VALUE"""),283.65)</f>
        <v>283.64999999999998</v>
      </c>
      <c r="D1763" s="1">
        <f ca="1">IFERROR(__xludf.DUMMYFUNCTION("""COMPUTED_VALUE"""),265.78)</f>
        <v>265.77999999999997</v>
      </c>
      <c r="E1763" s="1">
        <f ca="1">IFERROR(__xludf.DUMMYFUNCTION("""COMPUTED_VALUE"""),268.21)</f>
        <v>268.20999999999998</v>
      </c>
      <c r="F1763" s="1">
        <f ca="1">IFERROR(__xludf.DUMMYFUNCTION("""COMPUTED_VALUE"""),77620642)</f>
        <v>77620642</v>
      </c>
    </row>
    <row r="1764" spans="1:6" x14ac:dyDescent="0.2">
      <c r="A1764" s="2">
        <f ca="1">IFERROR(__xludf.DUMMYFUNCTION("""COMPUTED_VALUE"""),44834.6666666666)</f>
        <v>44834.666666666599</v>
      </c>
      <c r="B1764" s="1">
        <f ca="1">IFERROR(__xludf.DUMMYFUNCTION("""COMPUTED_VALUE"""),266.15)</f>
        <v>266.14999999999998</v>
      </c>
      <c r="C1764" s="1">
        <f ca="1">IFERROR(__xludf.DUMMYFUNCTION("""COMPUTED_VALUE"""),275.57)</f>
        <v>275.57</v>
      </c>
      <c r="D1764" s="1">
        <f ca="1">IFERROR(__xludf.DUMMYFUNCTION("""COMPUTED_VALUE"""),262.47)</f>
        <v>262.47000000000003</v>
      </c>
      <c r="E1764" s="1">
        <f ca="1">IFERROR(__xludf.DUMMYFUNCTION("""COMPUTED_VALUE"""),265.25)</f>
        <v>265.25</v>
      </c>
      <c r="F1764" s="1">
        <f ca="1">IFERROR(__xludf.DUMMYFUNCTION("""COMPUTED_VALUE"""),67726598)</f>
        <v>67726598</v>
      </c>
    </row>
    <row r="1765" spans="1:6" x14ac:dyDescent="0.2">
      <c r="A1765" s="2">
        <f ca="1">IFERROR(__xludf.DUMMYFUNCTION("""COMPUTED_VALUE"""),44837.6666666666)</f>
        <v>44837.666666666599</v>
      </c>
      <c r="B1765" s="1">
        <f ca="1">IFERROR(__xludf.DUMMYFUNCTION("""COMPUTED_VALUE"""),254.5)</f>
        <v>254.5</v>
      </c>
      <c r="C1765" s="1">
        <f ca="1">IFERROR(__xludf.DUMMYFUNCTION("""COMPUTED_VALUE"""),255.16)</f>
        <v>255.16</v>
      </c>
      <c r="D1765" s="1">
        <f ca="1">IFERROR(__xludf.DUMMYFUNCTION("""COMPUTED_VALUE"""),241.01)</f>
        <v>241.01</v>
      </c>
      <c r="E1765" s="1">
        <f ca="1">IFERROR(__xludf.DUMMYFUNCTION("""COMPUTED_VALUE"""),242.4)</f>
        <v>242.4</v>
      </c>
      <c r="F1765" s="1">
        <f ca="1">IFERROR(__xludf.DUMMYFUNCTION("""COMPUTED_VALUE"""),98363541)</f>
        <v>98363541</v>
      </c>
    </row>
    <row r="1766" spans="1:6" x14ac:dyDescent="0.2">
      <c r="A1766" s="2">
        <f ca="1">IFERROR(__xludf.DUMMYFUNCTION("""COMPUTED_VALUE"""),44838.6666666666)</f>
        <v>44838.666666666599</v>
      </c>
      <c r="B1766" s="1">
        <f ca="1">IFERROR(__xludf.DUMMYFUNCTION("""COMPUTED_VALUE"""),250.52)</f>
        <v>250.52</v>
      </c>
      <c r="C1766" s="1">
        <f ca="1">IFERROR(__xludf.DUMMYFUNCTION("""COMPUTED_VALUE"""),257.5)</f>
        <v>257.5</v>
      </c>
      <c r="D1766" s="1">
        <f ca="1">IFERROR(__xludf.DUMMYFUNCTION("""COMPUTED_VALUE"""),242.01)</f>
        <v>242.01</v>
      </c>
      <c r="E1766" s="1">
        <f ca="1">IFERROR(__xludf.DUMMYFUNCTION("""COMPUTED_VALUE"""),249.44)</f>
        <v>249.44</v>
      </c>
      <c r="F1766" s="1">
        <f ca="1">IFERROR(__xludf.DUMMYFUNCTION("""COMPUTED_VALUE"""),109578535)</f>
        <v>109578535</v>
      </c>
    </row>
    <row r="1767" spans="1:6" x14ac:dyDescent="0.2">
      <c r="A1767" s="2">
        <f ca="1">IFERROR(__xludf.DUMMYFUNCTION("""COMPUTED_VALUE"""),44839.6666666666)</f>
        <v>44839.666666666599</v>
      </c>
      <c r="B1767" s="1">
        <f ca="1">IFERROR(__xludf.DUMMYFUNCTION("""COMPUTED_VALUE"""),245.01)</f>
        <v>245.01</v>
      </c>
      <c r="C1767" s="1">
        <f ca="1">IFERROR(__xludf.DUMMYFUNCTION("""COMPUTED_VALUE"""),246.67)</f>
        <v>246.67</v>
      </c>
      <c r="D1767" s="1">
        <f ca="1">IFERROR(__xludf.DUMMYFUNCTION("""COMPUTED_VALUE"""),233.27)</f>
        <v>233.27</v>
      </c>
      <c r="E1767" s="1">
        <f ca="1">IFERROR(__xludf.DUMMYFUNCTION("""COMPUTED_VALUE"""),240.81)</f>
        <v>240.81</v>
      </c>
      <c r="F1767" s="1">
        <f ca="1">IFERROR(__xludf.DUMMYFUNCTION("""COMPUTED_VALUE"""),86982673)</f>
        <v>86982673</v>
      </c>
    </row>
    <row r="1768" spans="1:6" x14ac:dyDescent="0.2">
      <c r="A1768" s="2">
        <f ca="1">IFERROR(__xludf.DUMMYFUNCTION("""COMPUTED_VALUE"""),44840.6666666666)</f>
        <v>44840.666666666599</v>
      </c>
      <c r="B1768" s="1">
        <f ca="1">IFERROR(__xludf.DUMMYFUNCTION("""COMPUTED_VALUE"""),239.44)</f>
        <v>239.44</v>
      </c>
      <c r="C1768" s="1">
        <f ca="1">IFERROR(__xludf.DUMMYFUNCTION("""COMPUTED_VALUE"""),244.58)</f>
        <v>244.58</v>
      </c>
      <c r="D1768" s="1">
        <f ca="1">IFERROR(__xludf.DUMMYFUNCTION("""COMPUTED_VALUE"""),235.35)</f>
        <v>235.35</v>
      </c>
      <c r="E1768" s="1">
        <f ca="1">IFERROR(__xludf.DUMMYFUNCTION("""COMPUTED_VALUE"""),238.13)</f>
        <v>238.13</v>
      </c>
      <c r="F1768" s="1">
        <f ca="1">IFERROR(__xludf.DUMMYFUNCTION("""COMPUTED_VALUE"""),69298437)</f>
        <v>69298437</v>
      </c>
    </row>
    <row r="1769" spans="1:6" x14ac:dyDescent="0.2">
      <c r="A1769" s="2">
        <f ca="1">IFERROR(__xludf.DUMMYFUNCTION("""COMPUTED_VALUE"""),44841.6666666666)</f>
        <v>44841.666666666599</v>
      </c>
      <c r="B1769" s="1">
        <f ca="1">IFERROR(__xludf.DUMMYFUNCTION("""COMPUTED_VALUE"""),233.94)</f>
        <v>233.94</v>
      </c>
      <c r="C1769" s="1">
        <f ca="1">IFERROR(__xludf.DUMMYFUNCTION("""COMPUTED_VALUE"""),234.57)</f>
        <v>234.57</v>
      </c>
      <c r="D1769" s="1">
        <f ca="1">IFERROR(__xludf.DUMMYFUNCTION("""COMPUTED_VALUE"""),222.02)</f>
        <v>222.02</v>
      </c>
      <c r="E1769" s="1">
        <f ca="1">IFERROR(__xludf.DUMMYFUNCTION("""COMPUTED_VALUE"""),223.07)</f>
        <v>223.07</v>
      </c>
      <c r="F1769" s="1">
        <f ca="1">IFERROR(__xludf.DUMMYFUNCTION("""COMPUTED_VALUE"""),83916800)</f>
        <v>83916800</v>
      </c>
    </row>
    <row r="1770" spans="1:6" x14ac:dyDescent="0.2">
      <c r="A1770" s="2">
        <f ca="1">IFERROR(__xludf.DUMMYFUNCTION("""COMPUTED_VALUE"""),44844.6666666666)</f>
        <v>44844.666666666599</v>
      </c>
      <c r="B1770" s="1">
        <f ca="1">IFERROR(__xludf.DUMMYFUNCTION("""COMPUTED_VALUE"""),223.93)</f>
        <v>223.93</v>
      </c>
      <c r="C1770" s="1">
        <f ca="1">IFERROR(__xludf.DUMMYFUNCTION("""COMPUTED_VALUE"""),226.99)</f>
        <v>226.99</v>
      </c>
      <c r="D1770" s="1">
        <f ca="1">IFERROR(__xludf.DUMMYFUNCTION("""COMPUTED_VALUE"""),218.36)</f>
        <v>218.36</v>
      </c>
      <c r="E1770" s="1">
        <f ca="1">IFERROR(__xludf.DUMMYFUNCTION("""COMPUTED_VALUE"""),222.96)</f>
        <v>222.96</v>
      </c>
      <c r="F1770" s="1">
        <f ca="1">IFERROR(__xludf.DUMMYFUNCTION("""COMPUTED_VALUE"""),67925018)</f>
        <v>67925018</v>
      </c>
    </row>
    <row r="1771" spans="1:6" x14ac:dyDescent="0.2">
      <c r="A1771" s="2">
        <f ca="1">IFERROR(__xludf.DUMMYFUNCTION("""COMPUTED_VALUE"""),44845.6666666666)</f>
        <v>44845.666666666599</v>
      </c>
      <c r="B1771" s="1">
        <f ca="1">IFERROR(__xludf.DUMMYFUNCTION("""COMPUTED_VALUE"""),220.95)</f>
        <v>220.95</v>
      </c>
      <c r="C1771" s="1">
        <f ca="1">IFERROR(__xludf.DUMMYFUNCTION("""COMPUTED_VALUE"""),225.75)</f>
        <v>225.75</v>
      </c>
      <c r="D1771" s="1">
        <f ca="1">IFERROR(__xludf.DUMMYFUNCTION("""COMPUTED_VALUE"""),215)</f>
        <v>215</v>
      </c>
      <c r="E1771" s="1">
        <f ca="1">IFERROR(__xludf.DUMMYFUNCTION("""COMPUTED_VALUE"""),216.5)</f>
        <v>216.5</v>
      </c>
      <c r="F1771" s="1">
        <f ca="1">IFERROR(__xludf.DUMMYFUNCTION("""COMPUTED_VALUE"""),77013202)</f>
        <v>77013202</v>
      </c>
    </row>
    <row r="1772" spans="1:6" x14ac:dyDescent="0.2">
      <c r="A1772" s="2">
        <f ca="1">IFERROR(__xludf.DUMMYFUNCTION("""COMPUTED_VALUE"""),44846.6666666666)</f>
        <v>44846.666666666599</v>
      </c>
      <c r="B1772" s="1">
        <f ca="1">IFERROR(__xludf.DUMMYFUNCTION("""COMPUTED_VALUE"""),215.33)</f>
        <v>215.33</v>
      </c>
      <c r="C1772" s="1">
        <f ca="1">IFERROR(__xludf.DUMMYFUNCTION("""COMPUTED_VALUE"""),219.3)</f>
        <v>219.3</v>
      </c>
      <c r="D1772" s="1">
        <f ca="1">IFERROR(__xludf.DUMMYFUNCTION("""COMPUTED_VALUE"""),211.51)</f>
        <v>211.51</v>
      </c>
      <c r="E1772" s="1">
        <f ca="1">IFERROR(__xludf.DUMMYFUNCTION("""COMPUTED_VALUE"""),217.24)</f>
        <v>217.24</v>
      </c>
      <c r="F1772" s="1">
        <f ca="1">IFERROR(__xludf.DUMMYFUNCTION("""COMPUTED_VALUE"""),66860699)</f>
        <v>66860699</v>
      </c>
    </row>
    <row r="1773" spans="1:6" x14ac:dyDescent="0.2">
      <c r="A1773" s="2">
        <f ca="1">IFERROR(__xludf.DUMMYFUNCTION("""COMPUTED_VALUE"""),44847.6666666666)</f>
        <v>44847.666666666599</v>
      </c>
      <c r="B1773" s="1">
        <f ca="1">IFERROR(__xludf.DUMMYFUNCTION("""COMPUTED_VALUE"""),208.3)</f>
        <v>208.3</v>
      </c>
      <c r="C1773" s="1">
        <f ca="1">IFERROR(__xludf.DUMMYFUNCTION("""COMPUTED_VALUE"""),222.99)</f>
        <v>222.99</v>
      </c>
      <c r="D1773" s="1">
        <f ca="1">IFERROR(__xludf.DUMMYFUNCTION("""COMPUTED_VALUE"""),206.22)</f>
        <v>206.22</v>
      </c>
      <c r="E1773" s="1">
        <f ca="1">IFERROR(__xludf.DUMMYFUNCTION("""COMPUTED_VALUE"""),221.72)</f>
        <v>221.72</v>
      </c>
      <c r="F1773" s="1">
        <f ca="1">IFERROR(__xludf.DUMMYFUNCTION("""COMPUTED_VALUE"""),91483045)</f>
        <v>91483045</v>
      </c>
    </row>
    <row r="1774" spans="1:6" x14ac:dyDescent="0.2">
      <c r="A1774" s="2">
        <f ca="1">IFERROR(__xludf.DUMMYFUNCTION("""COMPUTED_VALUE"""),44848.6666666666)</f>
        <v>44848.666666666599</v>
      </c>
      <c r="B1774" s="1">
        <f ca="1">IFERROR(__xludf.DUMMYFUNCTION("""COMPUTED_VALUE"""),224.01)</f>
        <v>224.01</v>
      </c>
      <c r="C1774" s="1">
        <f ca="1">IFERROR(__xludf.DUMMYFUNCTION("""COMPUTED_VALUE"""),226.26)</f>
        <v>226.26</v>
      </c>
      <c r="D1774" s="1">
        <f ca="1">IFERROR(__xludf.DUMMYFUNCTION("""COMPUTED_VALUE"""),204.16)</f>
        <v>204.16</v>
      </c>
      <c r="E1774" s="1">
        <f ca="1">IFERROR(__xludf.DUMMYFUNCTION("""COMPUTED_VALUE"""),204.99)</f>
        <v>204.99</v>
      </c>
      <c r="F1774" s="1">
        <f ca="1">IFERROR(__xludf.DUMMYFUNCTION("""COMPUTED_VALUE"""),94124511)</f>
        <v>94124511</v>
      </c>
    </row>
    <row r="1775" spans="1:6" x14ac:dyDescent="0.2">
      <c r="A1775" s="2">
        <f ca="1">IFERROR(__xludf.DUMMYFUNCTION("""COMPUTED_VALUE"""),44851.6666666666)</f>
        <v>44851.666666666599</v>
      </c>
      <c r="B1775" s="1">
        <f ca="1">IFERROR(__xludf.DUMMYFUNCTION("""COMPUTED_VALUE"""),210.04)</f>
        <v>210.04</v>
      </c>
      <c r="C1775" s="1">
        <f ca="1">IFERROR(__xludf.DUMMYFUNCTION("""COMPUTED_VALUE"""),221.86)</f>
        <v>221.86</v>
      </c>
      <c r="D1775" s="1">
        <f ca="1">IFERROR(__xludf.DUMMYFUNCTION("""COMPUTED_VALUE"""),209.45)</f>
        <v>209.45</v>
      </c>
      <c r="E1775" s="1">
        <f ca="1">IFERROR(__xludf.DUMMYFUNCTION("""COMPUTED_VALUE"""),219.35)</f>
        <v>219.35</v>
      </c>
      <c r="F1775" s="1">
        <f ca="1">IFERROR(__xludf.DUMMYFUNCTION("""COMPUTED_VALUE"""),79428810)</f>
        <v>79428810</v>
      </c>
    </row>
    <row r="1776" spans="1:6" x14ac:dyDescent="0.2">
      <c r="A1776" s="2">
        <f ca="1">IFERROR(__xludf.DUMMYFUNCTION("""COMPUTED_VALUE"""),44852.6666666666)</f>
        <v>44852.666666666599</v>
      </c>
      <c r="B1776" s="1">
        <f ca="1">IFERROR(__xludf.DUMMYFUNCTION("""COMPUTED_VALUE"""),229.5)</f>
        <v>229.5</v>
      </c>
      <c r="C1776" s="1">
        <f ca="1">IFERROR(__xludf.DUMMYFUNCTION("""COMPUTED_VALUE"""),229.82)</f>
        <v>229.82</v>
      </c>
      <c r="D1776" s="1">
        <f ca="1">IFERROR(__xludf.DUMMYFUNCTION("""COMPUTED_VALUE"""),217.25)</f>
        <v>217.25</v>
      </c>
      <c r="E1776" s="1">
        <f ca="1">IFERROR(__xludf.DUMMYFUNCTION("""COMPUTED_VALUE"""),220.19)</f>
        <v>220.19</v>
      </c>
      <c r="F1776" s="1">
        <f ca="1">IFERROR(__xludf.DUMMYFUNCTION("""COMPUTED_VALUE"""),75891905)</f>
        <v>75891905</v>
      </c>
    </row>
    <row r="1777" spans="1:6" x14ac:dyDescent="0.2">
      <c r="A1777" s="2">
        <f ca="1">IFERROR(__xludf.DUMMYFUNCTION("""COMPUTED_VALUE"""),44853.6666666666)</f>
        <v>44853.666666666599</v>
      </c>
      <c r="B1777" s="1">
        <f ca="1">IFERROR(__xludf.DUMMYFUNCTION("""COMPUTED_VALUE"""),219.8)</f>
        <v>219.8</v>
      </c>
      <c r="C1777" s="1">
        <f ca="1">IFERROR(__xludf.DUMMYFUNCTION("""COMPUTED_VALUE"""),222.93)</f>
        <v>222.93</v>
      </c>
      <c r="D1777" s="1">
        <f ca="1">IFERROR(__xludf.DUMMYFUNCTION("""COMPUTED_VALUE"""),217.78)</f>
        <v>217.78</v>
      </c>
      <c r="E1777" s="1">
        <f ca="1">IFERROR(__xludf.DUMMYFUNCTION("""COMPUTED_VALUE"""),222.04)</f>
        <v>222.04</v>
      </c>
      <c r="F1777" s="1">
        <f ca="1">IFERROR(__xludf.DUMMYFUNCTION("""COMPUTED_VALUE"""),66571479)</f>
        <v>66571479</v>
      </c>
    </row>
    <row r="1778" spans="1:6" x14ac:dyDescent="0.2">
      <c r="A1778" s="2">
        <f ca="1">IFERROR(__xludf.DUMMYFUNCTION("""COMPUTED_VALUE"""),44854.6666666666)</f>
        <v>44854.666666666599</v>
      </c>
      <c r="B1778" s="1">
        <f ca="1">IFERROR(__xludf.DUMMYFUNCTION("""COMPUTED_VALUE"""),208.28)</f>
        <v>208.28</v>
      </c>
      <c r="C1778" s="1">
        <f ca="1">IFERROR(__xludf.DUMMYFUNCTION("""COMPUTED_VALUE"""),215.55)</f>
        <v>215.55</v>
      </c>
      <c r="D1778" s="1">
        <f ca="1">IFERROR(__xludf.DUMMYFUNCTION("""COMPUTED_VALUE"""),202)</f>
        <v>202</v>
      </c>
      <c r="E1778" s="1">
        <f ca="1">IFERROR(__xludf.DUMMYFUNCTION("""COMPUTED_VALUE"""),207.28)</f>
        <v>207.28</v>
      </c>
      <c r="F1778" s="1">
        <f ca="1">IFERROR(__xludf.DUMMYFUNCTION("""COMPUTED_VALUE"""),117798062)</f>
        <v>117798062</v>
      </c>
    </row>
    <row r="1779" spans="1:6" x14ac:dyDescent="0.2">
      <c r="A1779" s="2">
        <f ca="1">IFERROR(__xludf.DUMMYFUNCTION("""COMPUTED_VALUE"""),44855.6666666666)</f>
        <v>44855.666666666599</v>
      </c>
      <c r="B1779" s="1">
        <f ca="1">IFERROR(__xludf.DUMMYFUNCTION("""COMPUTED_VALUE"""),206.42)</f>
        <v>206.42</v>
      </c>
      <c r="C1779" s="1">
        <f ca="1">IFERROR(__xludf.DUMMYFUNCTION("""COMPUTED_VALUE"""),214.66)</f>
        <v>214.66</v>
      </c>
      <c r="D1779" s="1">
        <f ca="1">IFERROR(__xludf.DUMMYFUNCTION("""COMPUTED_VALUE"""),203.8)</f>
        <v>203.8</v>
      </c>
      <c r="E1779" s="1">
        <f ca="1">IFERROR(__xludf.DUMMYFUNCTION("""COMPUTED_VALUE"""),214.44)</f>
        <v>214.44</v>
      </c>
      <c r="F1779" s="1">
        <f ca="1">IFERROR(__xludf.DUMMYFUNCTION("""COMPUTED_VALUE"""),75713754)</f>
        <v>75713754</v>
      </c>
    </row>
    <row r="1780" spans="1:6" x14ac:dyDescent="0.2">
      <c r="A1780" s="2">
        <f ca="1">IFERROR(__xludf.DUMMYFUNCTION("""COMPUTED_VALUE"""),44858.6666666666)</f>
        <v>44858.666666666599</v>
      </c>
      <c r="B1780" s="1">
        <f ca="1">IFERROR(__xludf.DUMMYFUNCTION("""COMPUTED_VALUE"""),205.82)</f>
        <v>205.82</v>
      </c>
      <c r="C1780" s="1">
        <f ca="1">IFERROR(__xludf.DUMMYFUNCTION("""COMPUTED_VALUE"""),213.5)</f>
        <v>213.5</v>
      </c>
      <c r="D1780" s="1">
        <f ca="1">IFERROR(__xludf.DUMMYFUNCTION("""COMPUTED_VALUE"""),198.59)</f>
        <v>198.59</v>
      </c>
      <c r="E1780" s="1">
        <f ca="1">IFERROR(__xludf.DUMMYFUNCTION("""COMPUTED_VALUE"""),211.25)</f>
        <v>211.25</v>
      </c>
      <c r="F1780" s="1">
        <f ca="1">IFERROR(__xludf.DUMMYFUNCTION("""COMPUTED_VALUE"""),100446765)</f>
        <v>100446765</v>
      </c>
    </row>
    <row r="1781" spans="1:6" x14ac:dyDescent="0.2">
      <c r="A1781" s="2">
        <f ca="1">IFERROR(__xludf.DUMMYFUNCTION("""COMPUTED_VALUE"""),44859.6666666666)</f>
        <v>44859.666666666599</v>
      </c>
      <c r="B1781" s="1">
        <f ca="1">IFERROR(__xludf.DUMMYFUNCTION("""COMPUTED_VALUE"""),210.1)</f>
        <v>210.1</v>
      </c>
      <c r="C1781" s="1">
        <f ca="1">IFERROR(__xludf.DUMMYFUNCTION("""COMPUTED_VALUE"""),224.35)</f>
        <v>224.35</v>
      </c>
      <c r="D1781" s="1">
        <f ca="1">IFERROR(__xludf.DUMMYFUNCTION("""COMPUTED_VALUE"""),210)</f>
        <v>210</v>
      </c>
      <c r="E1781" s="1">
        <f ca="1">IFERROR(__xludf.DUMMYFUNCTION("""COMPUTED_VALUE"""),222.42)</f>
        <v>222.42</v>
      </c>
      <c r="F1781" s="1">
        <f ca="1">IFERROR(__xludf.DUMMYFUNCTION("""COMPUTED_VALUE"""),96507870)</f>
        <v>96507870</v>
      </c>
    </row>
    <row r="1782" spans="1:6" x14ac:dyDescent="0.2">
      <c r="A1782" s="2">
        <f ca="1">IFERROR(__xludf.DUMMYFUNCTION("""COMPUTED_VALUE"""),44860.6666666666)</f>
        <v>44860.666666666599</v>
      </c>
      <c r="B1782" s="1">
        <f ca="1">IFERROR(__xludf.DUMMYFUNCTION("""COMPUTED_VALUE"""),219.4)</f>
        <v>219.4</v>
      </c>
      <c r="C1782" s="1">
        <f ca="1">IFERROR(__xludf.DUMMYFUNCTION("""COMPUTED_VALUE"""),230.6)</f>
        <v>230.6</v>
      </c>
      <c r="D1782" s="1">
        <f ca="1">IFERROR(__xludf.DUMMYFUNCTION("""COMPUTED_VALUE"""),218.2)</f>
        <v>218.2</v>
      </c>
      <c r="E1782" s="1">
        <f ca="1">IFERROR(__xludf.DUMMYFUNCTION("""COMPUTED_VALUE"""),224.64)</f>
        <v>224.64</v>
      </c>
      <c r="F1782" s="1">
        <f ca="1">IFERROR(__xludf.DUMMYFUNCTION("""COMPUTED_VALUE"""),85327078)</f>
        <v>85327078</v>
      </c>
    </row>
    <row r="1783" spans="1:6" x14ac:dyDescent="0.2">
      <c r="A1783" s="2">
        <f ca="1">IFERROR(__xludf.DUMMYFUNCTION("""COMPUTED_VALUE"""),44861.6666666666)</f>
        <v>44861.666666666599</v>
      </c>
      <c r="B1783" s="1">
        <f ca="1">IFERROR(__xludf.DUMMYFUNCTION("""COMPUTED_VALUE"""),229.77)</f>
        <v>229.77</v>
      </c>
      <c r="C1783" s="1">
        <f ca="1">IFERROR(__xludf.DUMMYFUNCTION("""COMPUTED_VALUE"""),233.81)</f>
        <v>233.81</v>
      </c>
      <c r="D1783" s="1">
        <f ca="1">IFERROR(__xludf.DUMMYFUNCTION("""COMPUTED_VALUE"""),222.85)</f>
        <v>222.85</v>
      </c>
      <c r="E1783" s="1">
        <f ca="1">IFERROR(__xludf.DUMMYFUNCTION("""COMPUTED_VALUE"""),225.09)</f>
        <v>225.09</v>
      </c>
      <c r="F1783" s="1">
        <f ca="1">IFERROR(__xludf.DUMMYFUNCTION("""COMPUTED_VALUE"""),61638824)</f>
        <v>61638824</v>
      </c>
    </row>
    <row r="1784" spans="1:6" x14ac:dyDescent="0.2">
      <c r="A1784" s="2">
        <f ca="1">IFERROR(__xludf.DUMMYFUNCTION("""COMPUTED_VALUE"""),44862.6666666666)</f>
        <v>44862.666666666599</v>
      </c>
      <c r="B1784" s="1">
        <f ca="1">IFERROR(__xludf.DUMMYFUNCTION("""COMPUTED_VALUE"""),225.4)</f>
        <v>225.4</v>
      </c>
      <c r="C1784" s="1">
        <f ca="1">IFERROR(__xludf.DUMMYFUNCTION("""COMPUTED_VALUE"""),228.86)</f>
        <v>228.86</v>
      </c>
      <c r="D1784" s="1">
        <f ca="1">IFERROR(__xludf.DUMMYFUNCTION("""COMPUTED_VALUE"""),216.35)</f>
        <v>216.35</v>
      </c>
      <c r="E1784" s="1">
        <f ca="1">IFERROR(__xludf.DUMMYFUNCTION("""COMPUTED_VALUE"""),228.52)</f>
        <v>228.52</v>
      </c>
      <c r="F1784" s="1">
        <f ca="1">IFERROR(__xludf.DUMMYFUNCTION("""COMPUTED_VALUE"""),69152386)</f>
        <v>69152386</v>
      </c>
    </row>
    <row r="1785" spans="1:6" x14ac:dyDescent="0.2">
      <c r="A1785" s="2">
        <f ca="1">IFERROR(__xludf.DUMMYFUNCTION("""COMPUTED_VALUE"""),44865.6666666666)</f>
        <v>44865.666666666599</v>
      </c>
      <c r="B1785" s="1">
        <f ca="1">IFERROR(__xludf.DUMMYFUNCTION("""COMPUTED_VALUE"""),226.19)</f>
        <v>226.19</v>
      </c>
      <c r="C1785" s="1">
        <f ca="1">IFERROR(__xludf.DUMMYFUNCTION("""COMPUTED_VALUE"""),229.85)</f>
        <v>229.85</v>
      </c>
      <c r="D1785" s="1">
        <f ca="1">IFERROR(__xludf.DUMMYFUNCTION("""COMPUTED_VALUE"""),221.94)</f>
        <v>221.94</v>
      </c>
      <c r="E1785" s="1">
        <f ca="1">IFERROR(__xludf.DUMMYFUNCTION("""COMPUTED_VALUE"""),227.54)</f>
        <v>227.54</v>
      </c>
      <c r="F1785" s="1">
        <f ca="1">IFERROR(__xludf.DUMMYFUNCTION("""COMPUTED_VALUE"""),61554341)</f>
        <v>61554341</v>
      </c>
    </row>
    <row r="1786" spans="1:6" x14ac:dyDescent="0.2">
      <c r="A1786" s="2">
        <f ca="1">IFERROR(__xludf.DUMMYFUNCTION("""COMPUTED_VALUE"""),44866.6666666666)</f>
        <v>44866.666666666599</v>
      </c>
      <c r="B1786" s="1">
        <f ca="1">IFERROR(__xludf.DUMMYFUNCTION("""COMPUTED_VALUE"""),234.05)</f>
        <v>234.05</v>
      </c>
      <c r="C1786" s="1">
        <f ca="1">IFERROR(__xludf.DUMMYFUNCTION("""COMPUTED_VALUE"""),237.4)</f>
        <v>237.4</v>
      </c>
      <c r="D1786" s="1">
        <f ca="1">IFERROR(__xludf.DUMMYFUNCTION("""COMPUTED_VALUE"""),227.28)</f>
        <v>227.28</v>
      </c>
      <c r="E1786" s="1">
        <f ca="1">IFERROR(__xludf.DUMMYFUNCTION("""COMPUTED_VALUE"""),227.82)</f>
        <v>227.82</v>
      </c>
      <c r="F1786" s="1">
        <f ca="1">IFERROR(__xludf.DUMMYFUNCTION("""COMPUTED_VALUE"""),62688822)</f>
        <v>62688822</v>
      </c>
    </row>
    <row r="1787" spans="1:6" x14ac:dyDescent="0.2">
      <c r="A1787" s="2">
        <f ca="1">IFERROR(__xludf.DUMMYFUNCTION("""COMPUTED_VALUE"""),44867.6666666666)</f>
        <v>44867.666666666599</v>
      </c>
      <c r="B1787" s="1">
        <f ca="1">IFERROR(__xludf.DUMMYFUNCTION("""COMPUTED_VALUE"""),226.04)</f>
        <v>226.04</v>
      </c>
      <c r="C1787" s="1">
        <f ca="1">IFERROR(__xludf.DUMMYFUNCTION("""COMPUTED_VALUE"""),227.87)</f>
        <v>227.87</v>
      </c>
      <c r="D1787" s="1">
        <f ca="1">IFERROR(__xludf.DUMMYFUNCTION("""COMPUTED_VALUE"""),214.82)</f>
        <v>214.82</v>
      </c>
      <c r="E1787" s="1">
        <f ca="1">IFERROR(__xludf.DUMMYFUNCTION("""COMPUTED_VALUE"""),214.98)</f>
        <v>214.98</v>
      </c>
      <c r="F1787" s="1">
        <f ca="1">IFERROR(__xludf.DUMMYFUNCTION("""COMPUTED_VALUE"""),63070293)</f>
        <v>63070293</v>
      </c>
    </row>
    <row r="1788" spans="1:6" x14ac:dyDescent="0.2">
      <c r="A1788" s="2">
        <f ca="1">IFERROR(__xludf.DUMMYFUNCTION("""COMPUTED_VALUE"""),44868.6666666666)</f>
        <v>44868.666666666599</v>
      </c>
      <c r="B1788" s="1">
        <f ca="1">IFERROR(__xludf.DUMMYFUNCTION("""COMPUTED_VALUE"""),211.36)</f>
        <v>211.36</v>
      </c>
      <c r="C1788" s="1">
        <f ca="1">IFERROR(__xludf.DUMMYFUNCTION("""COMPUTED_VALUE"""),221.2)</f>
        <v>221.2</v>
      </c>
      <c r="D1788" s="1">
        <f ca="1">IFERROR(__xludf.DUMMYFUNCTION("""COMPUTED_VALUE"""),210.14)</f>
        <v>210.14</v>
      </c>
      <c r="E1788" s="1">
        <f ca="1">IFERROR(__xludf.DUMMYFUNCTION("""COMPUTED_VALUE"""),215.31)</f>
        <v>215.31</v>
      </c>
      <c r="F1788" s="1">
        <f ca="1">IFERROR(__xludf.DUMMYFUNCTION("""COMPUTED_VALUE"""),56538848)</f>
        <v>56538848</v>
      </c>
    </row>
    <row r="1789" spans="1:6" x14ac:dyDescent="0.2">
      <c r="A1789" s="2">
        <f ca="1">IFERROR(__xludf.DUMMYFUNCTION("""COMPUTED_VALUE"""),44869.6666666666)</f>
        <v>44869.666666666599</v>
      </c>
      <c r="B1789" s="1">
        <f ca="1">IFERROR(__xludf.DUMMYFUNCTION("""COMPUTED_VALUE"""),222.6)</f>
        <v>222.6</v>
      </c>
      <c r="C1789" s="1">
        <f ca="1">IFERROR(__xludf.DUMMYFUNCTION("""COMPUTED_VALUE"""),223.8)</f>
        <v>223.8</v>
      </c>
      <c r="D1789" s="1">
        <f ca="1">IFERROR(__xludf.DUMMYFUNCTION("""COMPUTED_VALUE"""),203.08)</f>
        <v>203.08</v>
      </c>
      <c r="E1789" s="1">
        <f ca="1">IFERROR(__xludf.DUMMYFUNCTION("""COMPUTED_VALUE"""),207.47)</f>
        <v>207.47</v>
      </c>
      <c r="F1789" s="1">
        <f ca="1">IFERROR(__xludf.DUMMYFUNCTION("""COMPUTED_VALUE"""),98622212)</f>
        <v>98622212</v>
      </c>
    </row>
    <row r="1790" spans="1:6" x14ac:dyDescent="0.2">
      <c r="A1790" s="2">
        <f ca="1">IFERROR(__xludf.DUMMYFUNCTION("""COMPUTED_VALUE"""),44872.6666666666)</f>
        <v>44872.666666666599</v>
      </c>
      <c r="B1790" s="1">
        <f ca="1">IFERROR(__xludf.DUMMYFUNCTION("""COMPUTED_VALUE"""),208.65)</f>
        <v>208.65</v>
      </c>
      <c r="C1790" s="1">
        <f ca="1">IFERROR(__xludf.DUMMYFUNCTION("""COMPUTED_VALUE"""),208.9)</f>
        <v>208.9</v>
      </c>
      <c r="D1790" s="1">
        <f ca="1">IFERROR(__xludf.DUMMYFUNCTION("""COMPUTED_VALUE"""),196.66)</f>
        <v>196.66</v>
      </c>
      <c r="E1790" s="1">
        <f ca="1">IFERROR(__xludf.DUMMYFUNCTION("""COMPUTED_VALUE"""),197.08)</f>
        <v>197.08</v>
      </c>
      <c r="F1790" s="1">
        <f ca="1">IFERROR(__xludf.DUMMYFUNCTION("""COMPUTED_VALUE"""),93916520)</f>
        <v>93916520</v>
      </c>
    </row>
    <row r="1791" spans="1:6" x14ac:dyDescent="0.2">
      <c r="A1791" s="2">
        <f ca="1">IFERROR(__xludf.DUMMYFUNCTION("""COMPUTED_VALUE"""),44873.6666666666)</f>
        <v>44873.666666666599</v>
      </c>
      <c r="B1791" s="1">
        <f ca="1">IFERROR(__xludf.DUMMYFUNCTION("""COMPUTED_VALUE"""),194.02)</f>
        <v>194.02</v>
      </c>
      <c r="C1791" s="1">
        <f ca="1">IFERROR(__xludf.DUMMYFUNCTION("""COMPUTED_VALUE"""),195.2)</f>
        <v>195.2</v>
      </c>
      <c r="D1791" s="1">
        <f ca="1">IFERROR(__xludf.DUMMYFUNCTION("""COMPUTED_VALUE"""),186.75)</f>
        <v>186.75</v>
      </c>
      <c r="E1791" s="1">
        <f ca="1">IFERROR(__xludf.DUMMYFUNCTION("""COMPUTED_VALUE"""),191.3)</f>
        <v>191.3</v>
      </c>
      <c r="F1791" s="1">
        <f ca="1">IFERROR(__xludf.DUMMYFUNCTION("""COMPUTED_VALUE"""),128803404)</f>
        <v>128803404</v>
      </c>
    </row>
    <row r="1792" spans="1:6" x14ac:dyDescent="0.2">
      <c r="A1792" s="2">
        <f ca="1">IFERROR(__xludf.DUMMYFUNCTION("""COMPUTED_VALUE"""),44874.6666666666)</f>
        <v>44874.666666666599</v>
      </c>
      <c r="B1792" s="1">
        <f ca="1">IFERROR(__xludf.DUMMYFUNCTION("""COMPUTED_VALUE"""),190.78)</f>
        <v>190.78</v>
      </c>
      <c r="C1792" s="1">
        <f ca="1">IFERROR(__xludf.DUMMYFUNCTION("""COMPUTED_VALUE"""),195.89)</f>
        <v>195.89</v>
      </c>
      <c r="D1792" s="1">
        <f ca="1">IFERROR(__xludf.DUMMYFUNCTION("""COMPUTED_VALUE"""),177.12)</f>
        <v>177.12</v>
      </c>
      <c r="E1792" s="1">
        <f ca="1">IFERROR(__xludf.DUMMYFUNCTION("""COMPUTED_VALUE"""),177.59)</f>
        <v>177.59</v>
      </c>
      <c r="F1792" s="1">
        <f ca="1">IFERROR(__xludf.DUMMYFUNCTION("""COMPUTED_VALUE"""),127062659)</f>
        <v>127062659</v>
      </c>
    </row>
    <row r="1793" spans="1:6" x14ac:dyDescent="0.2">
      <c r="A1793" s="2">
        <f ca="1">IFERROR(__xludf.DUMMYFUNCTION("""COMPUTED_VALUE"""),44875.6666666666)</f>
        <v>44875.666666666599</v>
      </c>
      <c r="B1793" s="1">
        <f ca="1">IFERROR(__xludf.DUMMYFUNCTION("""COMPUTED_VALUE"""),189.9)</f>
        <v>189.9</v>
      </c>
      <c r="C1793" s="1">
        <f ca="1">IFERROR(__xludf.DUMMYFUNCTION("""COMPUTED_VALUE"""),191)</f>
        <v>191</v>
      </c>
      <c r="D1793" s="1">
        <f ca="1">IFERROR(__xludf.DUMMYFUNCTION("""COMPUTED_VALUE"""),180.03)</f>
        <v>180.03</v>
      </c>
      <c r="E1793" s="1">
        <f ca="1">IFERROR(__xludf.DUMMYFUNCTION("""COMPUTED_VALUE"""),190.72)</f>
        <v>190.72</v>
      </c>
      <c r="F1793" s="1">
        <f ca="1">IFERROR(__xludf.DUMMYFUNCTION("""COMPUTED_VALUE"""),132703015)</f>
        <v>132703015</v>
      </c>
    </row>
    <row r="1794" spans="1:6" x14ac:dyDescent="0.2">
      <c r="A1794" s="2">
        <f ca="1">IFERROR(__xludf.DUMMYFUNCTION("""COMPUTED_VALUE"""),44876.6666666666)</f>
        <v>44876.666666666599</v>
      </c>
      <c r="B1794" s="1">
        <f ca="1">IFERROR(__xludf.DUMMYFUNCTION("""COMPUTED_VALUE"""),186)</f>
        <v>186</v>
      </c>
      <c r="C1794" s="1">
        <f ca="1">IFERROR(__xludf.DUMMYFUNCTION("""COMPUTED_VALUE"""),196.52)</f>
        <v>196.52</v>
      </c>
      <c r="D1794" s="1">
        <f ca="1">IFERROR(__xludf.DUMMYFUNCTION("""COMPUTED_VALUE"""),182.59)</f>
        <v>182.59</v>
      </c>
      <c r="E1794" s="1">
        <f ca="1">IFERROR(__xludf.DUMMYFUNCTION("""COMPUTED_VALUE"""),195.97)</f>
        <v>195.97</v>
      </c>
      <c r="F1794" s="1">
        <f ca="1">IFERROR(__xludf.DUMMYFUNCTION("""COMPUTED_VALUE"""),114403575)</f>
        <v>114403575</v>
      </c>
    </row>
    <row r="1795" spans="1:6" x14ac:dyDescent="0.2">
      <c r="A1795" s="2">
        <f ca="1">IFERROR(__xludf.DUMMYFUNCTION("""COMPUTED_VALUE"""),44879.6666666666)</f>
        <v>44879.666666666599</v>
      </c>
      <c r="B1795" s="1">
        <f ca="1">IFERROR(__xludf.DUMMYFUNCTION("""COMPUTED_VALUE"""),192.77)</f>
        <v>192.77</v>
      </c>
      <c r="C1795" s="1">
        <f ca="1">IFERROR(__xludf.DUMMYFUNCTION("""COMPUTED_VALUE"""),195.73)</f>
        <v>195.73</v>
      </c>
      <c r="D1795" s="1">
        <f ca="1">IFERROR(__xludf.DUMMYFUNCTION("""COMPUTED_VALUE"""),186.34)</f>
        <v>186.34</v>
      </c>
      <c r="E1795" s="1">
        <f ca="1">IFERROR(__xludf.DUMMYFUNCTION("""COMPUTED_VALUE"""),190.95)</f>
        <v>190.95</v>
      </c>
      <c r="F1795" s="1">
        <f ca="1">IFERROR(__xludf.DUMMYFUNCTION("""COMPUTED_VALUE"""),92226649)</f>
        <v>92226649</v>
      </c>
    </row>
    <row r="1796" spans="1:6" x14ac:dyDescent="0.2">
      <c r="A1796" s="2">
        <f ca="1">IFERROR(__xludf.DUMMYFUNCTION("""COMPUTED_VALUE"""),44880.6666666666)</f>
        <v>44880.666666666599</v>
      </c>
      <c r="B1796" s="1">
        <f ca="1">IFERROR(__xludf.DUMMYFUNCTION("""COMPUTED_VALUE"""),195.88)</f>
        <v>195.88</v>
      </c>
      <c r="C1796" s="1">
        <f ca="1">IFERROR(__xludf.DUMMYFUNCTION("""COMPUTED_VALUE"""),200.82)</f>
        <v>200.82</v>
      </c>
      <c r="D1796" s="1">
        <f ca="1">IFERROR(__xludf.DUMMYFUNCTION("""COMPUTED_VALUE"""),192.06)</f>
        <v>192.06</v>
      </c>
      <c r="E1796" s="1">
        <f ca="1">IFERROR(__xludf.DUMMYFUNCTION("""COMPUTED_VALUE"""),194.42)</f>
        <v>194.42</v>
      </c>
      <c r="F1796" s="1">
        <f ca="1">IFERROR(__xludf.DUMMYFUNCTION("""COMPUTED_VALUE"""),91293785)</f>
        <v>91293785</v>
      </c>
    </row>
    <row r="1797" spans="1:6" x14ac:dyDescent="0.2">
      <c r="A1797" s="2">
        <f ca="1">IFERROR(__xludf.DUMMYFUNCTION("""COMPUTED_VALUE"""),44881.6666666666)</f>
        <v>44881.666666666599</v>
      </c>
      <c r="B1797" s="1">
        <f ca="1">IFERROR(__xludf.DUMMYFUNCTION("""COMPUTED_VALUE"""),191.51)</f>
        <v>191.51</v>
      </c>
      <c r="C1797" s="1">
        <f ca="1">IFERROR(__xludf.DUMMYFUNCTION("""COMPUTED_VALUE"""),192.57)</f>
        <v>192.57</v>
      </c>
      <c r="D1797" s="1">
        <f ca="1">IFERROR(__xludf.DUMMYFUNCTION("""COMPUTED_VALUE"""),185.66)</f>
        <v>185.66</v>
      </c>
      <c r="E1797" s="1">
        <f ca="1">IFERROR(__xludf.DUMMYFUNCTION("""COMPUTED_VALUE"""),186.92)</f>
        <v>186.92</v>
      </c>
      <c r="F1797" s="1">
        <f ca="1">IFERROR(__xludf.DUMMYFUNCTION("""COMPUTED_VALUE"""),66567599)</f>
        <v>66567599</v>
      </c>
    </row>
    <row r="1798" spans="1:6" x14ac:dyDescent="0.2">
      <c r="A1798" s="2">
        <f ca="1">IFERROR(__xludf.DUMMYFUNCTION("""COMPUTED_VALUE"""),44882.6666666666)</f>
        <v>44882.666666666599</v>
      </c>
      <c r="B1798" s="1">
        <f ca="1">IFERROR(__xludf.DUMMYFUNCTION("""COMPUTED_VALUE"""),183.96)</f>
        <v>183.96</v>
      </c>
      <c r="C1798" s="1">
        <f ca="1">IFERROR(__xludf.DUMMYFUNCTION("""COMPUTED_VALUE"""),186.16)</f>
        <v>186.16</v>
      </c>
      <c r="D1798" s="1">
        <f ca="1">IFERROR(__xludf.DUMMYFUNCTION("""COMPUTED_VALUE"""),180.9)</f>
        <v>180.9</v>
      </c>
      <c r="E1798" s="1">
        <f ca="1">IFERROR(__xludf.DUMMYFUNCTION("""COMPUTED_VALUE"""),183.17)</f>
        <v>183.17</v>
      </c>
      <c r="F1798" s="1">
        <f ca="1">IFERROR(__xludf.DUMMYFUNCTION("""COMPUTED_VALUE"""),64335970)</f>
        <v>64335970</v>
      </c>
    </row>
    <row r="1799" spans="1:6" x14ac:dyDescent="0.2">
      <c r="A1799" s="2">
        <f ca="1">IFERROR(__xludf.DUMMYFUNCTION("""COMPUTED_VALUE"""),44883.6666666666)</f>
        <v>44883.666666666599</v>
      </c>
      <c r="B1799" s="1">
        <f ca="1">IFERROR(__xludf.DUMMYFUNCTION("""COMPUTED_VALUE"""),185.05)</f>
        <v>185.05</v>
      </c>
      <c r="C1799" s="1">
        <f ca="1">IFERROR(__xludf.DUMMYFUNCTION("""COMPUTED_VALUE"""),185.19)</f>
        <v>185.19</v>
      </c>
      <c r="D1799" s="1">
        <f ca="1">IFERROR(__xludf.DUMMYFUNCTION("""COMPUTED_VALUE"""),176.55)</f>
        <v>176.55</v>
      </c>
      <c r="E1799" s="1">
        <f ca="1">IFERROR(__xludf.DUMMYFUNCTION("""COMPUTED_VALUE"""),180.19)</f>
        <v>180.19</v>
      </c>
      <c r="F1799" s="1">
        <f ca="1">IFERROR(__xludf.DUMMYFUNCTION("""COMPUTED_VALUE"""),76048866)</f>
        <v>76048866</v>
      </c>
    </row>
    <row r="1800" spans="1:6" x14ac:dyDescent="0.2">
      <c r="A1800" s="2">
        <f ca="1">IFERROR(__xludf.DUMMYFUNCTION("""COMPUTED_VALUE"""),44886.6666666666)</f>
        <v>44886.666666666599</v>
      </c>
      <c r="B1800" s="1">
        <f ca="1">IFERROR(__xludf.DUMMYFUNCTION("""COMPUTED_VALUE"""),175.85)</f>
        <v>175.85</v>
      </c>
      <c r="C1800" s="1">
        <f ca="1">IFERROR(__xludf.DUMMYFUNCTION("""COMPUTED_VALUE"""),176.77)</f>
        <v>176.77</v>
      </c>
      <c r="D1800" s="1">
        <f ca="1">IFERROR(__xludf.DUMMYFUNCTION("""COMPUTED_VALUE"""),167.54)</f>
        <v>167.54</v>
      </c>
      <c r="E1800" s="1">
        <f ca="1">IFERROR(__xludf.DUMMYFUNCTION("""COMPUTED_VALUE"""),167.87)</f>
        <v>167.87</v>
      </c>
      <c r="F1800" s="1">
        <f ca="1">IFERROR(__xludf.DUMMYFUNCTION("""COMPUTED_VALUE"""),92882712)</f>
        <v>92882712</v>
      </c>
    </row>
    <row r="1801" spans="1:6" x14ac:dyDescent="0.2">
      <c r="A1801" s="2">
        <f ca="1">IFERROR(__xludf.DUMMYFUNCTION("""COMPUTED_VALUE"""),44887.6666666666)</f>
        <v>44887.666666666599</v>
      </c>
      <c r="B1801" s="1">
        <f ca="1">IFERROR(__xludf.DUMMYFUNCTION("""COMPUTED_VALUE"""),168.63)</f>
        <v>168.63</v>
      </c>
      <c r="C1801" s="1">
        <f ca="1">IFERROR(__xludf.DUMMYFUNCTION("""COMPUTED_VALUE"""),170.92)</f>
        <v>170.92</v>
      </c>
      <c r="D1801" s="1">
        <f ca="1">IFERROR(__xludf.DUMMYFUNCTION("""COMPUTED_VALUE"""),166.19)</f>
        <v>166.19</v>
      </c>
      <c r="E1801" s="1">
        <f ca="1">IFERROR(__xludf.DUMMYFUNCTION("""COMPUTED_VALUE"""),169.91)</f>
        <v>169.91</v>
      </c>
      <c r="F1801" s="1">
        <f ca="1">IFERROR(__xludf.DUMMYFUNCTION("""COMPUTED_VALUE"""),78452327)</f>
        <v>78452327</v>
      </c>
    </row>
    <row r="1802" spans="1:6" x14ac:dyDescent="0.2">
      <c r="A1802" s="2">
        <f ca="1">IFERROR(__xludf.DUMMYFUNCTION("""COMPUTED_VALUE"""),44888.6666666666)</f>
        <v>44888.666666666599</v>
      </c>
      <c r="B1802" s="1">
        <f ca="1">IFERROR(__xludf.DUMMYFUNCTION("""COMPUTED_VALUE"""),173.57)</f>
        <v>173.57</v>
      </c>
      <c r="C1802" s="1">
        <f ca="1">IFERROR(__xludf.DUMMYFUNCTION("""COMPUTED_VALUE"""),183.62)</f>
        <v>183.62</v>
      </c>
      <c r="D1802" s="1">
        <f ca="1">IFERROR(__xludf.DUMMYFUNCTION("""COMPUTED_VALUE"""),172.5)</f>
        <v>172.5</v>
      </c>
      <c r="E1802" s="1">
        <f ca="1">IFERROR(__xludf.DUMMYFUNCTION("""COMPUTED_VALUE"""),183.2)</f>
        <v>183.2</v>
      </c>
      <c r="F1802" s="1">
        <f ca="1">IFERROR(__xludf.DUMMYFUNCTION("""COMPUTED_VALUE"""),109536709)</f>
        <v>109536709</v>
      </c>
    </row>
    <row r="1803" spans="1:6" x14ac:dyDescent="0.2">
      <c r="A1803" s="2">
        <f ca="1">IFERROR(__xludf.DUMMYFUNCTION("""COMPUTED_VALUE"""),44890.5451388888)</f>
        <v>44890.545138888803</v>
      </c>
      <c r="B1803" s="1">
        <f ca="1">IFERROR(__xludf.DUMMYFUNCTION("""COMPUTED_VALUE"""),185.06)</f>
        <v>185.06</v>
      </c>
      <c r="C1803" s="1">
        <f ca="1">IFERROR(__xludf.DUMMYFUNCTION("""COMPUTED_VALUE"""),185.2)</f>
        <v>185.2</v>
      </c>
      <c r="D1803" s="1">
        <f ca="1">IFERROR(__xludf.DUMMYFUNCTION("""COMPUTED_VALUE"""),180.63)</f>
        <v>180.63</v>
      </c>
      <c r="E1803" s="1">
        <f ca="1">IFERROR(__xludf.DUMMYFUNCTION("""COMPUTED_VALUE"""),182.86)</f>
        <v>182.86</v>
      </c>
      <c r="F1803" s="1">
        <f ca="1">IFERROR(__xludf.DUMMYFUNCTION("""COMPUTED_VALUE"""),50672739)</f>
        <v>50672739</v>
      </c>
    </row>
    <row r="1804" spans="1:6" x14ac:dyDescent="0.2">
      <c r="A1804" s="2">
        <f ca="1">IFERROR(__xludf.DUMMYFUNCTION("""COMPUTED_VALUE"""),44893.6666666666)</f>
        <v>44893.666666666599</v>
      </c>
      <c r="B1804" s="1">
        <f ca="1">IFERROR(__xludf.DUMMYFUNCTION("""COMPUTED_VALUE"""),179.96)</f>
        <v>179.96</v>
      </c>
      <c r="C1804" s="1">
        <f ca="1">IFERROR(__xludf.DUMMYFUNCTION("""COMPUTED_VALUE"""),188.5)</f>
        <v>188.5</v>
      </c>
      <c r="D1804" s="1">
        <f ca="1">IFERROR(__xludf.DUMMYFUNCTION("""COMPUTED_VALUE"""),179)</f>
        <v>179</v>
      </c>
      <c r="E1804" s="1">
        <f ca="1">IFERROR(__xludf.DUMMYFUNCTION("""COMPUTED_VALUE"""),182.92)</f>
        <v>182.92</v>
      </c>
      <c r="F1804" s="1">
        <f ca="1">IFERROR(__xludf.DUMMYFUNCTION("""COMPUTED_VALUE"""),93038148)</f>
        <v>93038148</v>
      </c>
    </row>
    <row r="1805" spans="1:6" x14ac:dyDescent="0.2">
      <c r="A1805" s="2">
        <f ca="1">IFERROR(__xludf.DUMMYFUNCTION("""COMPUTED_VALUE"""),44894.6666666666)</f>
        <v>44894.666666666599</v>
      </c>
      <c r="B1805" s="1">
        <f ca="1">IFERROR(__xludf.DUMMYFUNCTION("""COMPUTED_VALUE"""),184.99)</f>
        <v>184.99</v>
      </c>
      <c r="C1805" s="1">
        <f ca="1">IFERROR(__xludf.DUMMYFUNCTION("""COMPUTED_VALUE"""),186.38)</f>
        <v>186.38</v>
      </c>
      <c r="D1805" s="1">
        <f ca="1">IFERROR(__xludf.DUMMYFUNCTION("""COMPUTED_VALUE"""),178.75)</f>
        <v>178.75</v>
      </c>
      <c r="E1805" s="1">
        <f ca="1">IFERROR(__xludf.DUMMYFUNCTION("""COMPUTED_VALUE"""),180.83)</f>
        <v>180.83</v>
      </c>
      <c r="F1805" s="1">
        <f ca="1">IFERROR(__xludf.DUMMYFUNCTION("""COMPUTED_VALUE"""),83357111)</f>
        <v>83357111</v>
      </c>
    </row>
    <row r="1806" spans="1:6" x14ac:dyDescent="0.2">
      <c r="A1806" s="2">
        <f ca="1">IFERROR(__xludf.DUMMYFUNCTION("""COMPUTED_VALUE"""),44895.6666666666)</f>
        <v>44895.666666666599</v>
      </c>
      <c r="B1806" s="1">
        <f ca="1">IFERROR(__xludf.DUMMYFUNCTION("""COMPUTED_VALUE"""),182.43)</f>
        <v>182.43</v>
      </c>
      <c r="C1806" s="1">
        <f ca="1">IFERROR(__xludf.DUMMYFUNCTION("""COMPUTED_VALUE"""),194.76)</f>
        <v>194.76</v>
      </c>
      <c r="D1806" s="1">
        <f ca="1">IFERROR(__xludf.DUMMYFUNCTION("""COMPUTED_VALUE"""),180.63)</f>
        <v>180.63</v>
      </c>
      <c r="E1806" s="1">
        <f ca="1">IFERROR(__xludf.DUMMYFUNCTION("""COMPUTED_VALUE"""),194.7)</f>
        <v>194.7</v>
      </c>
      <c r="F1806" s="1">
        <f ca="1">IFERROR(__xludf.DUMMYFUNCTION("""COMPUTED_VALUE"""),109186404)</f>
        <v>109186404</v>
      </c>
    </row>
    <row r="1807" spans="1:6" x14ac:dyDescent="0.2">
      <c r="A1807" s="2">
        <f ca="1">IFERROR(__xludf.DUMMYFUNCTION("""COMPUTED_VALUE"""),44896.6666666666)</f>
        <v>44896.666666666599</v>
      </c>
      <c r="B1807" s="1">
        <f ca="1">IFERROR(__xludf.DUMMYFUNCTION("""COMPUTED_VALUE"""),197.08)</f>
        <v>197.08</v>
      </c>
      <c r="C1807" s="1">
        <f ca="1">IFERROR(__xludf.DUMMYFUNCTION("""COMPUTED_VALUE"""),198.92)</f>
        <v>198.92</v>
      </c>
      <c r="D1807" s="1">
        <f ca="1">IFERROR(__xludf.DUMMYFUNCTION("""COMPUTED_VALUE"""),191.8)</f>
        <v>191.8</v>
      </c>
      <c r="E1807" s="1">
        <f ca="1">IFERROR(__xludf.DUMMYFUNCTION("""COMPUTED_VALUE"""),194.7)</f>
        <v>194.7</v>
      </c>
      <c r="F1807" s="1">
        <f ca="1">IFERROR(__xludf.DUMMYFUNCTION("""COMPUTED_VALUE"""),80046213)</f>
        <v>80046213</v>
      </c>
    </row>
    <row r="1808" spans="1:6" x14ac:dyDescent="0.2">
      <c r="A1808" s="2">
        <f ca="1">IFERROR(__xludf.DUMMYFUNCTION("""COMPUTED_VALUE"""),44897.6666666666)</f>
        <v>44897.666666666599</v>
      </c>
      <c r="B1808" s="1">
        <f ca="1">IFERROR(__xludf.DUMMYFUNCTION("""COMPUTED_VALUE"""),191.78)</f>
        <v>191.78</v>
      </c>
      <c r="C1808" s="1">
        <f ca="1">IFERROR(__xludf.DUMMYFUNCTION("""COMPUTED_VALUE"""),196.25)</f>
        <v>196.25</v>
      </c>
      <c r="D1808" s="1">
        <f ca="1">IFERROR(__xludf.DUMMYFUNCTION("""COMPUTED_VALUE"""),191.11)</f>
        <v>191.11</v>
      </c>
      <c r="E1808" s="1">
        <f ca="1">IFERROR(__xludf.DUMMYFUNCTION("""COMPUTED_VALUE"""),194.86)</f>
        <v>194.86</v>
      </c>
      <c r="F1808" s="1">
        <f ca="1">IFERROR(__xludf.DUMMYFUNCTION("""COMPUTED_VALUE"""),73645922)</f>
        <v>73645922</v>
      </c>
    </row>
    <row r="1809" spans="1:6" x14ac:dyDescent="0.2">
      <c r="A1809" s="2">
        <f ca="1">IFERROR(__xludf.DUMMYFUNCTION("""COMPUTED_VALUE"""),44900.6666666666)</f>
        <v>44900.666666666599</v>
      </c>
      <c r="B1809" s="1">
        <f ca="1">IFERROR(__xludf.DUMMYFUNCTION("""COMPUTED_VALUE"""),189.44)</f>
        <v>189.44</v>
      </c>
      <c r="C1809" s="1">
        <f ca="1">IFERROR(__xludf.DUMMYFUNCTION("""COMPUTED_VALUE"""),191.27)</f>
        <v>191.27</v>
      </c>
      <c r="D1809" s="1">
        <f ca="1">IFERROR(__xludf.DUMMYFUNCTION("""COMPUTED_VALUE"""),180.55)</f>
        <v>180.55</v>
      </c>
      <c r="E1809" s="1">
        <f ca="1">IFERROR(__xludf.DUMMYFUNCTION("""COMPUTED_VALUE"""),182.45)</f>
        <v>182.45</v>
      </c>
      <c r="F1809" s="1">
        <f ca="1">IFERROR(__xludf.DUMMYFUNCTION("""COMPUTED_VALUE"""),93122667)</f>
        <v>93122667</v>
      </c>
    </row>
    <row r="1810" spans="1:6" x14ac:dyDescent="0.2">
      <c r="A1810" s="2">
        <f ca="1">IFERROR(__xludf.DUMMYFUNCTION("""COMPUTED_VALUE"""),44901.6666666666)</f>
        <v>44901.666666666599</v>
      </c>
      <c r="B1810" s="1">
        <f ca="1">IFERROR(__xludf.DUMMYFUNCTION("""COMPUTED_VALUE"""),181.22)</f>
        <v>181.22</v>
      </c>
      <c r="C1810" s="1">
        <f ca="1">IFERROR(__xludf.DUMMYFUNCTION("""COMPUTED_VALUE"""),183.65)</f>
        <v>183.65</v>
      </c>
      <c r="D1810" s="1">
        <f ca="1">IFERROR(__xludf.DUMMYFUNCTION("""COMPUTED_VALUE"""),175.33)</f>
        <v>175.33</v>
      </c>
      <c r="E1810" s="1">
        <f ca="1">IFERROR(__xludf.DUMMYFUNCTION("""COMPUTED_VALUE"""),179.82)</f>
        <v>179.82</v>
      </c>
      <c r="F1810" s="1">
        <f ca="1">IFERROR(__xludf.DUMMYFUNCTION("""COMPUTED_VALUE"""),92150823)</f>
        <v>92150823</v>
      </c>
    </row>
    <row r="1811" spans="1:6" x14ac:dyDescent="0.2">
      <c r="A1811" s="2">
        <f ca="1">IFERROR(__xludf.DUMMYFUNCTION("""COMPUTED_VALUE"""),44902.6666666666)</f>
        <v>44902.666666666599</v>
      </c>
      <c r="B1811" s="1">
        <f ca="1">IFERROR(__xludf.DUMMYFUNCTION("""COMPUTED_VALUE"""),175.03)</f>
        <v>175.03</v>
      </c>
      <c r="C1811" s="1">
        <f ca="1">IFERROR(__xludf.DUMMYFUNCTION("""COMPUTED_VALUE"""),179.38)</f>
        <v>179.38</v>
      </c>
      <c r="D1811" s="1">
        <f ca="1">IFERROR(__xludf.DUMMYFUNCTION("""COMPUTED_VALUE"""),172.22)</f>
        <v>172.22</v>
      </c>
      <c r="E1811" s="1">
        <f ca="1">IFERROR(__xludf.DUMMYFUNCTION("""COMPUTED_VALUE"""),174.04)</f>
        <v>174.04</v>
      </c>
      <c r="F1811" s="1">
        <f ca="1">IFERROR(__xludf.DUMMYFUNCTION("""COMPUTED_VALUE"""),84213284)</f>
        <v>84213284</v>
      </c>
    </row>
    <row r="1812" spans="1:6" x14ac:dyDescent="0.2">
      <c r="A1812" s="2">
        <f ca="1">IFERROR(__xludf.DUMMYFUNCTION("""COMPUTED_VALUE"""),44903.6666666666)</f>
        <v>44903.666666666599</v>
      </c>
      <c r="B1812" s="1">
        <f ca="1">IFERROR(__xludf.DUMMYFUNCTION("""COMPUTED_VALUE"""),172.2)</f>
        <v>172.2</v>
      </c>
      <c r="C1812" s="1">
        <f ca="1">IFERROR(__xludf.DUMMYFUNCTION("""COMPUTED_VALUE"""),175.2)</f>
        <v>175.2</v>
      </c>
      <c r="D1812" s="1">
        <f ca="1">IFERROR(__xludf.DUMMYFUNCTION("""COMPUTED_VALUE"""),169.06)</f>
        <v>169.06</v>
      </c>
      <c r="E1812" s="1">
        <f ca="1">IFERROR(__xludf.DUMMYFUNCTION("""COMPUTED_VALUE"""),173.44)</f>
        <v>173.44</v>
      </c>
      <c r="F1812" s="1">
        <f ca="1">IFERROR(__xludf.DUMMYFUNCTION("""COMPUTED_VALUE"""),97624491)</f>
        <v>97624491</v>
      </c>
    </row>
    <row r="1813" spans="1:6" x14ac:dyDescent="0.2">
      <c r="A1813" s="2">
        <f ca="1">IFERROR(__xludf.DUMMYFUNCTION("""COMPUTED_VALUE"""),44904.6666666666)</f>
        <v>44904.666666666599</v>
      </c>
      <c r="B1813" s="1">
        <f ca="1">IFERROR(__xludf.DUMMYFUNCTION("""COMPUTED_VALUE"""),173.84)</f>
        <v>173.84</v>
      </c>
      <c r="C1813" s="1">
        <f ca="1">IFERROR(__xludf.DUMMYFUNCTION("""COMPUTED_VALUE"""),182.5)</f>
        <v>182.5</v>
      </c>
      <c r="D1813" s="1">
        <f ca="1">IFERROR(__xludf.DUMMYFUNCTION("""COMPUTED_VALUE"""),173.36)</f>
        <v>173.36</v>
      </c>
      <c r="E1813" s="1">
        <f ca="1">IFERROR(__xludf.DUMMYFUNCTION("""COMPUTED_VALUE"""),179.05)</f>
        <v>179.05</v>
      </c>
      <c r="F1813" s="1">
        <f ca="1">IFERROR(__xludf.DUMMYFUNCTION("""COMPUTED_VALUE"""),104872336)</f>
        <v>104872336</v>
      </c>
    </row>
    <row r="1814" spans="1:6" x14ac:dyDescent="0.2">
      <c r="A1814" s="2">
        <f ca="1">IFERROR(__xludf.DUMMYFUNCTION("""COMPUTED_VALUE"""),44907.6666666666)</f>
        <v>44907.666666666599</v>
      </c>
      <c r="B1814" s="1">
        <f ca="1">IFERROR(__xludf.DUMMYFUNCTION("""COMPUTED_VALUE"""),176.1)</f>
        <v>176.1</v>
      </c>
      <c r="C1814" s="1">
        <f ca="1">IFERROR(__xludf.DUMMYFUNCTION("""COMPUTED_VALUE"""),177.37)</f>
        <v>177.37</v>
      </c>
      <c r="D1814" s="1">
        <f ca="1">IFERROR(__xludf.DUMMYFUNCTION("""COMPUTED_VALUE"""),167.52)</f>
        <v>167.52</v>
      </c>
      <c r="E1814" s="1">
        <f ca="1">IFERROR(__xludf.DUMMYFUNCTION("""COMPUTED_VALUE"""),167.82)</f>
        <v>167.82</v>
      </c>
      <c r="F1814" s="1">
        <f ca="1">IFERROR(__xludf.DUMMYFUNCTION("""COMPUTED_VALUE"""),109794471)</f>
        <v>109794471</v>
      </c>
    </row>
    <row r="1815" spans="1:6" x14ac:dyDescent="0.2">
      <c r="A1815" s="2">
        <f ca="1">IFERROR(__xludf.DUMMYFUNCTION("""COMPUTED_VALUE"""),44908.6666666666)</f>
        <v>44908.666666666599</v>
      </c>
      <c r="B1815" s="1">
        <f ca="1">IFERROR(__xludf.DUMMYFUNCTION("""COMPUTED_VALUE"""),174.87)</f>
        <v>174.87</v>
      </c>
      <c r="C1815" s="1">
        <f ca="1">IFERROR(__xludf.DUMMYFUNCTION("""COMPUTED_VALUE"""),175.05)</f>
        <v>175.05</v>
      </c>
      <c r="D1815" s="1">
        <f ca="1">IFERROR(__xludf.DUMMYFUNCTION("""COMPUTED_VALUE"""),156.91)</f>
        <v>156.91</v>
      </c>
      <c r="E1815" s="1">
        <f ca="1">IFERROR(__xludf.DUMMYFUNCTION("""COMPUTED_VALUE"""),160.95)</f>
        <v>160.94999999999999</v>
      </c>
      <c r="F1815" s="1">
        <f ca="1">IFERROR(__xludf.DUMMYFUNCTION("""COMPUTED_VALUE"""),175862722)</f>
        <v>175862722</v>
      </c>
    </row>
    <row r="1816" spans="1:6" x14ac:dyDescent="0.2">
      <c r="A1816" s="2">
        <f ca="1">IFERROR(__xludf.DUMMYFUNCTION("""COMPUTED_VALUE"""),44909.6666666666)</f>
        <v>44909.666666666599</v>
      </c>
      <c r="B1816" s="1">
        <f ca="1">IFERROR(__xludf.DUMMYFUNCTION("""COMPUTED_VALUE"""),159.25)</f>
        <v>159.25</v>
      </c>
      <c r="C1816" s="1">
        <f ca="1">IFERROR(__xludf.DUMMYFUNCTION("""COMPUTED_VALUE"""),161.62)</f>
        <v>161.62</v>
      </c>
      <c r="D1816" s="1">
        <f ca="1">IFERROR(__xludf.DUMMYFUNCTION("""COMPUTED_VALUE"""),155.31)</f>
        <v>155.31</v>
      </c>
      <c r="E1816" s="1">
        <f ca="1">IFERROR(__xludf.DUMMYFUNCTION("""COMPUTED_VALUE"""),156.8)</f>
        <v>156.80000000000001</v>
      </c>
      <c r="F1816" s="1">
        <f ca="1">IFERROR(__xludf.DUMMYFUNCTION("""COMPUTED_VALUE"""),140682338)</f>
        <v>140682338</v>
      </c>
    </row>
    <row r="1817" spans="1:6" x14ac:dyDescent="0.2">
      <c r="A1817" s="2">
        <f ca="1">IFERROR(__xludf.DUMMYFUNCTION("""COMPUTED_VALUE"""),44910.6666666666)</f>
        <v>44910.666666666599</v>
      </c>
      <c r="B1817" s="1">
        <f ca="1">IFERROR(__xludf.DUMMYFUNCTION("""COMPUTED_VALUE"""),153.44)</f>
        <v>153.44</v>
      </c>
      <c r="C1817" s="1">
        <f ca="1">IFERROR(__xludf.DUMMYFUNCTION("""COMPUTED_VALUE"""),160.93)</f>
        <v>160.93</v>
      </c>
      <c r="D1817" s="1">
        <f ca="1">IFERROR(__xludf.DUMMYFUNCTION("""COMPUTED_VALUE"""),153.28)</f>
        <v>153.28</v>
      </c>
      <c r="E1817" s="1">
        <f ca="1">IFERROR(__xludf.DUMMYFUNCTION("""COMPUTED_VALUE"""),157.67)</f>
        <v>157.66999999999999</v>
      </c>
      <c r="F1817" s="1">
        <f ca="1">IFERROR(__xludf.DUMMYFUNCTION("""COMPUTED_VALUE"""),122334459)</f>
        <v>122334459</v>
      </c>
    </row>
    <row r="1818" spans="1:6" x14ac:dyDescent="0.2">
      <c r="A1818" s="2">
        <f ca="1">IFERROR(__xludf.DUMMYFUNCTION("""COMPUTED_VALUE"""),44911.6666666666)</f>
        <v>44911.666666666599</v>
      </c>
      <c r="B1818" s="1">
        <f ca="1">IFERROR(__xludf.DUMMYFUNCTION("""COMPUTED_VALUE"""),159.64)</f>
        <v>159.63999999999999</v>
      </c>
      <c r="C1818" s="1">
        <f ca="1">IFERROR(__xludf.DUMMYFUNCTION("""COMPUTED_VALUE"""),160.99)</f>
        <v>160.99</v>
      </c>
      <c r="D1818" s="1">
        <f ca="1">IFERROR(__xludf.DUMMYFUNCTION("""COMPUTED_VALUE"""),150.04)</f>
        <v>150.04</v>
      </c>
      <c r="E1818" s="1">
        <f ca="1">IFERROR(__xludf.DUMMYFUNCTION("""COMPUTED_VALUE"""),150.23)</f>
        <v>150.22999999999999</v>
      </c>
      <c r="F1818" s="1">
        <f ca="1">IFERROR(__xludf.DUMMYFUNCTION("""COMPUTED_VALUE"""),139032175)</f>
        <v>139032175</v>
      </c>
    </row>
    <row r="1819" spans="1:6" x14ac:dyDescent="0.2">
      <c r="A1819" s="2">
        <f ca="1">IFERROR(__xludf.DUMMYFUNCTION("""COMPUTED_VALUE"""),44914.6666666666)</f>
        <v>44914.666666666599</v>
      </c>
      <c r="B1819" s="1">
        <f ca="1">IFERROR(__xludf.DUMMYFUNCTION("""COMPUTED_VALUE"""),154)</f>
        <v>154</v>
      </c>
      <c r="C1819" s="1">
        <f ca="1">IFERROR(__xludf.DUMMYFUNCTION("""COMPUTED_VALUE"""),155.25)</f>
        <v>155.25</v>
      </c>
      <c r="D1819" s="1">
        <f ca="1">IFERROR(__xludf.DUMMYFUNCTION("""COMPUTED_VALUE"""),145.82)</f>
        <v>145.82</v>
      </c>
      <c r="E1819" s="1">
        <f ca="1">IFERROR(__xludf.DUMMYFUNCTION("""COMPUTED_VALUE"""),149.87)</f>
        <v>149.87</v>
      </c>
      <c r="F1819" s="1">
        <f ca="1">IFERROR(__xludf.DUMMYFUNCTION("""COMPUTED_VALUE"""),139390634)</f>
        <v>139390634</v>
      </c>
    </row>
    <row r="1820" spans="1:6" x14ac:dyDescent="0.2">
      <c r="A1820" s="2">
        <f ca="1">IFERROR(__xludf.DUMMYFUNCTION("""COMPUTED_VALUE"""),44915.6666666666)</f>
        <v>44915.666666666599</v>
      </c>
      <c r="B1820" s="1">
        <f ca="1">IFERROR(__xludf.DUMMYFUNCTION("""COMPUTED_VALUE"""),146.05)</f>
        <v>146.05000000000001</v>
      </c>
      <c r="C1820" s="1">
        <f ca="1">IFERROR(__xludf.DUMMYFUNCTION("""COMPUTED_VALUE"""),148.47)</f>
        <v>148.47</v>
      </c>
      <c r="D1820" s="1">
        <f ca="1">IFERROR(__xludf.DUMMYFUNCTION("""COMPUTED_VALUE"""),137.66)</f>
        <v>137.66</v>
      </c>
      <c r="E1820" s="1">
        <f ca="1">IFERROR(__xludf.DUMMYFUNCTION("""COMPUTED_VALUE"""),137.8)</f>
        <v>137.80000000000001</v>
      </c>
      <c r="F1820" s="1">
        <f ca="1">IFERROR(__xludf.DUMMYFUNCTION("""COMPUTED_VALUE"""),159563267)</f>
        <v>159563267</v>
      </c>
    </row>
    <row r="1821" spans="1:6" x14ac:dyDescent="0.2">
      <c r="A1821" s="2">
        <f ca="1">IFERROR(__xludf.DUMMYFUNCTION("""COMPUTED_VALUE"""),44916.6666666666)</f>
        <v>44916.666666666599</v>
      </c>
      <c r="B1821" s="1">
        <f ca="1">IFERROR(__xludf.DUMMYFUNCTION("""COMPUTED_VALUE"""),139.34)</f>
        <v>139.34</v>
      </c>
      <c r="C1821" s="1">
        <f ca="1">IFERROR(__xludf.DUMMYFUNCTION("""COMPUTED_VALUE"""),141.26)</f>
        <v>141.26</v>
      </c>
      <c r="D1821" s="1">
        <f ca="1">IFERROR(__xludf.DUMMYFUNCTION("""COMPUTED_VALUE"""),135.89)</f>
        <v>135.88999999999999</v>
      </c>
      <c r="E1821" s="1">
        <f ca="1">IFERROR(__xludf.DUMMYFUNCTION("""COMPUTED_VALUE"""),137.57)</f>
        <v>137.57</v>
      </c>
      <c r="F1821" s="1">
        <f ca="1">IFERROR(__xludf.DUMMYFUNCTION("""COMPUTED_VALUE"""),145417412)</f>
        <v>145417412</v>
      </c>
    </row>
    <row r="1822" spans="1:6" x14ac:dyDescent="0.2">
      <c r="A1822" s="2">
        <f ca="1">IFERROR(__xludf.DUMMYFUNCTION("""COMPUTED_VALUE"""),44917.6666666666)</f>
        <v>44917.666666666599</v>
      </c>
      <c r="B1822" s="1">
        <f ca="1">IFERROR(__xludf.DUMMYFUNCTION("""COMPUTED_VALUE"""),136)</f>
        <v>136</v>
      </c>
      <c r="C1822" s="1">
        <f ca="1">IFERROR(__xludf.DUMMYFUNCTION("""COMPUTED_VALUE"""),136.63)</f>
        <v>136.63</v>
      </c>
      <c r="D1822" s="1">
        <f ca="1">IFERROR(__xludf.DUMMYFUNCTION("""COMPUTED_VALUE"""),122.26)</f>
        <v>122.26</v>
      </c>
      <c r="E1822" s="1">
        <f ca="1">IFERROR(__xludf.DUMMYFUNCTION("""COMPUTED_VALUE"""),125.35)</f>
        <v>125.35</v>
      </c>
      <c r="F1822" s="1">
        <f ca="1">IFERROR(__xludf.DUMMYFUNCTION("""COMPUTED_VALUE"""),210090250)</f>
        <v>210090250</v>
      </c>
    </row>
    <row r="1823" spans="1:6" x14ac:dyDescent="0.2">
      <c r="A1823" s="2">
        <f ca="1">IFERROR(__xludf.DUMMYFUNCTION("""COMPUTED_VALUE"""),44918.6666666666)</f>
        <v>44918.666666666599</v>
      </c>
      <c r="B1823" s="1">
        <f ca="1">IFERROR(__xludf.DUMMYFUNCTION("""COMPUTED_VALUE"""),126.37)</f>
        <v>126.37</v>
      </c>
      <c r="C1823" s="1">
        <f ca="1">IFERROR(__xludf.DUMMYFUNCTION("""COMPUTED_VALUE"""),128.62)</f>
        <v>128.62</v>
      </c>
      <c r="D1823" s="1">
        <f ca="1">IFERROR(__xludf.DUMMYFUNCTION("""COMPUTED_VALUE"""),121.02)</f>
        <v>121.02</v>
      </c>
      <c r="E1823" s="1">
        <f ca="1">IFERROR(__xludf.DUMMYFUNCTION("""COMPUTED_VALUE"""),123.15)</f>
        <v>123.15</v>
      </c>
      <c r="F1823" s="1">
        <f ca="1">IFERROR(__xludf.DUMMYFUNCTION("""COMPUTED_VALUE"""),166989688)</f>
        <v>166989688</v>
      </c>
    </row>
    <row r="1824" spans="1:6" x14ac:dyDescent="0.2">
      <c r="A1824" s="2">
        <f ca="1">IFERROR(__xludf.DUMMYFUNCTION("""COMPUTED_VALUE"""),44922.6666666666)</f>
        <v>44922.666666666599</v>
      </c>
      <c r="B1824" s="1">
        <f ca="1">IFERROR(__xludf.DUMMYFUNCTION("""COMPUTED_VALUE"""),117.5)</f>
        <v>117.5</v>
      </c>
      <c r="C1824" s="1">
        <f ca="1">IFERROR(__xludf.DUMMYFUNCTION("""COMPUTED_VALUE"""),119.67)</f>
        <v>119.67</v>
      </c>
      <c r="D1824" s="1">
        <f ca="1">IFERROR(__xludf.DUMMYFUNCTION("""COMPUTED_VALUE"""),108.76)</f>
        <v>108.76</v>
      </c>
      <c r="E1824" s="1">
        <f ca="1">IFERROR(__xludf.DUMMYFUNCTION("""COMPUTED_VALUE"""),109.1)</f>
        <v>109.1</v>
      </c>
      <c r="F1824" s="1">
        <f ca="1">IFERROR(__xludf.DUMMYFUNCTION("""COMPUTED_VALUE"""),208643444)</f>
        <v>208643444</v>
      </c>
    </row>
    <row r="1825" spans="1:6" x14ac:dyDescent="0.2">
      <c r="A1825" s="2">
        <f ca="1">IFERROR(__xludf.DUMMYFUNCTION("""COMPUTED_VALUE"""),44923.6666666666)</f>
        <v>44923.666666666599</v>
      </c>
      <c r="B1825" s="1">
        <f ca="1">IFERROR(__xludf.DUMMYFUNCTION("""COMPUTED_VALUE"""),110.35)</f>
        <v>110.35</v>
      </c>
      <c r="C1825" s="1">
        <f ca="1">IFERROR(__xludf.DUMMYFUNCTION("""COMPUTED_VALUE"""),116.27)</f>
        <v>116.27</v>
      </c>
      <c r="D1825" s="1">
        <f ca="1">IFERROR(__xludf.DUMMYFUNCTION("""COMPUTED_VALUE"""),108.24)</f>
        <v>108.24</v>
      </c>
      <c r="E1825" s="1">
        <f ca="1">IFERROR(__xludf.DUMMYFUNCTION("""COMPUTED_VALUE"""),112.71)</f>
        <v>112.71</v>
      </c>
      <c r="F1825" s="1">
        <f ca="1">IFERROR(__xludf.DUMMYFUNCTION("""COMPUTED_VALUE"""),221070537)</f>
        <v>221070537</v>
      </c>
    </row>
    <row r="1826" spans="1:6" x14ac:dyDescent="0.2">
      <c r="A1826" s="2">
        <f ca="1">IFERROR(__xludf.DUMMYFUNCTION("""COMPUTED_VALUE"""),44924.6666666666)</f>
        <v>44924.666666666599</v>
      </c>
      <c r="B1826" s="1">
        <f ca="1">IFERROR(__xludf.DUMMYFUNCTION("""COMPUTED_VALUE"""),120.39)</f>
        <v>120.39</v>
      </c>
      <c r="C1826" s="1">
        <f ca="1">IFERROR(__xludf.DUMMYFUNCTION("""COMPUTED_VALUE"""),123.57)</f>
        <v>123.57</v>
      </c>
      <c r="D1826" s="1">
        <f ca="1">IFERROR(__xludf.DUMMYFUNCTION("""COMPUTED_VALUE"""),117.5)</f>
        <v>117.5</v>
      </c>
      <c r="E1826" s="1">
        <f ca="1">IFERROR(__xludf.DUMMYFUNCTION("""COMPUTED_VALUE"""),121.82)</f>
        <v>121.82</v>
      </c>
      <c r="F1826" s="1">
        <f ca="1">IFERROR(__xludf.DUMMYFUNCTION("""COMPUTED_VALUE"""),221923313)</f>
        <v>221923313</v>
      </c>
    </row>
    <row r="1827" spans="1:6" x14ac:dyDescent="0.2">
      <c r="A1827" s="2">
        <f ca="1">IFERROR(__xludf.DUMMYFUNCTION("""COMPUTED_VALUE"""),44925.6666666666)</f>
        <v>44925.666666666599</v>
      </c>
      <c r="B1827" s="1">
        <f ca="1">IFERROR(__xludf.DUMMYFUNCTION("""COMPUTED_VALUE"""),119.95)</f>
        <v>119.95</v>
      </c>
      <c r="C1827" s="1">
        <f ca="1">IFERROR(__xludf.DUMMYFUNCTION("""COMPUTED_VALUE"""),124.48)</f>
        <v>124.48</v>
      </c>
      <c r="D1827" s="1">
        <f ca="1">IFERROR(__xludf.DUMMYFUNCTION("""COMPUTED_VALUE"""),119.75)</f>
        <v>119.75</v>
      </c>
      <c r="E1827" s="1">
        <f ca="1">IFERROR(__xludf.DUMMYFUNCTION("""COMPUTED_VALUE"""),123.18)</f>
        <v>123.18</v>
      </c>
      <c r="F1827" s="1">
        <f ca="1">IFERROR(__xludf.DUMMYFUNCTION("""COMPUTED_VALUE"""),157777339)</f>
        <v>157777339</v>
      </c>
    </row>
    <row r="1828" spans="1:6" x14ac:dyDescent="0.2">
      <c r="A1828" s="2">
        <f ca="1">IFERROR(__xludf.DUMMYFUNCTION("""COMPUTED_VALUE"""),44929.6666666666)</f>
        <v>44929.666666666599</v>
      </c>
      <c r="B1828" s="1">
        <f ca="1">IFERROR(__xludf.DUMMYFUNCTION("""COMPUTED_VALUE"""),118.47)</f>
        <v>118.47</v>
      </c>
      <c r="C1828" s="1">
        <f ca="1">IFERROR(__xludf.DUMMYFUNCTION("""COMPUTED_VALUE"""),118.8)</f>
        <v>118.8</v>
      </c>
      <c r="D1828" s="1">
        <f ca="1">IFERROR(__xludf.DUMMYFUNCTION("""COMPUTED_VALUE"""),104.64)</f>
        <v>104.64</v>
      </c>
      <c r="E1828" s="1">
        <f ca="1">IFERROR(__xludf.DUMMYFUNCTION("""COMPUTED_VALUE"""),108.1)</f>
        <v>108.1</v>
      </c>
      <c r="F1828" s="1">
        <f ca="1">IFERROR(__xludf.DUMMYFUNCTION("""COMPUTED_VALUE"""),231402818)</f>
        <v>231402818</v>
      </c>
    </row>
    <row r="1829" spans="1:6" x14ac:dyDescent="0.2">
      <c r="A1829" s="2">
        <f ca="1">IFERROR(__xludf.DUMMYFUNCTION("""COMPUTED_VALUE"""),44930.6666666666)</f>
        <v>44930.666666666599</v>
      </c>
      <c r="B1829" s="1">
        <f ca="1">IFERROR(__xludf.DUMMYFUNCTION("""COMPUTED_VALUE"""),109.11)</f>
        <v>109.11</v>
      </c>
      <c r="C1829" s="1">
        <f ca="1">IFERROR(__xludf.DUMMYFUNCTION("""COMPUTED_VALUE"""),114.59)</f>
        <v>114.59</v>
      </c>
      <c r="D1829" s="1">
        <f ca="1">IFERROR(__xludf.DUMMYFUNCTION("""COMPUTED_VALUE"""),107.52)</f>
        <v>107.52</v>
      </c>
      <c r="E1829" s="1">
        <f ca="1">IFERROR(__xludf.DUMMYFUNCTION("""COMPUTED_VALUE"""),113.64)</f>
        <v>113.64</v>
      </c>
      <c r="F1829" s="1">
        <f ca="1">IFERROR(__xludf.DUMMYFUNCTION("""COMPUTED_VALUE"""),180388976)</f>
        <v>180388976</v>
      </c>
    </row>
    <row r="1830" spans="1:6" x14ac:dyDescent="0.2">
      <c r="A1830" s="2">
        <f ca="1">IFERROR(__xludf.DUMMYFUNCTION("""COMPUTED_VALUE"""),44931.6666666666)</f>
        <v>44931.666666666599</v>
      </c>
      <c r="B1830" s="1">
        <f ca="1">IFERROR(__xludf.DUMMYFUNCTION("""COMPUTED_VALUE"""),110.51)</f>
        <v>110.51</v>
      </c>
      <c r="C1830" s="1">
        <f ca="1">IFERROR(__xludf.DUMMYFUNCTION("""COMPUTED_VALUE"""),111.75)</f>
        <v>111.75</v>
      </c>
      <c r="D1830" s="1">
        <f ca="1">IFERROR(__xludf.DUMMYFUNCTION("""COMPUTED_VALUE"""),107.16)</f>
        <v>107.16</v>
      </c>
      <c r="E1830" s="1">
        <f ca="1">IFERROR(__xludf.DUMMYFUNCTION("""COMPUTED_VALUE"""),110.34)</f>
        <v>110.34</v>
      </c>
      <c r="F1830" s="1">
        <f ca="1">IFERROR(__xludf.DUMMYFUNCTION("""COMPUTED_VALUE"""),157986324)</f>
        <v>157986324</v>
      </c>
    </row>
    <row r="1831" spans="1:6" x14ac:dyDescent="0.2">
      <c r="A1831" s="2">
        <f ca="1">IFERROR(__xludf.DUMMYFUNCTION("""COMPUTED_VALUE"""),44932.6666666666)</f>
        <v>44932.666666666599</v>
      </c>
      <c r="B1831" s="1">
        <f ca="1">IFERROR(__xludf.DUMMYFUNCTION("""COMPUTED_VALUE"""),103)</f>
        <v>103</v>
      </c>
      <c r="C1831" s="1">
        <f ca="1">IFERROR(__xludf.DUMMYFUNCTION("""COMPUTED_VALUE"""),114.39)</f>
        <v>114.39</v>
      </c>
      <c r="D1831" s="1">
        <f ca="1">IFERROR(__xludf.DUMMYFUNCTION("""COMPUTED_VALUE"""),101.81)</f>
        <v>101.81</v>
      </c>
      <c r="E1831" s="1">
        <f ca="1">IFERROR(__xludf.DUMMYFUNCTION("""COMPUTED_VALUE"""),113.06)</f>
        <v>113.06</v>
      </c>
      <c r="F1831" s="1">
        <f ca="1">IFERROR(__xludf.DUMMYFUNCTION("""COMPUTED_VALUE"""),220911051)</f>
        <v>220911051</v>
      </c>
    </row>
    <row r="1832" spans="1:6" x14ac:dyDescent="0.2">
      <c r="A1832" s="2">
        <f ca="1">IFERROR(__xludf.DUMMYFUNCTION("""COMPUTED_VALUE"""),44935.6666666666)</f>
        <v>44935.666666666599</v>
      </c>
      <c r="B1832" s="1">
        <f ca="1">IFERROR(__xludf.DUMMYFUNCTION("""COMPUTED_VALUE"""),118.96)</f>
        <v>118.96</v>
      </c>
      <c r="C1832" s="1">
        <f ca="1">IFERROR(__xludf.DUMMYFUNCTION("""COMPUTED_VALUE"""),123.52)</f>
        <v>123.52</v>
      </c>
      <c r="D1832" s="1">
        <f ca="1">IFERROR(__xludf.DUMMYFUNCTION("""COMPUTED_VALUE"""),117.11)</f>
        <v>117.11</v>
      </c>
      <c r="E1832" s="1">
        <f ca="1">IFERROR(__xludf.DUMMYFUNCTION("""COMPUTED_VALUE"""),119.77)</f>
        <v>119.77</v>
      </c>
      <c r="F1832" s="1">
        <f ca="1">IFERROR(__xludf.DUMMYFUNCTION("""COMPUTED_VALUE"""),190283951)</f>
        <v>190283951</v>
      </c>
    </row>
    <row r="1833" spans="1:6" x14ac:dyDescent="0.2">
      <c r="A1833" s="2">
        <f ca="1">IFERROR(__xludf.DUMMYFUNCTION("""COMPUTED_VALUE"""),44936.6666666666)</f>
        <v>44936.666666666599</v>
      </c>
      <c r="B1833" s="1">
        <f ca="1">IFERROR(__xludf.DUMMYFUNCTION("""COMPUTED_VALUE"""),121.07)</f>
        <v>121.07</v>
      </c>
      <c r="C1833" s="1">
        <f ca="1">IFERROR(__xludf.DUMMYFUNCTION("""COMPUTED_VALUE"""),122.76)</f>
        <v>122.76</v>
      </c>
      <c r="D1833" s="1">
        <f ca="1">IFERROR(__xludf.DUMMYFUNCTION("""COMPUTED_VALUE"""),114.92)</f>
        <v>114.92</v>
      </c>
      <c r="E1833" s="1">
        <f ca="1">IFERROR(__xludf.DUMMYFUNCTION("""COMPUTED_VALUE"""),118.85)</f>
        <v>118.85</v>
      </c>
      <c r="F1833" s="1">
        <f ca="1">IFERROR(__xludf.DUMMYFUNCTION("""COMPUTED_VALUE"""),167642485)</f>
        <v>167642485</v>
      </c>
    </row>
    <row r="1834" spans="1:6" x14ac:dyDescent="0.2">
      <c r="A1834" s="2">
        <f ca="1">IFERROR(__xludf.DUMMYFUNCTION("""COMPUTED_VALUE"""),44937.6666666666)</f>
        <v>44937.666666666599</v>
      </c>
      <c r="B1834" s="1">
        <f ca="1">IFERROR(__xludf.DUMMYFUNCTION("""COMPUTED_VALUE"""),122.09)</f>
        <v>122.09</v>
      </c>
      <c r="C1834" s="1">
        <f ca="1">IFERROR(__xludf.DUMMYFUNCTION("""COMPUTED_VALUE"""),125.95)</f>
        <v>125.95</v>
      </c>
      <c r="D1834" s="1">
        <f ca="1">IFERROR(__xludf.DUMMYFUNCTION("""COMPUTED_VALUE"""),120.51)</f>
        <v>120.51</v>
      </c>
      <c r="E1834" s="1">
        <f ca="1">IFERROR(__xludf.DUMMYFUNCTION("""COMPUTED_VALUE"""),123.22)</f>
        <v>123.22</v>
      </c>
      <c r="F1834" s="1">
        <f ca="1">IFERROR(__xludf.DUMMYFUNCTION("""COMPUTED_VALUE"""),183810771)</f>
        <v>183810771</v>
      </c>
    </row>
    <row r="1835" spans="1:6" x14ac:dyDescent="0.2">
      <c r="A1835" s="2">
        <f ca="1">IFERROR(__xludf.DUMMYFUNCTION("""COMPUTED_VALUE"""),44938.6666666666)</f>
        <v>44938.666666666599</v>
      </c>
      <c r="B1835" s="1">
        <f ca="1">IFERROR(__xludf.DUMMYFUNCTION("""COMPUTED_VALUE"""),122.56)</f>
        <v>122.56</v>
      </c>
      <c r="C1835" s="1">
        <f ca="1">IFERROR(__xludf.DUMMYFUNCTION("""COMPUTED_VALUE"""),124.13)</f>
        <v>124.13</v>
      </c>
      <c r="D1835" s="1">
        <f ca="1">IFERROR(__xludf.DUMMYFUNCTION("""COMPUTED_VALUE"""),117)</f>
        <v>117</v>
      </c>
      <c r="E1835" s="1">
        <f ca="1">IFERROR(__xludf.DUMMYFUNCTION("""COMPUTED_VALUE"""),123.56)</f>
        <v>123.56</v>
      </c>
      <c r="F1835" s="1">
        <f ca="1">IFERROR(__xludf.DUMMYFUNCTION("""COMPUTED_VALUE"""),169400913)</f>
        <v>169400913</v>
      </c>
    </row>
    <row r="1836" spans="1:6" x14ac:dyDescent="0.2">
      <c r="A1836" s="2">
        <f ca="1">IFERROR(__xludf.DUMMYFUNCTION("""COMPUTED_VALUE"""),44939.6666666666)</f>
        <v>44939.666666666599</v>
      </c>
      <c r="B1836" s="1">
        <f ca="1">IFERROR(__xludf.DUMMYFUNCTION("""COMPUTED_VALUE"""),116.55)</f>
        <v>116.55</v>
      </c>
      <c r="C1836" s="1">
        <f ca="1">IFERROR(__xludf.DUMMYFUNCTION("""COMPUTED_VALUE"""),122.63)</f>
        <v>122.63</v>
      </c>
      <c r="D1836" s="1">
        <f ca="1">IFERROR(__xludf.DUMMYFUNCTION("""COMPUTED_VALUE"""),115.6)</f>
        <v>115.6</v>
      </c>
      <c r="E1836" s="1">
        <f ca="1">IFERROR(__xludf.DUMMYFUNCTION("""COMPUTED_VALUE"""),122.4)</f>
        <v>122.4</v>
      </c>
      <c r="F1836" s="1">
        <f ca="1">IFERROR(__xludf.DUMMYFUNCTION("""COMPUTED_VALUE"""),180714119)</f>
        <v>180714119</v>
      </c>
    </row>
    <row r="1837" spans="1:6" x14ac:dyDescent="0.2">
      <c r="A1837" s="2">
        <f ca="1">IFERROR(__xludf.DUMMYFUNCTION("""COMPUTED_VALUE"""),44943.6666666666)</f>
        <v>44943.666666666599</v>
      </c>
      <c r="B1837" s="1">
        <f ca="1">IFERROR(__xludf.DUMMYFUNCTION("""COMPUTED_VALUE"""),125.7)</f>
        <v>125.7</v>
      </c>
      <c r="C1837" s="1">
        <f ca="1">IFERROR(__xludf.DUMMYFUNCTION("""COMPUTED_VALUE"""),131.7)</f>
        <v>131.69999999999999</v>
      </c>
      <c r="D1837" s="1">
        <f ca="1">IFERROR(__xludf.DUMMYFUNCTION("""COMPUTED_VALUE"""),125.02)</f>
        <v>125.02</v>
      </c>
      <c r="E1837" s="1">
        <f ca="1">IFERROR(__xludf.DUMMYFUNCTION("""COMPUTED_VALUE"""),131.49)</f>
        <v>131.49</v>
      </c>
      <c r="F1837" s="1">
        <f ca="1">IFERROR(__xludf.DUMMYFUNCTION("""COMPUTED_VALUE"""),186476985)</f>
        <v>186476985</v>
      </c>
    </row>
    <row r="1838" spans="1:6" x14ac:dyDescent="0.2">
      <c r="A1838" s="2">
        <f ca="1">IFERROR(__xludf.DUMMYFUNCTION("""COMPUTED_VALUE"""),44944.6666666666)</f>
        <v>44944.666666666599</v>
      </c>
      <c r="B1838" s="1">
        <f ca="1">IFERROR(__xludf.DUMMYFUNCTION("""COMPUTED_VALUE"""),136.56)</f>
        <v>136.56</v>
      </c>
      <c r="C1838" s="1">
        <f ca="1">IFERROR(__xludf.DUMMYFUNCTION("""COMPUTED_VALUE"""),136.68)</f>
        <v>136.68</v>
      </c>
      <c r="D1838" s="1">
        <f ca="1">IFERROR(__xludf.DUMMYFUNCTION("""COMPUTED_VALUE"""),127.01)</f>
        <v>127.01</v>
      </c>
      <c r="E1838" s="1">
        <f ca="1">IFERROR(__xludf.DUMMYFUNCTION("""COMPUTED_VALUE"""),128.78)</f>
        <v>128.78</v>
      </c>
      <c r="F1838" s="1">
        <f ca="1">IFERROR(__xludf.DUMMYFUNCTION("""COMPUTED_VALUE"""),195680318)</f>
        <v>195680318</v>
      </c>
    </row>
    <row r="1839" spans="1:6" x14ac:dyDescent="0.2">
      <c r="A1839" s="2">
        <f ca="1">IFERROR(__xludf.DUMMYFUNCTION("""COMPUTED_VALUE"""),44945.6666666666)</f>
        <v>44945.666666666599</v>
      </c>
      <c r="B1839" s="1">
        <f ca="1">IFERROR(__xludf.DUMMYFUNCTION("""COMPUTED_VALUE"""),127.26)</f>
        <v>127.26</v>
      </c>
      <c r="C1839" s="1">
        <f ca="1">IFERROR(__xludf.DUMMYFUNCTION("""COMPUTED_VALUE"""),129.99)</f>
        <v>129.99</v>
      </c>
      <c r="D1839" s="1">
        <f ca="1">IFERROR(__xludf.DUMMYFUNCTION("""COMPUTED_VALUE"""),124.31)</f>
        <v>124.31</v>
      </c>
      <c r="E1839" s="1">
        <f ca="1">IFERROR(__xludf.DUMMYFUNCTION("""COMPUTED_VALUE"""),127.17)</f>
        <v>127.17</v>
      </c>
      <c r="F1839" s="1">
        <f ca="1">IFERROR(__xludf.DUMMYFUNCTION("""COMPUTED_VALUE"""),170291880)</f>
        <v>170291880</v>
      </c>
    </row>
    <row r="1840" spans="1:6" x14ac:dyDescent="0.2">
      <c r="A1840" s="2">
        <f ca="1">IFERROR(__xludf.DUMMYFUNCTION("""COMPUTED_VALUE"""),44946.6666666666)</f>
        <v>44946.666666666599</v>
      </c>
      <c r="B1840" s="1">
        <f ca="1">IFERROR(__xludf.DUMMYFUNCTION("""COMPUTED_VALUE"""),128.68)</f>
        <v>128.68</v>
      </c>
      <c r="C1840" s="1">
        <f ca="1">IFERROR(__xludf.DUMMYFUNCTION("""COMPUTED_VALUE"""),133.51)</f>
        <v>133.51</v>
      </c>
      <c r="D1840" s="1">
        <f ca="1">IFERROR(__xludf.DUMMYFUNCTION("""COMPUTED_VALUE"""),127.35)</f>
        <v>127.35</v>
      </c>
      <c r="E1840" s="1">
        <f ca="1">IFERROR(__xludf.DUMMYFUNCTION("""COMPUTED_VALUE"""),133.42)</f>
        <v>133.41999999999999</v>
      </c>
      <c r="F1840" s="1">
        <f ca="1">IFERROR(__xludf.DUMMYFUNCTION("""COMPUTED_VALUE"""),138858136)</f>
        <v>138858136</v>
      </c>
    </row>
    <row r="1841" spans="1:6" x14ac:dyDescent="0.2">
      <c r="A1841" s="2">
        <f ca="1">IFERROR(__xludf.DUMMYFUNCTION("""COMPUTED_VALUE"""),44949.6666666666)</f>
        <v>44949.666666666599</v>
      </c>
      <c r="B1841" s="1">
        <f ca="1">IFERROR(__xludf.DUMMYFUNCTION("""COMPUTED_VALUE"""),135.87)</f>
        <v>135.87</v>
      </c>
      <c r="C1841" s="1">
        <f ca="1">IFERROR(__xludf.DUMMYFUNCTION("""COMPUTED_VALUE"""),145.38)</f>
        <v>145.38</v>
      </c>
      <c r="D1841" s="1">
        <f ca="1">IFERROR(__xludf.DUMMYFUNCTION("""COMPUTED_VALUE"""),134.27)</f>
        <v>134.27000000000001</v>
      </c>
      <c r="E1841" s="1">
        <f ca="1">IFERROR(__xludf.DUMMYFUNCTION("""COMPUTED_VALUE"""),143.75)</f>
        <v>143.75</v>
      </c>
      <c r="F1841" s="1">
        <f ca="1">IFERROR(__xludf.DUMMYFUNCTION("""COMPUTED_VALUE"""),203119211)</f>
        <v>203119211</v>
      </c>
    </row>
    <row r="1842" spans="1:6" x14ac:dyDescent="0.2">
      <c r="A1842" s="2">
        <f ca="1">IFERROR(__xludf.DUMMYFUNCTION("""COMPUTED_VALUE"""),44950.6666666666)</f>
        <v>44950.666666666599</v>
      </c>
      <c r="B1842" s="1">
        <f ca="1">IFERROR(__xludf.DUMMYFUNCTION("""COMPUTED_VALUE"""),143)</f>
        <v>143</v>
      </c>
      <c r="C1842" s="1">
        <f ca="1">IFERROR(__xludf.DUMMYFUNCTION("""COMPUTED_VALUE"""),146.5)</f>
        <v>146.5</v>
      </c>
      <c r="D1842" s="1">
        <f ca="1">IFERROR(__xludf.DUMMYFUNCTION("""COMPUTED_VALUE"""),141.1)</f>
        <v>141.1</v>
      </c>
      <c r="E1842" s="1">
        <f ca="1">IFERROR(__xludf.DUMMYFUNCTION("""COMPUTED_VALUE"""),143.89)</f>
        <v>143.88999999999999</v>
      </c>
      <c r="F1842" s="1">
        <f ca="1">IFERROR(__xludf.DUMMYFUNCTION("""COMPUTED_VALUE"""),158699056)</f>
        <v>158699056</v>
      </c>
    </row>
    <row r="1843" spans="1:6" x14ac:dyDescent="0.2">
      <c r="A1843" s="2">
        <f ca="1">IFERROR(__xludf.DUMMYFUNCTION("""COMPUTED_VALUE"""),44951.6666666666)</f>
        <v>44951.666666666599</v>
      </c>
      <c r="B1843" s="1">
        <f ca="1">IFERROR(__xludf.DUMMYFUNCTION("""COMPUTED_VALUE"""),141.91)</f>
        <v>141.91</v>
      </c>
      <c r="C1843" s="1">
        <f ca="1">IFERROR(__xludf.DUMMYFUNCTION("""COMPUTED_VALUE"""),146.41)</f>
        <v>146.41</v>
      </c>
      <c r="D1843" s="1">
        <f ca="1">IFERROR(__xludf.DUMMYFUNCTION("""COMPUTED_VALUE"""),138.07)</f>
        <v>138.07</v>
      </c>
      <c r="E1843" s="1">
        <f ca="1">IFERROR(__xludf.DUMMYFUNCTION("""COMPUTED_VALUE"""),144.43)</f>
        <v>144.43</v>
      </c>
      <c r="F1843" s="1">
        <f ca="1">IFERROR(__xludf.DUMMYFUNCTION("""COMPUTED_VALUE"""),192734347)</f>
        <v>192734347</v>
      </c>
    </row>
    <row r="1844" spans="1:6" x14ac:dyDescent="0.2">
      <c r="A1844" s="2">
        <f ca="1">IFERROR(__xludf.DUMMYFUNCTION("""COMPUTED_VALUE"""),44952.6666666666)</f>
        <v>44952.666666666599</v>
      </c>
      <c r="B1844" s="1">
        <f ca="1">IFERROR(__xludf.DUMMYFUNCTION("""COMPUTED_VALUE"""),159.97)</f>
        <v>159.97</v>
      </c>
      <c r="C1844" s="1">
        <f ca="1">IFERROR(__xludf.DUMMYFUNCTION("""COMPUTED_VALUE"""),161.42)</f>
        <v>161.41999999999999</v>
      </c>
      <c r="D1844" s="1">
        <f ca="1">IFERROR(__xludf.DUMMYFUNCTION("""COMPUTED_VALUE"""),154.76)</f>
        <v>154.76</v>
      </c>
      <c r="E1844" s="1">
        <f ca="1">IFERROR(__xludf.DUMMYFUNCTION("""COMPUTED_VALUE"""),160.27)</f>
        <v>160.27000000000001</v>
      </c>
      <c r="F1844" s="1">
        <f ca="1">IFERROR(__xludf.DUMMYFUNCTION("""COMPUTED_VALUE"""),234815090)</f>
        <v>234815090</v>
      </c>
    </row>
    <row r="1845" spans="1:6" x14ac:dyDescent="0.2">
      <c r="A1845" s="2">
        <f ca="1">IFERROR(__xludf.DUMMYFUNCTION("""COMPUTED_VALUE"""),44953.6666666666)</f>
        <v>44953.666666666599</v>
      </c>
      <c r="B1845" s="1">
        <f ca="1">IFERROR(__xludf.DUMMYFUNCTION("""COMPUTED_VALUE"""),162.43)</f>
        <v>162.43</v>
      </c>
      <c r="C1845" s="1">
        <f ca="1">IFERROR(__xludf.DUMMYFUNCTION("""COMPUTED_VALUE"""),180.68)</f>
        <v>180.68</v>
      </c>
      <c r="D1845" s="1">
        <f ca="1">IFERROR(__xludf.DUMMYFUNCTION("""COMPUTED_VALUE"""),161.17)</f>
        <v>161.16999999999999</v>
      </c>
      <c r="E1845" s="1">
        <f ca="1">IFERROR(__xludf.DUMMYFUNCTION("""COMPUTED_VALUE"""),177.9)</f>
        <v>177.9</v>
      </c>
      <c r="F1845" s="1">
        <f ca="1">IFERROR(__xludf.DUMMYFUNCTION("""COMPUTED_VALUE"""),306590613)</f>
        <v>306590613</v>
      </c>
    </row>
    <row r="1846" spans="1:6" x14ac:dyDescent="0.2">
      <c r="A1846" s="2">
        <f ca="1">IFERROR(__xludf.DUMMYFUNCTION("""COMPUTED_VALUE"""),44956.6666666666)</f>
        <v>44956.666666666599</v>
      </c>
      <c r="B1846" s="1">
        <f ca="1">IFERROR(__xludf.DUMMYFUNCTION("""COMPUTED_VALUE"""),178.05)</f>
        <v>178.05</v>
      </c>
      <c r="C1846" s="1">
        <f ca="1">IFERROR(__xludf.DUMMYFUNCTION("""COMPUTED_VALUE"""),179.77)</f>
        <v>179.77</v>
      </c>
      <c r="D1846" s="1">
        <f ca="1">IFERROR(__xludf.DUMMYFUNCTION("""COMPUTED_VALUE"""),166.5)</f>
        <v>166.5</v>
      </c>
      <c r="E1846" s="1">
        <f ca="1">IFERROR(__xludf.DUMMYFUNCTION("""COMPUTED_VALUE"""),166.66)</f>
        <v>166.66</v>
      </c>
      <c r="F1846" s="1">
        <f ca="1">IFERROR(__xludf.DUMMYFUNCTION("""COMPUTED_VALUE"""),230878807)</f>
        <v>230878807</v>
      </c>
    </row>
    <row r="1847" spans="1:6" x14ac:dyDescent="0.2">
      <c r="A1847" s="2">
        <f ca="1">IFERROR(__xludf.DUMMYFUNCTION("""COMPUTED_VALUE"""),44957.6666666666)</f>
        <v>44957.666666666599</v>
      </c>
      <c r="B1847" s="1">
        <f ca="1">IFERROR(__xludf.DUMMYFUNCTION("""COMPUTED_VALUE"""),164.57)</f>
        <v>164.57</v>
      </c>
      <c r="C1847" s="1">
        <f ca="1">IFERROR(__xludf.DUMMYFUNCTION("""COMPUTED_VALUE"""),174.3)</f>
        <v>174.3</v>
      </c>
      <c r="D1847" s="1">
        <f ca="1">IFERROR(__xludf.DUMMYFUNCTION("""COMPUTED_VALUE"""),162.78)</f>
        <v>162.78</v>
      </c>
      <c r="E1847" s="1">
        <f ca="1">IFERROR(__xludf.DUMMYFUNCTION("""COMPUTED_VALUE"""),173.22)</f>
        <v>173.22</v>
      </c>
      <c r="F1847" s="1">
        <f ca="1">IFERROR(__xludf.DUMMYFUNCTION("""COMPUTED_VALUE"""),196813541)</f>
        <v>196813541</v>
      </c>
    </row>
    <row r="1848" spans="1:6" x14ac:dyDescent="0.2">
      <c r="A1848" s="2">
        <f ca="1">IFERROR(__xludf.DUMMYFUNCTION("""COMPUTED_VALUE"""),44958.6666666666)</f>
        <v>44958.666666666599</v>
      </c>
      <c r="B1848" s="1">
        <f ca="1">IFERROR(__xludf.DUMMYFUNCTION("""COMPUTED_VALUE"""),173.89)</f>
        <v>173.89</v>
      </c>
      <c r="C1848" s="1">
        <f ca="1">IFERROR(__xludf.DUMMYFUNCTION("""COMPUTED_VALUE"""),183.81)</f>
        <v>183.81</v>
      </c>
      <c r="D1848" s="1">
        <f ca="1">IFERROR(__xludf.DUMMYFUNCTION("""COMPUTED_VALUE"""),169.93)</f>
        <v>169.93</v>
      </c>
      <c r="E1848" s="1">
        <f ca="1">IFERROR(__xludf.DUMMYFUNCTION("""COMPUTED_VALUE"""),181.41)</f>
        <v>181.41</v>
      </c>
      <c r="F1848" s="1">
        <f ca="1">IFERROR(__xludf.DUMMYFUNCTION("""COMPUTED_VALUE"""),213806323)</f>
        <v>213806323</v>
      </c>
    </row>
    <row r="1849" spans="1:6" x14ac:dyDescent="0.2">
      <c r="A1849" s="2">
        <f ca="1">IFERROR(__xludf.DUMMYFUNCTION("""COMPUTED_VALUE"""),44959.6666666666)</f>
        <v>44959.666666666599</v>
      </c>
      <c r="B1849" s="1">
        <f ca="1">IFERROR(__xludf.DUMMYFUNCTION("""COMPUTED_VALUE"""),187.33)</f>
        <v>187.33</v>
      </c>
      <c r="C1849" s="1">
        <f ca="1">IFERROR(__xludf.DUMMYFUNCTION("""COMPUTED_VALUE"""),196.75)</f>
        <v>196.75</v>
      </c>
      <c r="D1849" s="1">
        <f ca="1">IFERROR(__xludf.DUMMYFUNCTION("""COMPUTED_VALUE"""),182.61)</f>
        <v>182.61</v>
      </c>
      <c r="E1849" s="1">
        <f ca="1">IFERROR(__xludf.DUMMYFUNCTION("""COMPUTED_VALUE"""),188.27)</f>
        <v>188.27</v>
      </c>
      <c r="F1849" s="1">
        <f ca="1">IFERROR(__xludf.DUMMYFUNCTION("""COMPUTED_VALUE"""),217448287)</f>
        <v>217448287</v>
      </c>
    </row>
    <row r="1850" spans="1:6" x14ac:dyDescent="0.2">
      <c r="A1850" s="2">
        <f ca="1">IFERROR(__xludf.DUMMYFUNCTION("""COMPUTED_VALUE"""),44960.6666666666)</f>
        <v>44960.666666666599</v>
      </c>
      <c r="B1850" s="1">
        <f ca="1">IFERROR(__xludf.DUMMYFUNCTION("""COMPUTED_VALUE"""),183.95)</f>
        <v>183.95</v>
      </c>
      <c r="C1850" s="1">
        <f ca="1">IFERROR(__xludf.DUMMYFUNCTION("""COMPUTED_VALUE"""),199)</f>
        <v>199</v>
      </c>
      <c r="D1850" s="1">
        <f ca="1">IFERROR(__xludf.DUMMYFUNCTION("""COMPUTED_VALUE"""),183.69)</f>
        <v>183.69</v>
      </c>
      <c r="E1850" s="1">
        <f ca="1">IFERROR(__xludf.DUMMYFUNCTION("""COMPUTED_VALUE"""),189.98)</f>
        <v>189.98</v>
      </c>
      <c r="F1850" s="1">
        <f ca="1">IFERROR(__xludf.DUMMYFUNCTION("""COMPUTED_VALUE"""),232662023)</f>
        <v>232662023</v>
      </c>
    </row>
    <row r="1851" spans="1:6" x14ac:dyDescent="0.2">
      <c r="A1851" s="2">
        <f ca="1">IFERROR(__xludf.DUMMYFUNCTION("""COMPUTED_VALUE"""),44963.6666666666)</f>
        <v>44963.666666666599</v>
      </c>
      <c r="B1851" s="1">
        <f ca="1">IFERROR(__xludf.DUMMYFUNCTION("""COMPUTED_VALUE"""),193.01)</f>
        <v>193.01</v>
      </c>
      <c r="C1851" s="1">
        <f ca="1">IFERROR(__xludf.DUMMYFUNCTION("""COMPUTED_VALUE"""),198.17)</f>
        <v>198.17</v>
      </c>
      <c r="D1851" s="1">
        <f ca="1">IFERROR(__xludf.DUMMYFUNCTION("""COMPUTED_VALUE"""),189.92)</f>
        <v>189.92</v>
      </c>
      <c r="E1851" s="1">
        <f ca="1">IFERROR(__xludf.DUMMYFUNCTION("""COMPUTED_VALUE"""),194.76)</f>
        <v>194.76</v>
      </c>
      <c r="F1851" s="1">
        <f ca="1">IFERROR(__xludf.DUMMYFUNCTION("""COMPUTED_VALUE"""),186188131)</f>
        <v>186188131</v>
      </c>
    </row>
    <row r="1852" spans="1:6" x14ac:dyDescent="0.2">
      <c r="A1852" s="2">
        <f ca="1">IFERROR(__xludf.DUMMYFUNCTION("""COMPUTED_VALUE"""),44964.6666666666)</f>
        <v>44964.666666666599</v>
      </c>
      <c r="B1852" s="1">
        <f ca="1">IFERROR(__xludf.DUMMYFUNCTION("""COMPUTED_VALUE"""),196.43)</f>
        <v>196.43</v>
      </c>
      <c r="C1852" s="1">
        <f ca="1">IFERROR(__xludf.DUMMYFUNCTION("""COMPUTED_VALUE"""),197.5)</f>
        <v>197.5</v>
      </c>
      <c r="D1852" s="1">
        <f ca="1">IFERROR(__xludf.DUMMYFUNCTION("""COMPUTED_VALUE"""),189.55)</f>
        <v>189.55</v>
      </c>
      <c r="E1852" s="1">
        <f ca="1">IFERROR(__xludf.DUMMYFUNCTION("""COMPUTED_VALUE"""),196.81)</f>
        <v>196.81</v>
      </c>
      <c r="F1852" s="1">
        <f ca="1">IFERROR(__xludf.DUMMYFUNCTION("""COMPUTED_VALUE"""),186010325)</f>
        <v>186010325</v>
      </c>
    </row>
    <row r="1853" spans="1:6" x14ac:dyDescent="0.2">
      <c r="A1853" s="2">
        <f ca="1">IFERROR(__xludf.DUMMYFUNCTION("""COMPUTED_VALUE"""),44965.6666666666)</f>
        <v>44965.666666666599</v>
      </c>
      <c r="B1853" s="1">
        <f ca="1">IFERROR(__xludf.DUMMYFUNCTION("""COMPUTED_VALUE"""),196.1)</f>
        <v>196.1</v>
      </c>
      <c r="C1853" s="1">
        <f ca="1">IFERROR(__xludf.DUMMYFUNCTION("""COMPUTED_VALUE"""),203)</f>
        <v>203</v>
      </c>
      <c r="D1853" s="1">
        <f ca="1">IFERROR(__xludf.DUMMYFUNCTION("""COMPUTED_VALUE"""),194.31)</f>
        <v>194.31</v>
      </c>
      <c r="E1853" s="1">
        <f ca="1">IFERROR(__xludf.DUMMYFUNCTION("""COMPUTED_VALUE"""),201.29)</f>
        <v>201.29</v>
      </c>
      <c r="F1853" s="1">
        <f ca="1">IFERROR(__xludf.DUMMYFUNCTION("""COMPUTED_VALUE"""),180673644)</f>
        <v>180673644</v>
      </c>
    </row>
    <row r="1854" spans="1:6" x14ac:dyDescent="0.2">
      <c r="A1854" s="2">
        <f ca="1">IFERROR(__xludf.DUMMYFUNCTION("""COMPUTED_VALUE"""),44966.6666666666)</f>
        <v>44966.666666666599</v>
      </c>
      <c r="B1854" s="1">
        <f ca="1">IFERROR(__xludf.DUMMYFUNCTION("""COMPUTED_VALUE"""),207.78)</f>
        <v>207.78</v>
      </c>
      <c r="C1854" s="1">
        <f ca="1">IFERROR(__xludf.DUMMYFUNCTION("""COMPUTED_VALUE"""),214)</f>
        <v>214</v>
      </c>
      <c r="D1854" s="1">
        <f ca="1">IFERROR(__xludf.DUMMYFUNCTION("""COMPUTED_VALUE"""),204.77)</f>
        <v>204.77</v>
      </c>
      <c r="E1854" s="1">
        <f ca="1">IFERROR(__xludf.DUMMYFUNCTION("""COMPUTED_VALUE"""),207.32)</f>
        <v>207.32</v>
      </c>
      <c r="F1854" s="1">
        <f ca="1">IFERROR(__xludf.DUMMYFUNCTION("""COMPUTED_VALUE"""),215431442)</f>
        <v>215431442</v>
      </c>
    </row>
    <row r="1855" spans="1:6" x14ac:dyDescent="0.2">
      <c r="A1855" s="2">
        <f ca="1">IFERROR(__xludf.DUMMYFUNCTION("""COMPUTED_VALUE"""),44967.6666666666)</f>
        <v>44967.666666666599</v>
      </c>
      <c r="B1855" s="1">
        <f ca="1">IFERROR(__xludf.DUMMYFUNCTION("""COMPUTED_VALUE"""),202.23)</f>
        <v>202.23</v>
      </c>
      <c r="C1855" s="1">
        <f ca="1">IFERROR(__xludf.DUMMYFUNCTION("""COMPUTED_VALUE"""),206.2)</f>
        <v>206.2</v>
      </c>
      <c r="D1855" s="1">
        <f ca="1">IFERROR(__xludf.DUMMYFUNCTION("""COMPUTED_VALUE"""),192.89)</f>
        <v>192.89</v>
      </c>
      <c r="E1855" s="1">
        <f ca="1">IFERROR(__xludf.DUMMYFUNCTION("""COMPUTED_VALUE"""),196.89)</f>
        <v>196.89</v>
      </c>
      <c r="F1855" s="1">
        <f ca="1">IFERROR(__xludf.DUMMYFUNCTION("""COMPUTED_VALUE"""),204754129)</f>
        <v>204754129</v>
      </c>
    </row>
    <row r="1856" spans="1:6" x14ac:dyDescent="0.2">
      <c r="A1856" s="2">
        <f ca="1">IFERROR(__xludf.DUMMYFUNCTION("""COMPUTED_VALUE"""),44970.6666666666)</f>
        <v>44970.666666666599</v>
      </c>
      <c r="B1856" s="1">
        <f ca="1">IFERROR(__xludf.DUMMYFUNCTION("""COMPUTED_VALUE"""),194.42)</f>
        <v>194.42</v>
      </c>
      <c r="C1856" s="1">
        <f ca="1">IFERROR(__xludf.DUMMYFUNCTION("""COMPUTED_VALUE"""),196.3)</f>
        <v>196.3</v>
      </c>
      <c r="D1856" s="1">
        <f ca="1">IFERROR(__xludf.DUMMYFUNCTION("""COMPUTED_VALUE"""),187.61)</f>
        <v>187.61</v>
      </c>
      <c r="E1856" s="1">
        <f ca="1">IFERROR(__xludf.DUMMYFUNCTION("""COMPUTED_VALUE"""),194.64)</f>
        <v>194.64</v>
      </c>
      <c r="F1856" s="1">
        <f ca="1">IFERROR(__xludf.DUMMYFUNCTION("""COMPUTED_VALUE"""),172475452)</f>
        <v>172475452</v>
      </c>
    </row>
    <row r="1857" spans="1:6" x14ac:dyDescent="0.2">
      <c r="A1857" s="2">
        <f ca="1">IFERROR(__xludf.DUMMYFUNCTION("""COMPUTED_VALUE"""),44971.6666666666)</f>
        <v>44971.666666666599</v>
      </c>
      <c r="B1857" s="1">
        <f ca="1">IFERROR(__xludf.DUMMYFUNCTION("""COMPUTED_VALUE"""),191.94)</f>
        <v>191.94</v>
      </c>
      <c r="C1857" s="1">
        <f ca="1">IFERROR(__xludf.DUMMYFUNCTION("""COMPUTED_VALUE"""),209.82)</f>
        <v>209.82</v>
      </c>
      <c r="D1857" s="1">
        <f ca="1">IFERROR(__xludf.DUMMYFUNCTION("""COMPUTED_VALUE"""),189.44)</f>
        <v>189.44</v>
      </c>
      <c r="E1857" s="1">
        <f ca="1">IFERROR(__xludf.DUMMYFUNCTION("""COMPUTED_VALUE"""),209.25)</f>
        <v>209.25</v>
      </c>
      <c r="F1857" s="1">
        <f ca="1">IFERROR(__xludf.DUMMYFUNCTION("""COMPUTED_VALUE"""),216455708)</f>
        <v>216455708</v>
      </c>
    </row>
    <row r="1858" spans="1:6" x14ac:dyDescent="0.2">
      <c r="A1858" s="2">
        <f ca="1">IFERROR(__xludf.DUMMYFUNCTION("""COMPUTED_VALUE"""),44972.6666666666)</f>
        <v>44972.666666666599</v>
      </c>
      <c r="B1858" s="1">
        <f ca="1">IFERROR(__xludf.DUMMYFUNCTION("""COMPUTED_VALUE"""),211.76)</f>
        <v>211.76</v>
      </c>
      <c r="C1858" s="1">
        <f ca="1">IFERROR(__xludf.DUMMYFUNCTION("""COMPUTED_VALUE"""),214.66)</f>
        <v>214.66</v>
      </c>
      <c r="D1858" s="1">
        <f ca="1">IFERROR(__xludf.DUMMYFUNCTION("""COMPUTED_VALUE"""),206.11)</f>
        <v>206.11</v>
      </c>
      <c r="E1858" s="1">
        <f ca="1">IFERROR(__xludf.DUMMYFUNCTION("""COMPUTED_VALUE"""),214.24)</f>
        <v>214.24</v>
      </c>
      <c r="F1858" s="1">
        <f ca="1">IFERROR(__xludf.DUMMYFUNCTION("""COMPUTED_VALUE"""),182108581)</f>
        <v>182108581</v>
      </c>
    </row>
    <row r="1859" spans="1:6" x14ac:dyDescent="0.2">
      <c r="A1859" s="2">
        <f ca="1">IFERROR(__xludf.DUMMYFUNCTION("""COMPUTED_VALUE"""),44973.6666666666)</f>
        <v>44973.666666666599</v>
      </c>
      <c r="B1859" s="1">
        <f ca="1">IFERROR(__xludf.DUMMYFUNCTION("""COMPUTED_VALUE"""),210.78)</f>
        <v>210.78</v>
      </c>
      <c r="C1859" s="1">
        <f ca="1">IFERROR(__xludf.DUMMYFUNCTION("""COMPUTED_VALUE"""),217.65)</f>
        <v>217.65</v>
      </c>
      <c r="D1859" s="1">
        <f ca="1">IFERROR(__xludf.DUMMYFUNCTION("""COMPUTED_VALUE"""),201.84)</f>
        <v>201.84</v>
      </c>
      <c r="E1859" s="1">
        <f ca="1">IFERROR(__xludf.DUMMYFUNCTION("""COMPUTED_VALUE"""),202.04)</f>
        <v>202.04</v>
      </c>
      <c r="F1859" s="1">
        <f ca="1">IFERROR(__xludf.DUMMYFUNCTION("""COMPUTED_VALUE"""),229586538)</f>
        <v>229586538</v>
      </c>
    </row>
    <row r="1860" spans="1:6" x14ac:dyDescent="0.2">
      <c r="A1860" s="2">
        <f ca="1">IFERROR(__xludf.DUMMYFUNCTION("""COMPUTED_VALUE"""),44974.6666666666)</f>
        <v>44974.666666666599</v>
      </c>
      <c r="B1860" s="1">
        <f ca="1">IFERROR(__xludf.DUMMYFUNCTION("""COMPUTED_VALUE"""),199.99)</f>
        <v>199.99</v>
      </c>
      <c r="C1860" s="1">
        <f ca="1">IFERROR(__xludf.DUMMYFUNCTION("""COMPUTED_VALUE"""),208.44)</f>
        <v>208.44</v>
      </c>
      <c r="D1860" s="1">
        <f ca="1">IFERROR(__xludf.DUMMYFUNCTION("""COMPUTED_VALUE"""),197.5)</f>
        <v>197.5</v>
      </c>
      <c r="E1860" s="1">
        <f ca="1">IFERROR(__xludf.DUMMYFUNCTION("""COMPUTED_VALUE"""),208.31)</f>
        <v>208.31</v>
      </c>
      <c r="F1860" s="1">
        <f ca="1">IFERROR(__xludf.DUMMYFUNCTION("""COMPUTED_VALUE"""),213738549)</f>
        <v>213738549</v>
      </c>
    </row>
    <row r="1861" spans="1:6" x14ac:dyDescent="0.2">
      <c r="A1861" s="2">
        <f ca="1">IFERROR(__xludf.DUMMYFUNCTION("""COMPUTED_VALUE"""),44978.6666666666)</f>
        <v>44978.666666666599</v>
      </c>
      <c r="B1861" s="1">
        <f ca="1">IFERROR(__xludf.DUMMYFUNCTION("""COMPUTED_VALUE"""),204.99)</f>
        <v>204.99</v>
      </c>
      <c r="C1861" s="1">
        <f ca="1">IFERROR(__xludf.DUMMYFUNCTION("""COMPUTED_VALUE"""),209.71)</f>
        <v>209.71</v>
      </c>
      <c r="D1861" s="1">
        <f ca="1">IFERROR(__xludf.DUMMYFUNCTION("""COMPUTED_VALUE"""),197.22)</f>
        <v>197.22</v>
      </c>
      <c r="E1861" s="1">
        <f ca="1">IFERROR(__xludf.DUMMYFUNCTION("""COMPUTED_VALUE"""),197.37)</f>
        <v>197.37</v>
      </c>
      <c r="F1861" s="1">
        <f ca="1">IFERROR(__xludf.DUMMYFUNCTION("""COMPUTED_VALUE"""),180018588)</f>
        <v>180018588</v>
      </c>
    </row>
    <row r="1862" spans="1:6" x14ac:dyDescent="0.2">
      <c r="A1862" s="2">
        <f ca="1">IFERROR(__xludf.DUMMYFUNCTION("""COMPUTED_VALUE"""),44979.6666666666)</f>
        <v>44979.666666666599</v>
      </c>
      <c r="B1862" s="1">
        <f ca="1">IFERROR(__xludf.DUMMYFUNCTION("""COMPUTED_VALUE"""),197.93)</f>
        <v>197.93</v>
      </c>
      <c r="C1862" s="1">
        <f ca="1">IFERROR(__xludf.DUMMYFUNCTION("""COMPUTED_VALUE"""),201.99)</f>
        <v>201.99</v>
      </c>
      <c r="D1862" s="1">
        <f ca="1">IFERROR(__xludf.DUMMYFUNCTION("""COMPUTED_VALUE"""),191.78)</f>
        <v>191.78</v>
      </c>
      <c r="E1862" s="1">
        <f ca="1">IFERROR(__xludf.DUMMYFUNCTION("""COMPUTED_VALUE"""),200.86)</f>
        <v>200.86</v>
      </c>
      <c r="F1862" s="1">
        <f ca="1">IFERROR(__xludf.DUMMYFUNCTION("""COMPUTED_VALUE"""),191828457)</f>
        <v>191828457</v>
      </c>
    </row>
    <row r="1863" spans="1:6" x14ac:dyDescent="0.2">
      <c r="A1863" s="2">
        <f ca="1">IFERROR(__xludf.DUMMYFUNCTION("""COMPUTED_VALUE"""),44980.6666666666)</f>
        <v>44980.666666666599</v>
      </c>
      <c r="B1863" s="1">
        <f ca="1">IFERROR(__xludf.DUMMYFUNCTION("""COMPUTED_VALUE"""),203.91)</f>
        <v>203.91</v>
      </c>
      <c r="C1863" s="1">
        <f ca="1">IFERROR(__xludf.DUMMYFUNCTION("""COMPUTED_VALUE"""),205.14)</f>
        <v>205.14</v>
      </c>
      <c r="D1863" s="1">
        <f ca="1">IFERROR(__xludf.DUMMYFUNCTION("""COMPUTED_VALUE"""),196.33)</f>
        <v>196.33</v>
      </c>
      <c r="E1863" s="1">
        <f ca="1">IFERROR(__xludf.DUMMYFUNCTION("""COMPUTED_VALUE"""),202.07)</f>
        <v>202.07</v>
      </c>
      <c r="F1863" s="1">
        <f ca="1">IFERROR(__xludf.DUMMYFUNCTION("""COMPUTED_VALUE"""),146359950)</f>
        <v>146359950</v>
      </c>
    </row>
    <row r="1864" spans="1:6" x14ac:dyDescent="0.2">
      <c r="A1864" s="2">
        <f ca="1">IFERROR(__xludf.DUMMYFUNCTION("""COMPUTED_VALUE"""),44981.6666666666)</f>
        <v>44981.666666666599</v>
      </c>
      <c r="B1864" s="1">
        <f ca="1">IFERROR(__xludf.DUMMYFUNCTION("""COMPUTED_VALUE"""),196.33)</f>
        <v>196.33</v>
      </c>
      <c r="C1864" s="1">
        <f ca="1">IFERROR(__xludf.DUMMYFUNCTION("""COMPUTED_VALUE"""),197.67)</f>
        <v>197.67</v>
      </c>
      <c r="D1864" s="1">
        <f ca="1">IFERROR(__xludf.DUMMYFUNCTION("""COMPUTED_VALUE"""),192.8)</f>
        <v>192.8</v>
      </c>
      <c r="E1864" s="1">
        <f ca="1">IFERROR(__xludf.DUMMYFUNCTION("""COMPUTED_VALUE"""),196.88)</f>
        <v>196.88</v>
      </c>
      <c r="F1864" s="1">
        <f ca="1">IFERROR(__xludf.DUMMYFUNCTION("""COMPUTED_VALUE"""),142228105)</f>
        <v>142228105</v>
      </c>
    </row>
    <row r="1865" spans="1:6" x14ac:dyDescent="0.2">
      <c r="A1865" s="2">
        <f ca="1">IFERROR(__xludf.DUMMYFUNCTION("""COMPUTED_VALUE"""),44984.6666666666)</f>
        <v>44984.666666666599</v>
      </c>
      <c r="B1865" s="1">
        <f ca="1">IFERROR(__xludf.DUMMYFUNCTION("""COMPUTED_VALUE"""),202.03)</f>
        <v>202.03</v>
      </c>
      <c r="C1865" s="1">
        <f ca="1">IFERROR(__xludf.DUMMYFUNCTION("""COMPUTED_VALUE"""),209.42)</f>
        <v>209.42</v>
      </c>
      <c r="D1865" s="1">
        <f ca="1">IFERROR(__xludf.DUMMYFUNCTION("""COMPUTED_VALUE"""),201.26)</f>
        <v>201.26</v>
      </c>
      <c r="E1865" s="1">
        <f ca="1">IFERROR(__xludf.DUMMYFUNCTION("""COMPUTED_VALUE"""),207.63)</f>
        <v>207.63</v>
      </c>
      <c r="F1865" s="1">
        <f ca="1">IFERROR(__xludf.DUMMYFUNCTION("""COMPUTED_VALUE"""),161028315)</f>
        <v>161028315</v>
      </c>
    </row>
    <row r="1866" spans="1:6" x14ac:dyDescent="0.2">
      <c r="A1866" s="2">
        <f ca="1">IFERROR(__xludf.DUMMYFUNCTION("""COMPUTED_VALUE"""),44985.6666666666)</f>
        <v>44985.666666666599</v>
      </c>
      <c r="B1866" s="1">
        <f ca="1">IFERROR(__xludf.DUMMYFUNCTION("""COMPUTED_VALUE"""),210.59)</f>
        <v>210.59</v>
      </c>
      <c r="C1866" s="1">
        <f ca="1">IFERROR(__xludf.DUMMYFUNCTION("""COMPUTED_VALUE"""),211.23)</f>
        <v>211.23</v>
      </c>
      <c r="D1866" s="1">
        <f ca="1">IFERROR(__xludf.DUMMYFUNCTION("""COMPUTED_VALUE"""),203.75)</f>
        <v>203.75</v>
      </c>
      <c r="E1866" s="1">
        <f ca="1">IFERROR(__xludf.DUMMYFUNCTION("""COMPUTED_VALUE"""),205.71)</f>
        <v>205.71</v>
      </c>
      <c r="F1866" s="1">
        <f ca="1">IFERROR(__xludf.DUMMYFUNCTION("""COMPUTED_VALUE"""),153144912)</f>
        <v>153144912</v>
      </c>
    </row>
    <row r="1867" spans="1:6" x14ac:dyDescent="0.2">
      <c r="A1867" s="2">
        <f ca="1">IFERROR(__xludf.DUMMYFUNCTION("""COMPUTED_VALUE"""),44986.6666666666)</f>
        <v>44986.666666666599</v>
      </c>
      <c r="B1867" s="1">
        <f ca="1">IFERROR(__xludf.DUMMYFUNCTION("""COMPUTED_VALUE"""),206.21)</f>
        <v>206.21</v>
      </c>
      <c r="C1867" s="1">
        <f ca="1">IFERROR(__xludf.DUMMYFUNCTION("""COMPUTED_VALUE"""),207.2)</f>
        <v>207.2</v>
      </c>
      <c r="D1867" s="1">
        <f ca="1">IFERROR(__xludf.DUMMYFUNCTION("""COMPUTED_VALUE"""),198.52)</f>
        <v>198.52</v>
      </c>
      <c r="E1867" s="1">
        <f ca="1">IFERROR(__xludf.DUMMYFUNCTION("""COMPUTED_VALUE"""),202.77)</f>
        <v>202.77</v>
      </c>
      <c r="F1867" s="1">
        <f ca="1">IFERROR(__xludf.DUMMYFUNCTION("""COMPUTED_VALUE"""),156852790)</f>
        <v>156852790</v>
      </c>
    </row>
    <row r="1868" spans="1:6" x14ac:dyDescent="0.2">
      <c r="A1868" s="2">
        <f ca="1">IFERROR(__xludf.DUMMYFUNCTION("""COMPUTED_VALUE"""),44987.6666666666)</f>
        <v>44987.666666666599</v>
      </c>
      <c r="B1868" s="1">
        <f ca="1">IFERROR(__xludf.DUMMYFUNCTION("""COMPUTED_VALUE"""),186.74)</f>
        <v>186.74</v>
      </c>
      <c r="C1868" s="1">
        <f ca="1">IFERROR(__xludf.DUMMYFUNCTION("""COMPUTED_VALUE"""),193.75)</f>
        <v>193.75</v>
      </c>
      <c r="D1868" s="1">
        <f ca="1">IFERROR(__xludf.DUMMYFUNCTION("""COMPUTED_VALUE"""),186.01)</f>
        <v>186.01</v>
      </c>
      <c r="E1868" s="1">
        <f ca="1">IFERROR(__xludf.DUMMYFUNCTION("""COMPUTED_VALUE"""),190.9)</f>
        <v>190.9</v>
      </c>
      <c r="F1868" s="1">
        <f ca="1">IFERROR(__xludf.DUMMYFUNCTION("""COMPUTED_VALUE"""),181979154)</f>
        <v>181979154</v>
      </c>
    </row>
    <row r="1869" spans="1:6" x14ac:dyDescent="0.2">
      <c r="A1869" s="2">
        <f ca="1">IFERROR(__xludf.DUMMYFUNCTION("""COMPUTED_VALUE"""),44988.6666666666)</f>
        <v>44988.666666666599</v>
      </c>
      <c r="B1869" s="1">
        <f ca="1">IFERROR(__xludf.DUMMYFUNCTION("""COMPUTED_VALUE"""),194.8)</f>
        <v>194.8</v>
      </c>
      <c r="C1869" s="1">
        <f ca="1">IFERROR(__xludf.DUMMYFUNCTION("""COMPUTED_VALUE"""),200.48)</f>
        <v>200.48</v>
      </c>
      <c r="D1869" s="1">
        <f ca="1">IFERROR(__xludf.DUMMYFUNCTION("""COMPUTED_VALUE"""),192.88)</f>
        <v>192.88</v>
      </c>
      <c r="E1869" s="1">
        <f ca="1">IFERROR(__xludf.DUMMYFUNCTION("""COMPUTED_VALUE"""),197.79)</f>
        <v>197.79</v>
      </c>
      <c r="F1869" s="1">
        <f ca="1">IFERROR(__xludf.DUMMYFUNCTION("""COMPUTED_VALUE"""),154193277)</f>
        <v>154193277</v>
      </c>
    </row>
    <row r="1870" spans="1:6" x14ac:dyDescent="0.2">
      <c r="A1870" s="2">
        <f ca="1">IFERROR(__xludf.DUMMYFUNCTION("""COMPUTED_VALUE"""),44991.6666666666)</f>
        <v>44991.666666666599</v>
      </c>
      <c r="B1870" s="1">
        <f ca="1">IFERROR(__xludf.DUMMYFUNCTION("""COMPUTED_VALUE"""),198.54)</f>
        <v>198.54</v>
      </c>
      <c r="C1870" s="1">
        <f ca="1">IFERROR(__xludf.DUMMYFUNCTION("""COMPUTED_VALUE"""),198.6)</f>
        <v>198.6</v>
      </c>
      <c r="D1870" s="1">
        <f ca="1">IFERROR(__xludf.DUMMYFUNCTION("""COMPUTED_VALUE"""),192.3)</f>
        <v>192.3</v>
      </c>
      <c r="E1870" s="1">
        <f ca="1">IFERROR(__xludf.DUMMYFUNCTION("""COMPUTED_VALUE"""),193.81)</f>
        <v>193.81</v>
      </c>
      <c r="F1870" s="1">
        <f ca="1">IFERROR(__xludf.DUMMYFUNCTION("""COMPUTED_VALUE"""),128100106)</f>
        <v>128100106</v>
      </c>
    </row>
    <row r="1871" spans="1:6" x14ac:dyDescent="0.2">
      <c r="A1871" s="2">
        <f ca="1">IFERROR(__xludf.DUMMYFUNCTION("""COMPUTED_VALUE"""),44992.6666666666)</f>
        <v>44992.666666666599</v>
      </c>
      <c r="B1871" s="1">
        <f ca="1">IFERROR(__xludf.DUMMYFUNCTION("""COMPUTED_VALUE"""),191.38)</f>
        <v>191.38</v>
      </c>
      <c r="C1871" s="1">
        <f ca="1">IFERROR(__xludf.DUMMYFUNCTION("""COMPUTED_VALUE"""),194.2)</f>
        <v>194.2</v>
      </c>
      <c r="D1871" s="1">
        <f ca="1">IFERROR(__xludf.DUMMYFUNCTION("""COMPUTED_VALUE"""),186.1)</f>
        <v>186.1</v>
      </c>
      <c r="E1871" s="1">
        <f ca="1">IFERROR(__xludf.DUMMYFUNCTION("""COMPUTED_VALUE"""),187.71)</f>
        <v>187.71</v>
      </c>
      <c r="F1871" s="1">
        <f ca="1">IFERROR(__xludf.DUMMYFUNCTION("""COMPUTED_VALUE"""),148125790)</f>
        <v>148125790</v>
      </c>
    </row>
    <row r="1872" spans="1:6" x14ac:dyDescent="0.2">
      <c r="A1872" s="2">
        <f ca="1">IFERROR(__xludf.DUMMYFUNCTION("""COMPUTED_VALUE"""),44993.6666666666)</f>
        <v>44993.666666666599</v>
      </c>
      <c r="B1872" s="1">
        <f ca="1">IFERROR(__xludf.DUMMYFUNCTION("""COMPUTED_VALUE"""),185.04)</f>
        <v>185.04</v>
      </c>
      <c r="C1872" s="1">
        <f ca="1">IFERROR(__xludf.DUMMYFUNCTION("""COMPUTED_VALUE"""),186.5)</f>
        <v>186.5</v>
      </c>
      <c r="D1872" s="1">
        <f ca="1">IFERROR(__xludf.DUMMYFUNCTION("""COMPUTED_VALUE"""),180)</f>
        <v>180</v>
      </c>
      <c r="E1872" s="1">
        <f ca="1">IFERROR(__xludf.DUMMYFUNCTION("""COMPUTED_VALUE"""),182)</f>
        <v>182</v>
      </c>
      <c r="F1872" s="1">
        <f ca="1">IFERROR(__xludf.DUMMYFUNCTION("""COMPUTED_VALUE"""),151897763)</f>
        <v>151897763</v>
      </c>
    </row>
    <row r="1873" spans="1:6" x14ac:dyDescent="0.2">
      <c r="A1873" s="2">
        <f ca="1">IFERROR(__xludf.DUMMYFUNCTION("""COMPUTED_VALUE"""),44994.6666666666)</f>
        <v>44994.666666666599</v>
      </c>
      <c r="B1873" s="1">
        <f ca="1">IFERROR(__xludf.DUMMYFUNCTION("""COMPUTED_VALUE"""),180.25)</f>
        <v>180.25</v>
      </c>
      <c r="C1873" s="1">
        <f ca="1">IFERROR(__xludf.DUMMYFUNCTION("""COMPUTED_VALUE"""),185.18)</f>
        <v>185.18</v>
      </c>
      <c r="D1873" s="1">
        <f ca="1">IFERROR(__xludf.DUMMYFUNCTION("""COMPUTED_VALUE"""),172.51)</f>
        <v>172.51</v>
      </c>
      <c r="E1873" s="1">
        <f ca="1">IFERROR(__xludf.DUMMYFUNCTION("""COMPUTED_VALUE"""),172.92)</f>
        <v>172.92</v>
      </c>
      <c r="F1873" s="1">
        <f ca="1">IFERROR(__xludf.DUMMYFUNCTION("""COMPUTED_VALUE"""),170023794)</f>
        <v>170023794</v>
      </c>
    </row>
    <row r="1874" spans="1:6" x14ac:dyDescent="0.2">
      <c r="A1874" s="2">
        <f ca="1">IFERROR(__xludf.DUMMYFUNCTION("""COMPUTED_VALUE"""),44995.6666666666)</f>
        <v>44995.666666666599</v>
      </c>
      <c r="B1874" s="1">
        <f ca="1">IFERROR(__xludf.DUMMYFUNCTION("""COMPUTED_VALUE"""),175.13)</f>
        <v>175.13</v>
      </c>
      <c r="C1874" s="1">
        <f ca="1">IFERROR(__xludf.DUMMYFUNCTION("""COMPUTED_VALUE"""),178.29)</f>
        <v>178.29</v>
      </c>
      <c r="D1874" s="1">
        <f ca="1">IFERROR(__xludf.DUMMYFUNCTION("""COMPUTED_VALUE"""),168.44)</f>
        <v>168.44</v>
      </c>
      <c r="E1874" s="1">
        <f ca="1">IFERROR(__xludf.DUMMYFUNCTION("""COMPUTED_VALUE"""),173.44)</f>
        <v>173.44</v>
      </c>
      <c r="F1874" s="1">
        <f ca="1">IFERROR(__xludf.DUMMYFUNCTION("""COMPUTED_VALUE"""),191488872)</f>
        <v>191488872</v>
      </c>
    </row>
    <row r="1875" spans="1:6" x14ac:dyDescent="0.2">
      <c r="A1875" s="2">
        <f ca="1">IFERROR(__xludf.DUMMYFUNCTION("""COMPUTED_VALUE"""),44998.6666666666)</f>
        <v>44998.666666666599</v>
      </c>
      <c r="B1875" s="1">
        <f ca="1">IFERROR(__xludf.DUMMYFUNCTION("""COMPUTED_VALUE"""),167.46)</f>
        <v>167.46</v>
      </c>
      <c r="C1875" s="1">
        <f ca="1">IFERROR(__xludf.DUMMYFUNCTION("""COMPUTED_VALUE"""),177.35)</f>
        <v>177.35</v>
      </c>
      <c r="D1875" s="1">
        <f ca="1">IFERROR(__xludf.DUMMYFUNCTION("""COMPUTED_VALUE"""),163.91)</f>
        <v>163.91</v>
      </c>
      <c r="E1875" s="1">
        <f ca="1">IFERROR(__xludf.DUMMYFUNCTION("""COMPUTED_VALUE"""),174.48)</f>
        <v>174.48</v>
      </c>
      <c r="F1875" s="1">
        <f ca="1">IFERROR(__xludf.DUMMYFUNCTION("""COMPUTED_VALUE"""),167790256)</f>
        <v>167790256</v>
      </c>
    </row>
    <row r="1876" spans="1:6" x14ac:dyDescent="0.2">
      <c r="A1876" s="2">
        <f ca="1">IFERROR(__xludf.DUMMYFUNCTION("""COMPUTED_VALUE"""),44999.6666666666)</f>
        <v>44999.666666666599</v>
      </c>
      <c r="B1876" s="1">
        <f ca="1">IFERROR(__xludf.DUMMYFUNCTION("""COMPUTED_VALUE"""),177.31)</f>
        <v>177.31</v>
      </c>
      <c r="C1876" s="1">
        <f ca="1">IFERROR(__xludf.DUMMYFUNCTION("""COMPUTED_VALUE"""),183.8)</f>
        <v>183.8</v>
      </c>
      <c r="D1876" s="1">
        <f ca="1">IFERROR(__xludf.DUMMYFUNCTION("""COMPUTED_VALUE"""),177.14)</f>
        <v>177.14</v>
      </c>
      <c r="E1876" s="1">
        <f ca="1">IFERROR(__xludf.DUMMYFUNCTION("""COMPUTED_VALUE"""),183.26)</f>
        <v>183.26</v>
      </c>
      <c r="F1876" s="1">
        <f ca="1">IFERROR(__xludf.DUMMYFUNCTION("""COMPUTED_VALUE"""),143717897)</f>
        <v>143717897</v>
      </c>
    </row>
    <row r="1877" spans="1:6" x14ac:dyDescent="0.2">
      <c r="A1877" s="2">
        <f ca="1">IFERROR(__xludf.DUMMYFUNCTION("""COMPUTED_VALUE"""),45000.6666666666)</f>
        <v>45000.666666666599</v>
      </c>
      <c r="B1877" s="1">
        <f ca="1">IFERROR(__xludf.DUMMYFUNCTION("""COMPUTED_VALUE"""),180.8)</f>
        <v>180.8</v>
      </c>
      <c r="C1877" s="1">
        <f ca="1">IFERROR(__xludf.DUMMYFUNCTION("""COMPUTED_VALUE"""),182.34)</f>
        <v>182.34</v>
      </c>
      <c r="D1877" s="1">
        <f ca="1">IFERROR(__xludf.DUMMYFUNCTION("""COMPUTED_VALUE"""),176.03)</f>
        <v>176.03</v>
      </c>
      <c r="E1877" s="1">
        <f ca="1">IFERROR(__xludf.DUMMYFUNCTION("""COMPUTED_VALUE"""),180.45)</f>
        <v>180.45</v>
      </c>
      <c r="F1877" s="1">
        <f ca="1">IFERROR(__xludf.DUMMYFUNCTION("""COMPUTED_VALUE"""),145995583)</f>
        <v>145995583</v>
      </c>
    </row>
    <row r="1878" spans="1:6" x14ac:dyDescent="0.2">
      <c r="A1878" s="2">
        <f ca="1">IFERROR(__xludf.DUMMYFUNCTION("""COMPUTED_VALUE"""),45001.6666666666)</f>
        <v>45001.666666666599</v>
      </c>
      <c r="B1878" s="1">
        <f ca="1">IFERROR(__xludf.DUMMYFUNCTION("""COMPUTED_VALUE"""),180.37)</f>
        <v>180.37</v>
      </c>
      <c r="C1878" s="1">
        <f ca="1">IFERROR(__xludf.DUMMYFUNCTION("""COMPUTED_VALUE"""),185.81)</f>
        <v>185.81</v>
      </c>
      <c r="D1878" s="1">
        <f ca="1">IFERROR(__xludf.DUMMYFUNCTION("""COMPUTED_VALUE"""),178.84)</f>
        <v>178.84</v>
      </c>
      <c r="E1878" s="1">
        <f ca="1">IFERROR(__xludf.DUMMYFUNCTION("""COMPUTED_VALUE"""),184.13)</f>
        <v>184.13</v>
      </c>
      <c r="F1878" s="1">
        <f ca="1">IFERROR(__xludf.DUMMYFUNCTION("""COMPUTED_VALUE"""),121374453)</f>
        <v>121374453</v>
      </c>
    </row>
    <row r="1879" spans="1:6" x14ac:dyDescent="0.2">
      <c r="A1879" s="2">
        <f ca="1">IFERROR(__xludf.DUMMYFUNCTION("""COMPUTED_VALUE"""),45002.6666666666)</f>
        <v>45002.666666666599</v>
      </c>
      <c r="B1879" s="1">
        <f ca="1">IFERROR(__xludf.DUMMYFUNCTION("""COMPUTED_VALUE"""),184.52)</f>
        <v>184.52</v>
      </c>
      <c r="C1879" s="1">
        <f ca="1">IFERROR(__xludf.DUMMYFUNCTION("""COMPUTED_VALUE"""),186.22)</f>
        <v>186.22</v>
      </c>
      <c r="D1879" s="1">
        <f ca="1">IFERROR(__xludf.DUMMYFUNCTION("""COMPUTED_VALUE"""),177.33)</f>
        <v>177.33</v>
      </c>
      <c r="E1879" s="1">
        <f ca="1">IFERROR(__xludf.DUMMYFUNCTION("""COMPUTED_VALUE"""),180.13)</f>
        <v>180.13</v>
      </c>
      <c r="F1879" s="1">
        <f ca="1">IFERROR(__xludf.DUMMYFUNCTION("""COMPUTED_VALUE"""),133197140)</f>
        <v>133197140</v>
      </c>
    </row>
    <row r="1880" spans="1:6" x14ac:dyDescent="0.2">
      <c r="A1880" s="2">
        <f ca="1">IFERROR(__xludf.DUMMYFUNCTION("""COMPUTED_VALUE"""),45005.6666666666)</f>
        <v>45005.666666666599</v>
      </c>
      <c r="B1880" s="1">
        <f ca="1">IFERROR(__xludf.DUMMYFUNCTION("""COMPUTED_VALUE"""),178.08)</f>
        <v>178.08</v>
      </c>
      <c r="C1880" s="1">
        <f ca="1">IFERROR(__xludf.DUMMYFUNCTION("""COMPUTED_VALUE"""),186.44)</f>
        <v>186.44</v>
      </c>
      <c r="D1880" s="1">
        <f ca="1">IFERROR(__xludf.DUMMYFUNCTION("""COMPUTED_VALUE"""),176.35)</f>
        <v>176.35</v>
      </c>
      <c r="E1880" s="1">
        <f ca="1">IFERROR(__xludf.DUMMYFUNCTION("""COMPUTED_VALUE"""),183.25)</f>
        <v>183.25</v>
      </c>
      <c r="F1880" s="1">
        <f ca="1">IFERROR(__xludf.DUMMYFUNCTION("""COMPUTED_VALUE"""),129684359)</f>
        <v>129684359</v>
      </c>
    </row>
    <row r="1881" spans="1:6" x14ac:dyDescent="0.2">
      <c r="A1881" s="2">
        <f ca="1">IFERROR(__xludf.DUMMYFUNCTION("""COMPUTED_VALUE"""),45006.6666666666)</f>
        <v>45006.666666666599</v>
      </c>
      <c r="B1881" s="1">
        <f ca="1">IFERROR(__xludf.DUMMYFUNCTION("""COMPUTED_VALUE"""),188.28)</f>
        <v>188.28</v>
      </c>
      <c r="C1881" s="1">
        <f ca="1">IFERROR(__xludf.DUMMYFUNCTION("""COMPUTED_VALUE"""),198)</f>
        <v>198</v>
      </c>
      <c r="D1881" s="1">
        <f ca="1">IFERROR(__xludf.DUMMYFUNCTION("""COMPUTED_VALUE"""),188.04)</f>
        <v>188.04</v>
      </c>
      <c r="E1881" s="1">
        <f ca="1">IFERROR(__xludf.DUMMYFUNCTION("""COMPUTED_VALUE"""),197.58)</f>
        <v>197.58</v>
      </c>
      <c r="F1881" s="1">
        <f ca="1">IFERROR(__xludf.DUMMYFUNCTION("""COMPUTED_VALUE"""),153391444)</f>
        <v>153391444</v>
      </c>
    </row>
    <row r="1882" spans="1:6" x14ac:dyDescent="0.2">
      <c r="A1882" s="2">
        <f ca="1">IFERROR(__xludf.DUMMYFUNCTION("""COMPUTED_VALUE"""),45007.6666666666)</f>
        <v>45007.666666666599</v>
      </c>
      <c r="B1882" s="1">
        <f ca="1">IFERROR(__xludf.DUMMYFUNCTION("""COMPUTED_VALUE"""),199.3)</f>
        <v>199.3</v>
      </c>
      <c r="C1882" s="1">
        <f ca="1">IFERROR(__xludf.DUMMYFUNCTION("""COMPUTED_VALUE"""),200.66)</f>
        <v>200.66</v>
      </c>
      <c r="D1882" s="1">
        <f ca="1">IFERROR(__xludf.DUMMYFUNCTION("""COMPUTED_VALUE"""),190.95)</f>
        <v>190.95</v>
      </c>
      <c r="E1882" s="1">
        <f ca="1">IFERROR(__xludf.DUMMYFUNCTION("""COMPUTED_VALUE"""),191.15)</f>
        <v>191.15</v>
      </c>
      <c r="F1882" s="1">
        <f ca="1">IFERROR(__xludf.DUMMYFUNCTION("""COMPUTED_VALUE"""),150376373)</f>
        <v>150376373</v>
      </c>
    </row>
    <row r="1883" spans="1:6" x14ac:dyDescent="0.2">
      <c r="A1883" s="2">
        <f ca="1">IFERROR(__xludf.DUMMYFUNCTION("""COMPUTED_VALUE"""),45008.6666666666)</f>
        <v>45008.666666666599</v>
      </c>
      <c r="B1883" s="1">
        <f ca="1">IFERROR(__xludf.DUMMYFUNCTION("""COMPUTED_VALUE"""),195.26)</f>
        <v>195.26</v>
      </c>
      <c r="C1883" s="1">
        <f ca="1">IFERROR(__xludf.DUMMYFUNCTION("""COMPUTED_VALUE"""),199.31)</f>
        <v>199.31</v>
      </c>
      <c r="D1883" s="1">
        <f ca="1">IFERROR(__xludf.DUMMYFUNCTION("""COMPUTED_VALUE"""),188.65)</f>
        <v>188.65</v>
      </c>
      <c r="E1883" s="1">
        <f ca="1">IFERROR(__xludf.DUMMYFUNCTION("""COMPUTED_VALUE"""),192.22)</f>
        <v>192.22</v>
      </c>
      <c r="F1883" s="1">
        <f ca="1">IFERROR(__xludf.DUMMYFUNCTION("""COMPUTED_VALUE"""),144193876)</f>
        <v>144193876</v>
      </c>
    </row>
    <row r="1884" spans="1:6" x14ac:dyDescent="0.2">
      <c r="A1884" s="2">
        <f ca="1">IFERROR(__xludf.DUMMYFUNCTION("""COMPUTED_VALUE"""),45009.6666666666)</f>
        <v>45009.666666666599</v>
      </c>
      <c r="B1884" s="1">
        <f ca="1">IFERROR(__xludf.DUMMYFUNCTION("""COMPUTED_VALUE"""),191.65)</f>
        <v>191.65</v>
      </c>
      <c r="C1884" s="1">
        <f ca="1">IFERROR(__xludf.DUMMYFUNCTION("""COMPUTED_VALUE"""),192.36)</f>
        <v>192.36</v>
      </c>
      <c r="D1884" s="1">
        <f ca="1">IFERROR(__xludf.DUMMYFUNCTION("""COMPUTED_VALUE"""),187.15)</f>
        <v>187.15</v>
      </c>
      <c r="E1884" s="1">
        <f ca="1">IFERROR(__xludf.DUMMYFUNCTION("""COMPUTED_VALUE"""),190.41)</f>
        <v>190.41</v>
      </c>
      <c r="F1884" s="1">
        <f ca="1">IFERROR(__xludf.DUMMYFUNCTION("""COMPUTED_VALUE"""),116531584)</f>
        <v>116531584</v>
      </c>
    </row>
    <row r="1885" spans="1:6" x14ac:dyDescent="0.2">
      <c r="A1885" s="2">
        <f ca="1">IFERROR(__xludf.DUMMYFUNCTION("""COMPUTED_VALUE"""),45012.6666666666)</f>
        <v>45012.666666666599</v>
      </c>
      <c r="B1885" s="1">
        <f ca="1">IFERROR(__xludf.DUMMYFUNCTION("""COMPUTED_VALUE"""),194.42)</f>
        <v>194.42</v>
      </c>
      <c r="C1885" s="1">
        <f ca="1">IFERROR(__xludf.DUMMYFUNCTION("""COMPUTED_VALUE"""),197.39)</f>
        <v>197.39</v>
      </c>
      <c r="D1885" s="1">
        <f ca="1">IFERROR(__xludf.DUMMYFUNCTION("""COMPUTED_VALUE"""),189.94)</f>
        <v>189.94</v>
      </c>
      <c r="E1885" s="1">
        <f ca="1">IFERROR(__xludf.DUMMYFUNCTION("""COMPUTED_VALUE"""),191.81)</f>
        <v>191.81</v>
      </c>
      <c r="F1885" s="1">
        <f ca="1">IFERROR(__xludf.DUMMYFUNCTION("""COMPUTED_VALUE"""),120851587)</f>
        <v>120851587</v>
      </c>
    </row>
    <row r="1886" spans="1:6" x14ac:dyDescent="0.2">
      <c r="A1886" s="2">
        <f ca="1">IFERROR(__xludf.DUMMYFUNCTION("""COMPUTED_VALUE"""),45013.6666666666)</f>
        <v>45013.666666666599</v>
      </c>
      <c r="B1886" s="1">
        <f ca="1">IFERROR(__xludf.DUMMYFUNCTION("""COMPUTED_VALUE"""),192)</f>
        <v>192</v>
      </c>
      <c r="C1886" s="1">
        <f ca="1">IFERROR(__xludf.DUMMYFUNCTION("""COMPUTED_VALUE"""),192.35)</f>
        <v>192.35</v>
      </c>
      <c r="D1886" s="1">
        <f ca="1">IFERROR(__xludf.DUMMYFUNCTION("""COMPUTED_VALUE"""),185.43)</f>
        <v>185.43</v>
      </c>
      <c r="E1886" s="1">
        <f ca="1">IFERROR(__xludf.DUMMYFUNCTION("""COMPUTED_VALUE"""),189.19)</f>
        <v>189.19</v>
      </c>
      <c r="F1886" s="1">
        <f ca="1">IFERROR(__xludf.DUMMYFUNCTION("""COMPUTED_VALUE"""),98654635)</f>
        <v>98654635</v>
      </c>
    </row>
    <row r="1887" spans="1:6" x14ac:dyDescent="0.2">
      <c r="A1887" s="2">
        <f ca="1">IFERROR(__xludf.DUMMYFUNCTION("""COMPUTED_VALUE"""),45014.6666666666)</f>
        <v>45014.666666666599</v>
      </c>
      <c r="B1887" s="1">
        <f ca="1">IFERROR(__xludf.DUMMYFUNCTION("""COMPUTED_VALUE"""),193.13)</f>
        <v>193.13</v>
      </c>
      <c r="C1887" s="1">
        <f ca="1">IFERROR(__xludf.DUMMYFUNCTION("""COMPUTED_VALUE"""),195.29)</f>
        <v>195.29</v>
      </c>
      <c r="D1887" s="1">
        <f ca="1">IFERROR(__xludf.DUMMYFUNCTION("""COMPUTED_VALUE"""),189.44)</f>
        <v>189.44</v>
      </c>
      <c r="E1887" s="1">
        <f ca="1">IFERROR(__xludf.DUMMYFUNCTION("""COMPUTED_VALUE"""),193.88)</f>
        <v>193.88</v>
      </c>
      <c r="F1887" s="1">
        <f ca="1">IFERROR(__xludf.DUMMYFUNCTION("""COMPUTED_VALUE"""),123660026)</f>
        <v>123660026</v>
      </c>
    </row>
    <row r="1888" spans="1:6" x14ac:dyDescent="0.2">
      <c r="A1888" s="2">
        <f ca="1">IFERROR(__xludf.DUMMYFUNCTION("""COMPUTED_VALUE"""),45015.6666666666)</f>
        <v>45015.666666666599</v>
      </c>
      <c r="B1888" s="1">
        <f ca="1">IFERROR(__xludf.DUMMYFUNCTION("""COMPUTED_VALUE"""),195.58)</f>
        <v>195.58</v>
      </c>
      <c r="C1888" s="1">
        <f ca="1">IFERROR(__xludf.DUMMYFUNCTION("""COMPUTED_VALUE"""),197.33)</f>
        <v>197.33</v>
      </c>
      <c r="D1888" s="1">
        <f ca="1">IFERROR(__xludf.DUMMYFUNCTION("""COMPUTED_VALUE"""),194.42)</f>
        <v>194.42</v>
      </c>
      <c r="E1888" s="1">
        <f ca="1">IFERROR(__xludf.DUMMYFUNCTION("""COMPUTED_VALUE"""),195.28)</f>
        <v>195.28</v>
      </c>
      <c r="F1888" s="1">
        <f ca="1">IFERROR(__xludf.DUMMYFUNCTION("""COMPUTED_VALUE"""),110252238)</f>
        <v>110252238</v>
      </c>
    </row>
    <row r="1889" spans="1:6" x14ac:dyDescent="0.2">
      <c r="A1889" s="2">
        <f ca="1">IFERROR(__xludf.DUMMYFUNCTION("""COMPUTED_VALUE"""),45016.6666666666)</f>
        <v>45016.666666666599</v>
      </c>
      <c r="B1889" s="1">
        <f ca="1">IFERROR(__xludf.DUMMYFUNCTION("""COMPUTED_VALUE"""),197.53)</f>
        <v>197.53</v>
      </c>
      <c r="C1889" s="1">
        <f ca="1">IFERROR(__xludf.DUMMYFUNCTION("""COMPUTED_VALUE"""),207.79)</f>
        <v>207.79</v>
      </c>
      <c r="D1889" s="1">
        <f ca="1">IFERROR(__xludf.DUMMYFUNCTION("""COMPUTED_VALUE"""),197.2)</f>
        <v>197.2</v>
      </c>
      <c r="E1889" s="1">
        <f ca="1">IFERROR(__xludf.DUMMYFUNCTION("""COMPUTED_VALUE"""),207.46)</f>
        <v>207.46</v>
      </c>
      <c r="F1889" s="1">
        <f ca="1">IFERROR(__xludf.DUMMYFUNCTION("""COMPUTED_VALUE"""),170222118)</f>
        <v>170222118</v>
      </c>
    </row>
    <row r="1890" spans="1:6" x14ac:dyDescent="0.2">
      <c r="A1890" s="2">
        <f ca="1">IFERROR(__xludf.DUMMYFUNCTION("""COMPUTED_VALUE"""),45019.6666666666)</f>
        <v>45019.666666666599</v>
      </c>
      <c r="B1890" s="1">
        <f ca="1">IFERROR(__xludf.DUMMYFUNCTION("""COMPUTED_VALUE"""),199.91)</f>
        <v>199.91</v>
      </c>
      <c r="C1890" s="1">
        <f ca="1">IFERROR(__xludf.DUMMYFUNCTION("""COMPUTED_VALUE"""),202.69)</f>
        <v>202.69</v>
      </c>
      <c r="D1890" s="1">
        <f ca="1">IFERROR(__xludf.DUMMYFUNCTION("""COMPUTED_VALUE"""),192.2)</f>
        <v>192.2</v>
      </c>
      <c r="E1890" s="1">
        <f ca="1">IFERROR(__xludf.DUMMYFUNCTION("""COMPUTED_VALUE"""),194.77)</f>
        <v>194.77</v>
      </c>
      <c r="F1890" s="1">
        <f ca="1">IFERROR(__xludf.DUMMYFUNCTION("""COMPUTED_VALUE"""),169545900)</f>
        <v>169545900</v>
      </c>
    </row>
    <row r="1891" spans="1:6" x14ac:dyDescent="0.2">
      <c r="A1891" s="2">
        <f ca="1">IFERROR(__xludf.DUMMYFUNCTION("""COMPUTED_VALUE"""),45020.6666666666)</f>
        <v>45020.666666666599</v>
      </c>
      <c r="B1891" s="1">
        <f ca="1">IFERROR(__xludf.DUMMYFUNCTION("""COMPUTED_VALUE"""),197.32)</f>
        <v>197.32</v>
      </c>
      <c r="C1891" s="1">
        <f ca="1">IFERROR(__xludf.DUMMYFUNCTION("""COMPUTED_VALUE"""),198.74)</f>
        <v>198.74</v>
      </c>
      <c r="D1891" s="1">
        <f ca="1">IFERROR(__xludf.DUMMYFUNCTION("""COMPUTED_VALUE"""),190.32)</f>
        <v>190.32</v>
      </c>
      <c r="E1891" s="1">
        <f ca="1">IFERROR(__xludf.DUMMYFUNCTION("""COMPUTED_VALUE"""),192.58)</f>
        <v>192.58</v>
      </c>
      <c r="F1891" s="1">
        <f ca="1">IFERROR(__xludf.DUMMYFUNCTION("""COMPUTED_VALUE"""),126463845)</f>
        <v>126463845</v>
      </c>
    </row>
    <row r="1892" spans="1:6" x14ac:dyDescent="0.2">
      <c r="A1892" s="2">
        <f ca="1">IFERROR(__xludf.DUMMYFUNCTION("""COMPUTED_VALUE"""),45021.6666666666)</f>
        <v>45021.666666666599</v>
      </c>
      <c r="B1892" s="1">
        <f ca="1">IFERROR(__xludf.DUMMYFUNCTION("""COMPUTED_VALUE"""),190.52)</f>
        <v>190.52</v>
      </c>
      <c r="C1892" s="1">
        <f ca="1">IFERROR(__xludf.DUMMYFUNCTION("""COMPUTED_VALUE"""),190.68)</f>
        <v>190.68</v>
      </c>
      <c r="D1892" s="1">
        <f ca="1">IFERROR(__xludf.DUMMYFUNCTION("""COMPUTED_VALUE"""),183.76)</f>
        <v>183.76</v>
      </c>
      <c r="E1892" s="1">
        <f ca="1">IFERROR(__xludf.DUMMYFUNCTION("""COMPUTED_VALUE"""),185.52)</f>
        <v>185.52</v>
      </c>
      <c r="F1892" s="1">
        <f ca="1">IFERROR(__xludf.DUMMYFUNCTION("""COMPUTED_VALUE"""),133882493)</f>
        <v>133882493</v>
      </c>
    </row>
    <row r="1893" spans="1:6" x14ac:dyDescent="0.2">
      <c r="A1893" s="2">
        <f ca="1">IFERROR(__xludf.DUMMYFUNCTION("""COMPUTED_VALUE"""),45022.6666666666)</f>
        <v>45022.666666666599</v>
      </c>
      <c r="B1893" s="1">
        <f ca="1">IFERROR(__xludf.DUMMYFUNCTION("""COMPUTED_VALUE"""),183.08)</f>
        <v>183.08</v>
      </c>
      <c r="C1893" s="1">
        <f ca="1">IFERROR(__xludf.DUMMYFUNCTION("""COMPUTED_VALUE"""),186.39)</f>
        <v>186.39</v>
      </c>
      <c r="D1893" s="1">
        <f ca="1">IFERROR(__xludf.DUMMYFUNCTION("""COMPUTED_VALUE"""),179.74)</f>
        <v>179.74</v>
      </c>
      <c r="E1893" s="1">
        <f ca="1">IFERROR(__xludf.DUMMYFUNCTION("""COMPUTED_VALUE"""),185.06)</f>
        <v>185.06</v>
      </c>
      <c r="F1893" s="1">
        <f ca="1">IFERROR(__xludf.DUMMYFUNCTION("""COMPUTED_VALUE"""),123857932)</f>
        <v>123857932</v>
      </c>
    </row>
    <row r="1894" spans="1:6" x14ac:dyDescent="0.2">
      <c r="A1894" s="2">
        <f ca="1">IFERROR(__xludf.DUMMYFUNCTION("""COMPUTED_VALUE"""),45026.6666666666)</f>
        <v>45026.666666666599</v>
      </c>
      <c r="B1894" s="1">
        <f ca="1">IFERROR(__xludf.DUMMYFUNCTION("""COMPUTED_VALUE"""),179.94)</f>
        <v>179.94</v>
      </c>
      <c r="C1894" s="1">
        <f ca="1">IFERROR(__xludf.DUMMYFUNCTION("""COMPUTED_VALUE"""),185.1)</f>
        <v>185.1</v>
      </c>
      <c r="D1894" s="1">
        <f ca="1">IFERROR(__xludf.DUMMYFUNCTION("""COMPUTED_VALUE"""),176.11)</f>
        <v>176.11</v>
      </c>
      <c r="E1894" s="1">
        <f ca="1">IFERROR(__xludf.DUMMYFUNCTION("""COMPUTED_VALUE"""),184.51)</f>
        <v>184.51</v>
      </c>
      <c r="F1894" s="1">
        <f ca="1">IFERROR(__xludf.DUMMYFUNCTION("""COMPUTED_VALUE"""),142154637)</f>
        <v>142154637</v>
      </c>
    </row>
    <row r="1895" spans="1:6" x14ac:dyDescent="0.2">
      <c r="A1895" s="2">
        <f ca="1">IFERROR(__xludf.DUMMYFUNCTION("""COMPUTED_VALUE"""),45027.6666666666)</f>
        <v>45027.666666666599</v>
      </c>
      <c r="B1895" s="1">
        <f ca="1">IFERROR(__xludf.DUMMYFUNCTION("""COMPUTED_VALUE"""),186.69)</f>
        <v>186.69</v>
      </c>
      <c r="C1895" s="1">
        <f ca="1">IFERROR(__xludf.DUMMYFUNCTION("""COMPUTED_VALUE"""),189.19)</f>
        <v>189.19</v>
      </c>
      <c r="D1895" s="1">
        <f ca="1">IFERROR(__xludf.DUMMYFUNCTION("""COMPUTED_VALUE"""),185.65)</f>
        <v>185.65</v>
      </c>
      <c r="E1895" s="1">
        <f ca="1">IFERROR(__xludf.DUMMYFUNCTION("""COMPUTED_VALUE"""),186.79)</f>
        <v>186.79</v>
      </c>
      <c r="F1895" s="1">
        <f ca="1">IFERROR(__xludf.DUMMYFUNCTION("""COMPUTED_VALUE"""),115770892)</f>
        <v>115770892</v>
      </c>
    </row>
    <row r="1896" spans="1:6" x14ac:dyDescent="0.2">
      <c r="A1896" s="2">
        <f ca="1">IFERROR(__xludf.DUMMYFUNCTION("""COMPUTED_VALUE"""),45028.6666666666)</f>
        <v>45028.666666666599</v>
      </c>
      <c r="B1896" s="1">
        <f ca="1">IFERROR(__xludf.DUMMYFUNCTION("""COMPUTED_VALUE"""),190.74)</f>
        <v>190.74</v>
      </c>
      <c r="C1896" s="1">
        <f ca="1">IFERROR(__xludf.DUMMYFUNCTION("""COMPUTED_VALUE"""),191.58)</f>
        <v>191.58</v>
      </c>
      <c r="D1896" s="1">
        <f ca="1">IFERROR(__xludf.DUMMYFUNCTION("""COMPUTED_VALUE"""),180.31)</f>
        <v>180.31</v>
      </c>
      <c r="E1896" s="1">
        <f ca="1">IFERROR(__xludf.DUMMYFUNCTION("""COMPUTED_VALUE"""),180.54)</f>
        <v>180.54</v>
      </c>
      <c r="F1896" s="1">
        <f ca="1">IFERROR(__xludf.DUMMYFUNCTION("""COMPUTED_VALUE"""),150256278)</f>
        <v>150256278</v>
      </c>
    </row>
    <row r="1897" spans="1:6" x14ac:dyDescent="0.2">
      <c r="A1897" s="2">
        <f ca="1">IFERROR(__xludf.DUMMYFUNCTION("""COMPUTED_VALUE"""),45029.6666666666)</f>
        <v>45029.666666666599</v>
      </c>
      <c r="B1897" s="1">
        <f ca="1">IFERROR(__xludf.DUMMYFUNCTION("""COMPUTED_VALUE"""),182.96)</f>
        <v>182.96</v>
      </c>
      <c r="C1897" s="1">
        <f ca="1">IFERROR(__xludf.DUMMYFUNCTION("""COMPUTED_VALUE"""),186.5)</f>
        <v>186.5</v>
      </c>
      <c r="D1897" s="1">
        <f ca="1">IFERROR(__xludf.DUMMYFUNCTION("""COMPUTED_VALUE"""),180.94)</f>
        <v>180.94</v>
      </c>
      <c r="E1897" s="1">
        <f ca="1">IFERROR(__xludf.DUMMYFUNCTION("""COMPUTED_VALUE"""),185.9)</f>
        <v>185.9</v>
      </c>
      <c r="F1897" s="1">
        <f ca="1">IFERROR(__xludf.DUMMYFUNCTION("""COMPUTED_VALUE"""),112932985)</f>
        <v>112932985</v>
      </c>
    </row>
    <row r="1898" spans="1:6" x14ac:dyDescent="0.2">
      <c r="A1898" s="2">
        <f ca="1">IFERROR(__xludf.DUMMYFUNCTION("""COMPUTED_VALUE"""),45030.6666666666)</f>
        <v>45030.666666666599</v>
      </c>
      <c r="B1898" s="1">
        <f ca="1">IFERROR(__xludf.DUMMYFUNCTION("""COMPUTED_VALUE"""),183.95)</f>
        <v>183.95</v>
      </c>
      <c r="C1898" s="1">
        <f ca="1">IFERROR(__xludf.DUMMYFUNCTION("""COMPUTED_VALUE"""),186.28)</f>
        <v>186.28</v>
      </c>
      <c r="D1898" s="1">
        <f ca="1">IFERROR(__xludf.DUMMYFUNCTION("""COMPUTED_VALUE"""),182.01)</f>
        <v>182.01</v>
      </c>
      <c r="E1898" s="1">
        <f ca="1">IFERROR(__xludf.DUMMYFUNCTION("""COMPUTED_VALUE"""),185)</f>
        <v>185</v>
      </c>
      <c r="F1898" s="1">
        <f ca="1">IFERROR(__xludf.DUMMYFUNCTION("""COMPUTED_VALUE"""),96438664)</f>
        <v>96438664</v>
      </c>
    </row>
    <row r="1899" spans="1:6" x14ac:dyDescent="0.2">
      <c r="A1899" s="2">
        <f ca="1">IFERROR(__xludf.DUMMYFUNCTION("""COMPUTED_VALUE"""),45033.6666666666)</f>
        <v>45033.666666666599</v>
      </c>
      <c r="B1899" s="1">
        <f ca="1">IFERROR(__xludf.DUMMYFUNCTION("""COMPUTED_VALUE"""),186.32)</f>
        <v>186.32</v>
      </c>
      <c r="C1899" s="1">
        <f ca="1">IFERROR(__xludf.DUMMYFUNCTION("""COMPUTED_VALUE"""),189.69)</f>
        <v>189.69</v>
      </c>
      <c r="D1899" s="1">
        <f ca="1">IFERROR(__xludf.DUMMYFUNCTION("""COMPUTED_VALUE"""),182.69)</f>
        <v>182.69</v>
      </c>
      <c r="E1899" s="1">
        <f ca="1">IFERROR(__xludf.DUMMYFUNCTION("""COMPUTED_VALUE"""),187.04)</f>
        <v>187.04</v>
      </c>
      <c r="F1899" s="1">
        <f ca="1">IFERROR(__xludf.DUMMYFUNCTION("""COMPUTED_VALUE"""),116662189)</f>
        <v>116662189</v>
      </c>
    </row>
    <row r="1900" spans="1:6" x14ac:dyDescent="0.2">
      <c r="A1900" s="2">
        <f ca="1">IFERROR(__xludf.DUMMYFUNCTION("""COMPUTED_VALUE"""),45034.6666666666)</f>
        <v>45034.666666666599</v>
      </c>
      <c r="B1900" s="1">
        <f ca="1">IFERROR(__xludf.DUMMYFUNCTION("""COMPUTED_VALUE"""),187.15)</f>
        <v>187.15</v>
      </c>
      <c r="C1900" s="1">
        <f ca="1">IFERROR(__xludf.DUMMYFUNCTION("""COMPUTED_VALUE"""),187.69)</f>
        <v>187.69</v>
      </c>
      <c r="D1900" s="1">
        <f ca="1">IFERROR(__xludf.DUMMYFUNCTION("""COMPUTED_VALUE"""),183.58)</f>
        <v>183.58</v>
      </c>
      <c r="E1900" s="1">
        <f ca="1">IFERROR(__xludf.DUMMYFUNCTION("""COMPUTED_VALUE"""),184.31)</f>
        <v>184.31</v>
      </c>
      <c r="F1900" s="1">
        <f ca="1">IFERROR(__xludf.DUMMYFUNCTION("""COMPUTED_VALUE"""),92067016)</f>
        <v>92067016</v>
      </c>
    </row>
    <row r="1901" spans="1:6" x14ac:dyDescent="0.2">
      <c r="A1901" s="2">
        <f ca="1">IFERROR(__xludf.DUMMYFUNCTION("""COMPUTED_VALUE"""),45035.6666666666)</f>
        <v>45035.666666666599</v>
      </c>
      <c r="B1901" s="1">
        <f ca="1">IFERROR(__xludf.DUMMYFUNCTION("""COMPUTED_VALUE"""),179.1)</f>
        <v>179.1</v>
      </c>
      <c r="C1901" s="1">
        <f ca="1">IFERROR(__xludf.DUMMYFUNCTION("""COMPUTED_VALUE"""),183.5)</f>
        <v>183.5</v>
      </c>
      <c r="D1901" s="1">
        <f ca="1">IFERROR(__xludf.DUMMYFUNCTION("""COMPUTED_VALUE"""),177.65)</f>
        <v>177.65</v>
      </c>
      <c r="E1901" s="1">
        <f ca="1">IFERROR(__xludf.DUMMYFUNCTION("""COMPUTED_VALUE"""),180.59)</f>
        <v>180.59</v>
      </c>
      <c r="F1901" s="1">
        <f ca="1">IFERROR(__xludf.DUMMYFUNCTION("""COMPUTED_VALUE"""),125732687)</f>
        <v>125732687</v>
      </c>
    </row>
    <row r="1902" spans="1:6" x14ac:dyDescent="0.2">
      <c r="A1902" s="2">
        <f ca="1">IFERROR(__xludf.DUMMYFUNCTION("""COMPUTED_VALUE"""),45036.6666666666)</f>
        <v>45036.666666666599</v>
      </c>
      <c r="B1902" s="1">
        <f ca="1">IFERROR(__xludf.DUMMYFUNCTION("""COMPUTED_VALUE"""),166.17)</f>
        <v>166.17</v>
      </c>
      <c r="C1902" s="1">
        <f ca="1">IFERROR(__xludf.DUMMYFUNCTION("""COMPUTED_VALUE"""),169.7)</f>
        <v>169.7</v>
      </c>
      <c r="D1902" s="1">
        <f ca="1">IFERROR(__xludf.DUMMYFUNCTION("""COMPUTED_VALUE"""),160.56)</f>
        <v>160.56</v>
      </c>
      <c r="E1902" s="1">
        <f ca="1">IFERROR(__xludf.DUMMYFUNCTION("""COMPUTED_VALUE"""),162.99)</f>
        <v>162.99</v>
      </c>
      <c r="F1902" s="1">
        <f ca="1">IFERROR(__xludf.DUMMYFUNCTION("""COMPUTED_VALUE"""),210970819)</f>
        <v>210970819</v>
      </c>
    </row>
    <row r="1903" spans="1:6" x14ac:dyDescent="0.2">
      <c r="A1903" s="2">
        <f ca="1">IFERROR(__xludf.DUMMYFUNCTION("""COMPUTED_VALUE"""),45037.6666666666)</f>
        <v>45037.666666666599</v>
      </c>
      <c r="B1903" s="1">
        <f ca="1">IFERROR(__xludf.DUMMYFUNCTION("""COMPUTED_VALUE"""),164.8)</f>
        <v>164.8</v>
      </c>
      <c r="C1903" s="1">
        <f ca="1">IFERROR(__xludf.DUMMYFUNCTION("""COMPUTED_VALUE"""),166)</f>
        <v>166</v>
      </c>
      <c r="D1903" s="1">
        <f ca="1">IFERROR(__xludf.DUMMYFUNCTION("""COMPUTED_VALUE"""),161.32)</f>
        <v>161.32</v>
      </c>
      <c r="E1903" s="1">
        <f ca="1">IFERROR(__xludf.DUMMYFUNCTION("""COMPUTED_VALUE"""),165.08)</f>
        <v>165.08</v>
      </c>
      <c r="F1903" s="1">
        <f ca="1">IFERROR(__xludf.DUMMYFUNCTION("""COMPUTED_VALUE"""),123538954)</f>
        <v>123538954</v>
      </c>
    </row>
    <row r="1904" spans="1:6" x14ac:dyDescent="0.2">
      <c r="A1904" s="2">
        <f ca="1">IFERROR(__xludf.DUMMYFUNCTION("""COMPUTED_VALUE"""),45040.6666666666)</f>
        <v>45040.666666666599</v>
      </c>
      <c r="B1904" s="1">
        <f ca="1">IFERROR(__xludf.DUMMYFUNCTION("""COMPUTED_VALUE"""),164.65)</f>
        <v>164.65</v>
      </c>
      <c r="C1904" s="1">
        <f ca="1">IFERROR(__xludf.DUMMYFUNCTION("""COMPUTED_VALUE"""),165.65)</f>
        <v>165.65</v>
      </c>
      <c r="D1904" s="1">
        <f ca="1">IFERROR(__xludf.DUMMYFUNCTION("""COMPUTED_VALUE"""),158.61)</f>
        <v>158.61000000000001</v>
      </c>
      <c r="E1904" s="1">
        <f ca="1">IFERROR(__xludf.DUMMYFUNCTION("""COMPUTED_VALUE"""),162.55)</f>
        <v>162.55000000000001</v>
      </c>
      <c r="F1904" s="1">
        <f ca="1">IFERROR(__xludf.DUMMYFUNCTION("""COMPUTED_VALUE"""),140006559)</f>
        <v>140006559</v>
      </c>
    </row>
    <row r="1905" spans="1:6" x14ac:dyDescent="0.2">
      <c r="A1905" s="2">
        <f ca="1">IFERROR(__xludf.DUMMYFUNCTION("""COMPUTED_VALUE"""),45041.6666666666)</f>
        <v>45041.666666666599</v>
      </c>
      <c r="B1905" s="1">
        <f ca="1">IFERROR(__xludf.DUMMYFUNCTION("""COMPUTED_VALUE"""),159.82)</f>
        <v>159.82</v>
      </c>
      <c r="C1905" s="1">
        <f ca="1">IFERROR(__xludf.DUMMYFUNCTION("""COMPUTED_VALUE"""),163.47)</f>
        <v>163.47</v>
      </c>
      <c r="D1905" s="1">
        <f ca="1">IFERROR(__xludf.DUMMYFUNCTION("""COMPUTED_VALUE"""),158.75)</f>
        <v>158.75</v>
      </c>
      <c r="E1905" s="1">
        <f ca="1">IFERROR(__xludf.DUMMYFUNCTION("""COMPUTED_VALUE"""),160.67)</f>
        <v>160.66999999999999</v>
      </c>
      <c r="F1905" s="1">
        <f ca="1">IFERROR(__xludf.DUMMYFUNCTION("""COMPUTED_VALUE"""),121999312)</f>
        <v>121999312</v>
      </c>
    </row>
    <row r="1906" spans="1:6" x14ac:dyDescent="0.2">
      <c r="A1906" s="2">
        <f ca="1">IFERROR(__xludf.DUMMYFUNCTION("""COMPUTED_VALUE"""),45042.6666666666)</f>
        <v>45042.666666666599</v>
      </c>
      <c r="B1906" s="1">
        <f ca="1">IFERROR(__xludf.DUMMYFUNCTION("""COMPUTED_VALUE"""),160.29)</f>
        <v>160.29</v>
      </c>
      <c r="C1906" s="1">
        <f ca="1">IFERROR(__xludf.DUMMYFUNCTION("""COMPUTED_VALUE"""),160.67)</f>
        <v>160.66999999999999</v>
      </c>
      <c r="D1906" s="1">
        <f ca="1">IFERROR(__xludf.DUMMYFUNCTION("""COMPUTED_VALUE"""),153.14)</f>
        <v>153.13999999999999</v>
      </c>
      <c r="E1906" s="1">
        <f ca="1">IFERROR(__xludf.DUMMYFUNCTION("""COMPUTED_VALUE"""),153.75)</f>
        <v>153.75</v>
      </c>
      <c r="F1906" s="1">
        <f ca="1">IFERROR(__xludf.DUMMYFUNCTION("""COMPUTED_VALUE"""),153364142)</f>
        <v>153364142</v>
      </c>
    </row>
    <row r="1907" spans="1:6" x14ac:dyDescent="0.2">
      <c r="A1907" s="2">
        <f ca="1">IFERROR(__xludf.DUMMYFUNCTION("""COMPUTED_VALUE"""),45043.6666666666)</f>
        <v>45043.666666666599</v>
      </c>
      <c r="B1907" s="1">
        <f ca="1">IFERROR(__xludf.DUMMYFUNCTION("""COMPUTED_VALUE"""),152.64)</f>
        <v>152.63999999999999</v>
      </c>
      <c r="C1907" s="1">
        <f ca="1">IFERROR(__xludf.DUMMYFUNCTION("""COMPUTED_VALUE"""),160.48)</f>
        <v>160.47999999999999</v>
      </c>
      <c r="D1907" s="1">
        <f ca="1">IFERROR(__xludf.DUMMYFUNCTION("""COMPUTED_VALUE"""),152.37)</f>
        <v>152.37</v>
      </c>
      <c r="E1907" s="1">
        <f ca="1">IFERROR(__xludf.DUMMYFUNCTION("""COMPUTED_VALUE"""),160.19)</f>
        <v>160.19</v>
      </c>
      <c r="F1907" s="1">
        <f ca="1">IFERROR(__xludf.DUMMYFUNCTION("""COMPUTED_VALUE"""),127015177)</f>
        <v>127015177</v>
      </c>
    </row>
    <row r="1908" spans="1:6" x14ac:dyDescent="0.2">
      <c r="A1908" s="2">
        <f ca="1">IFERROR(__xludf.DUMMYFUNCTION("""COMPUTED_VALUE"""),45044.6666666666)</f>
        <v>45044.666666666599</v>
      </c>
      <c r="B1908" s="1">
        <f ca="1">IFERROR(__xludf.DUMMYFUNCTION("""COMPUTED_VALUE"""),160.9)</f>
        <v>160.9</v>
      </c>
      <c r="C1908" s="1">
        <f ca="1">IFERROR(__xludf.DUMMYFUNCTION("""COMPUTED_VALUE"""),165)</f>
        <v>165</v>
      </c>
      <c r="D1908" s="1">
        <f ca="1">IFERROR(__xludf.DUMMYFUNCTION("""COMPUTED_VALUE"""),157.32)</f>
        <v>157.32</v>
      </c>
      <c r="E1908" s="1">
        <f ca="1">IFERROR(__xludf.DUMMYFUNCTION("""COMPUTED_VALUE"""),164.31)</f>
        <v>164.31</v>
      </c>
      <c r="F1908" s="1">
        <f ca="1">IFERROR(__xludf.DUMMYFUNCTION("""COMPUTED_VALUE"""),122515812)</f>
        <v>122515812</v>
      </c>
    </row>
    <row r="1909" spans="1:6" x14ac:dyDescent="0.2">
      <c r="A1909" s="2">
        <f ca="1">IFERROR(__xludf.DUMMYFUNCTION("""COMPUTED_VALUE"""),45047.6666666666)</f>
        <v>45047.666666666599</v>
      </c>
      <c r="B1909" s="1">
        <f ca="1">IFERROR(__xludf.DUMMYFUNCTION("""COMPUTED_VALUE"""),163.17)</f>
        <v>163.16999999999999</v>
      </c>
      <c r="C1909" s="1">
        <f ca="1">IFERROR(__xludf.DUMMYFUNCTION("""COMPUTED_VALUE"""),163.28)</f>
        <v>163.28</v>
      </c>
      <c r="D1909" s="1">
        <f ca="1">IFERROR(__xludf.DUMMYFUNCTION("""COMPUTED_VALUE"""),158.83)</f>
        <v>158.83000000000001</v>
      </c>
      <c r="E1909" s="1">
        <f ca="1">IFERROR(__xludf.DUMMYFUNCTION("""COMPUTED_VALUE"""),161.83)</f>
        <v>161.83000000000001</v>
      </c>
      <c r="F1909" s="1">
        <f ca="1">IFERROR(__xludf.DUMMYFUNCTION("""COMPUTED_VALUE"""),109015048)</f>
        <v>109015048</v>
      </c>
    </row>
    <row r="1910" spans="1:6" x14ac:dyDescent="0.2">
      <c r="A1910" s="2">
        <f ca="1">IFERROR(__xludf.DUMMYFUNCTION("""COMPUTED_VALUE"""),45048.6666666666)</f>
        <v>45048.666666666599</v>
      </c>
      <c r="B1910" s="1">
        <f ca="1">IFERROR(__xludf.DUMMYFUNCTION("""COMPUTED_VALUE"""),161.88)</f>
        <v>161.88</v>
      </c>
      <c r="C1910" s="1">
        <f ca="1">IFERROR(__xludf.DUMMYFUNCTION("""COMPUTED_VALUE"""),165.49)</f>
        <v>165.49</v>
      </c>
      <c r="D1910" s="1">
        <f ca="1">IFERROR(__xludf.DUMMYFUNCTION("""COMPUTED_VALUE"""),158.93)</f>
        <v>158.93</v>
      </c>
      <c r="E1910" s="1">
        <f ca="1">IFERROR(__xludf.DUMMYFUNCTION("""COMPUTED_VALUE"""),160.31)</f>
        <v>160.31</v>
      </c>
      <c r="F1910" s="1">
        <f ca="1">IFERROR(__xludf.DUMMYFUNCTION("""COMPUTED_VALUE"""),128259744)</f>
        <v>128259744</v>
      </c>
    </row>
    <row r="1911" spans="1:6" x14ac:dyDescent="0.2">
      <c r="A1911" s="2">
        <f ca="1">IFERROR(__xludf.DUMMYFUNCTION("""COMPUTED_VALUE"""),45049.6666666666)</f>
        <v>45049.666666666599</v>
      </c>
      <c r="B1911" s="1">
        <f ca="1">IFERROR(__xludf.DUMMYFUNCTION("""COMPUTED_VALUE"""),160.01)</f>
        <v>160.01</v>
      </c>
      <c r="C1911" s="1">
        <f ca="1">IFERROR(__xludf.DUMMYFUNCTION("""COMPUTED_VALUE"""),165)</f>
        <v>165</v>
      </c>
      <c r="D1911" s="1">
        <f ca="1">IFERROR(__xludf.DUMMYFUNCTION("""COMPUTED_VALUE"""),159.91)</f>
        <v>159.91</v>
      </c>
      <c r="E1911" s="1">
        <f ca="1">IFERROR(__xludf.DUMMYFUNCTION("""COMPUTED_VALUE"""),160.61)</f>
        <v>160.61000000000001</v>
      </c>
      <c r="F1911" s="1">
        <f ca="1">IFERROR(__xludf.DUMMYFUNCTION("""COMPUTED_VALUE"""),119727972)</f>
        <v>119727972</v>
      </c>
    </row>
    <row r="1912" spans="1:6" x14ac:dyDescent="0.2">
      <c r="A1912" s="2">
        <f ca="1">IFERROR(__xludf.DUMMYFUNCTION("""COMPUTED_VALUE"""),45050.6666666666)</f>
        <v>45050.666666666599</v>
      </c>
      <c r="B1912" s="1">
        <f ca="1">IFERROR(__xludf.DUMMYFUNCTION("""COMPUTED_VALUE"""),162.71)</f>
        <v>162.71</v>
      </c>
      <c r="C1912" s="1">
        <f ca="1">IFERROR(__xludf.DUMMYFUNCTION("""COMPUTED_VALUE"""),162.95)</f>
        <v>162.94999999999999</v>
      </c>
      <c r="D1912" s="1">
        <f ca="1">IFERROR(__xludf.DUMMYFUNCTION("""COMPUTED_VALUE"""),159.65)</f>
        <v>159.65</v>
      </c>
      <c r="E1912" s="1">
        <f ca="1">IFERROR(__xludf.DUMMYFUNCTION("""COMPUTED_VALUE"""),161.2)</f>
        <v>161.19999999999999</v>
      </c>
      <c r="F1912" s="1">
        <f ca="1">IFERROR(__xludf.DUMMYFUNCTION("""COMPUTED_VALUE"""),95108492)</f>
        <v>95108492</v>
      </c>
    </row>
    <row r="1913" spans="1:6" x14ac:dyDescent="0.2">
      <c r="A1913" s="2">
        <f ca="1">IFERROR(__xludf.DUMMYFUNCTION("""COMPUTED_VALUE"""),45051.6666666666)</f>
        <v>45051.666666666599</v>
      </c>
      <c r="B1913" s="1">
        <f ca="1">IFERROR(__xludf.DUMMYFUNCTION("""COMPUTED_VALUE"""),163.97)</f>
        <v>163.97</v>
      </c>
      <c r="C1913" s="1">
        <f ca="1">IFERROR(__xludf.DUMMYFUNCTION("""COMPUTED_VALUE"""),170.79)</f>
        <v>170.79</v>
      </c>
      <c r="D1913" s="1">
        <f ca="1">IFERROR(__xludf.DUMMYFUNCTION("""COMPUTED_VALUE"""),163.51)</f>
        <v>163.51</v>
      </c>
      <c r="E1913" s="1">
        <f ca="1">IFERROR(__xludf.DUMMYFUNCTION("""COMPUTED_VALUE"""),170.06)</f>
        <v>170.06</v>
      </c>
      <c r="F1913" s="1">
        <f ca="1">IFERROR(__xludf.DUMMYFUNCTION("""COMPUTED_VALUE"""),107607259)</f>
        <v>107607259</v>
      </c>
    </row>
    <row r="1914" spans="1:6" x14ac:dyDescent="0.2">
      <c r="A1914" s="2">
        <f ca="1">IFERROR(__xludf.DUMMYFUNCTION("""COMPUTED_VALUE"""),45054.6666666666)</f>
        <v>45054.666666666599</v>
      </c>
      <c r="B1914" s="1">
        <f ca="1">IFERROR(__xludf.DUMMYFUNCTION("""COMPUTED_VALUE"""),173.72)</f>
        <v>173.72</v>
      </c>
      <c r="C1914" s="1">
        <f ca="1">IFERROR(__xludf.DUMMYFUNCTION("""COMPUTED_VALUE"""),173.8)</f>
        <v>173.8</v>
      </c>
      <c r="D1914" s="1">
        <f ca="1">IFERROR(__xludf.DUMMYFUNCTION("""COMPUTED_VALUE"""),169.19)</f>
        <v>169.19</v>
      </c>
      <c r="E1914" s="1">
        <f ca="1">IFERROR(__xludf.DUMMYFUNCTION("""COMPUTED_VALUE"""),171.79)</f>
        <v>171.79</v>
      </c>
      <c r="F1914" s="1">
        <f ca="1">IFERROR(__xludf.DUMMYFUNCTION("""COMPUTED_VALUE"""),112249449)</f>
        <v>112249449</v>
      </c>
    </row>
    <row r="1915" spans="1:6" x14ac:dyDescent="0.2">
      <c r="A1915" s="2">
        <f ca="1">IFERROR(__xludf.DUMMYFUNCTION("""COMPUTED_VALUE"""),45055.6666666666)</f>
        <v>45055.666666666599</v>
      </c>
      <c r="B1915" s="1">
        <f ca="1">IFERROR(__xludf.DUMMYFUNCTION("""COMPUTED_VALUE"""),168.95)</f>
        <v>168.95</v>
      </c>
      <c r="C1915" s="1">
        <f ca="1">IFERROR(__xludf.DUMMYFUNCTION("""COMPUTED_VALUE"""),169.82)</f>
        <v>169.82</v>
      </c>
      <c r="D1915" s="1">
        <f ca="1">IFERROR(__xludf.DUMMYFUNCTION("""COMPUTED_VALUE"""),166.56)</f>
        <v>166.56</v>
      </c>
      <c r="E1915" s="1">
        <f ca="1">IFERROR(__xludf.DUMMYFUNCTION("""COMPUTED_VALUE"""),169.15)</f>
        <v>169.15</v>
      </c>
      <c r="F1915" s="1">
        <f ca="1">IFERROR(__xludf.DUMMYFUNCTION("""COMPUTED_VALUE"""),88965043)</f>
        <v>88965043</v>
      </c>
    </row>
    <row r="1916" spans="1:6" x14ac:dyDescent="0.2">
      <c r="A1916" s="2">
        <f ca="1">IFERROR(__xludf.DUMMYFUNCTION("""COMPUTED_VALUE"""),45056.6666666666)</f>
        <v>45056.666666666599</v>
      </c>
      <c r="B1916" s="1">
        <f ca="1">IFERROR(__xludf.DUMMYFUNCTION("""COMPUTED_VALUE"""),172.55)</f>
        <v>172.55</v>
      </c>
      <c r="C1916" s="1">
        <f ca="1">IFERROR(__xludf.DUMMYFUNCTION("""COMPUTED_VALUE"""),174.43)</f>
        <v>174.43</v>
      </c>
      <c r="D1916" s="1">
        <f ca="1">IFERROR(__xludf.DUMMYFUNCTION("""COMPUTED_VALUE"""),166.68)</f>
        <v>166.68</v>
      </c>
      <c r="E1916" s="1">
        <f ca="1">IFERROR(__xludf.DUMMYFUNCTION("""COMPUTED_VALUE"""),168.54)</f>
        <v>168.54</v>
      </c>
      <c r="F1916" s="1">
        <f ca="1">IFERROR(__xludf.DUMMYFUNCTION("""COMPUTED_VALUE"""),119840693)</f>
        <v>119840693</v>
      </c>
    </row>
    <row r="1917" spans="1:6" x14ac:dyDescent="0.2">
      <c r="A1917" s="2">
        <f ca="1">IFERROR(__xludf.DUMMYFUNCTION("""COMPUTED_VALUE"""),45057.6666666666)</f>
        <v>45057.666666666599</v>
      </c>
      <c r="B1917" s="1">
        <f ca="1">IFERROR(__xludf.DUMMYFUNCTION("""COMPUTED_VALUE"""),168.7)</f>
        <v>168.7</v>
      </c>
      <c r="C1917" s="1">
        <f ca="1">IFERROR(__xludf.DUMMYFUNCTION("""COMPUTED_VALUE"""),173.57)</f>
        <v>173.57</v>
      </c>
      <c r="D1917" s="1">
        <f ca="1">IFERROR(__xludf.DUMMYFUNCTION("""COMPUTED_VALUE"""),166.79)</f>
        <v>166.79</v>
      </c>
      <c r="E1917" s="1">
        <f ca="1">IFERROR(__xludf.DUMMYFUNCTION("""COMPUTED_VALUE"""),172.08)</f>
        <v>172.08</v>
      </c>
      <c r="F1917" s="1">
        <f ca="1">IFERROR(__xludf.DUMMYFUNCTION("""COMPUTED_VALUE"""),103889930)</f>
        <v>103889930</v>
      </c>
    </row>
    <row r="1918" spans="1:6" x14ac:dyDescent="0.2">
      <c r="A1918" s="2">
        <f ca="1">IFERROR(__xludf.DUMMYFUNCTION("""COMPUTED_VALUE"""),45058.6666666666)</f>
        <v>45058.666666666599</v>
      </c>
      <c r="B1918" s="1">
        <f ca="1">IFERROR(__xludf.DUMMYFUNCTION("""COMPUTED_VALUE"""),176.07)</f>
        <v>176.07</v>
      </c>
      <c r="C1918" s="1">
        <f ca="1">IFERROR(__xludf.DUMMYFUNCTION("""COMPUTED_VALUE"""),177.38)</f>
        <v>177.38</v>
      </c>
      <c r="D1918" s="1">
        <f ca="1">IFERROR(__xludf.DUMMYFUNCTION("""COMPUTED_VALUE"""),167.23)</f>
        <v>167.23</v>
      </c>
      <c r="E1918" s="1">
        <f ca="1">IFERROR(__xludf.DUMMYFUNCTION("""COMPUTED_VALUE"""),167.98)</f>
        <v>167.98</v>
      </c>
      <c r="F1918" s="1">
        <f ca="1">IFERROR(__xludf.DUMMYFUNCTION("""COMPUTED_VALUE"""),157849625)</f>
        <v>157849625</v>
      </c>
    </row>
    <row r="1919" spans="1:6" x14ac:dyDescent="0.2">
      <c r="A1919" s="2">
        <f ca="1">IFERROR(__xludf.DUMMYFUNCTION("""COMPUTED_VALUE"""),45061.6666666666)</f>
        <v>45061.666666666599</v>
      </c>
      <c r="B1919" s="1">
        <f ca="1">IFERROR(__xludf.DUMMYFUNCTION("""COMPUTED_VALUE"""),167.66)</f>
        <v>167.66</v>
      </c>
      <c r="C1919" s="1">
        <f ca="1">IFERROR(__xludf.DUMMYFUNCTION("""COMPUTED_VALUE"""),169.76)</f>
        <v>169.76</v>
      </c>
      <c r="D1919" s="1">
        <f ca="1">IFERROR(__xludf.DUMMYFUNCTION("""COMPUTED_VALUE"""),164.55)</f>
        <v>164.55</v>
      </c>
      <c r="E1919" s="1">
        <f ca="1">IFERROR(__xludf.DUMMYFUNCTION("""COMPUTED_VALUE"""),166.35)</f>
        <v>166.35</v>
      </c>
      <c r="F1919" s="1">
        <f ca="1">IFERROR(__xludf.DUMMYFUNCTION("""COMPUTED_VALUE"""),105592510)</f>
        <v>105592510</v>
      </c>
    </row>
    <row r="1920" spans="1:6" x14ac:dyDescent="0.2">
      <c r="A1920" s="2">
        <f ca="1">IFERROR(__xludf.DUMMYFUNCTION("""COMPUTED_VALUE"""),45062.6666666666)</f>
        <v>45062.666666666599</v>
      </c>
      <c r="B1920" s="1">
        <f ca="1">IFERROR(__xludf.DUMMYFUNCTION("""COMPUTED_VALUE"""),165.65)</f>
        <v>165.65</v>
      </c>
      <c r="C1920" s="1">
        <f ca="1">IFERROR(__xludf.DUMMYFUNCTION("""COMPUTED_VALUE"""),169.52)</f>
        <v>169.52</v>
      </c>
      <c r="D1920" s="1">
        <f ca="1">IFERROR(__xludf.DUMMYFUNCTION("""COMPUTED_VALUE"""),164.35)</f>
        <v>164.35</v>
      </c>
      <c r="E1920" s="1">
        <f ca="1">IFERROR(__xludf.DUMMYFUNCTION("""COMPUTED_VALUE"""),166.52)</f>
        <v>166.52</v>
      </c>
      <c r="F1920" s="1">
        <f ca="1">IFERROR(__xludf.DUMMYFUNCTION("""COMPUTED_VALUE"""),98288792)</f>
        <v>98288792</v>
      </c>
    </row>
    <row r="1921" spans="1:6" x14ac:dyDescent="0.2">
      <c r="A1921" s="2">
        <f ca="1">IFERROR(__xludf.DUMMYFUNCTION("""COMPUTED_VALUE"""),45063.6666666666)</f>
        <v>45063.666666666599</v>
      </c>
      <c r="B1921" s="1">
        <f ca="1">IFERROR(__xludf.DUMMYFUNCTION("""COMPUTED_VALUE"""),168.41)</f>
        <v>168.41</v>
      </c>
      <c r="C1921" s="1">
        <f ca="1">IFERROR(__xludf.DUMMYFUNCTION("""COMPUTED_VALUE"""),174.5)</f>
        <v>174.5</v>
      </c>
      <c r="D1921" s="1">
        <f ca="1">IFERROR(__xludf.DUMMYFUNCTION("""COMPUTED_VALUE"""),167.19)</f>
        <v>167.19</v>
      </c>
      <c r="E1921" s="1">
        <f ca="1">IFERROR(__xludf.DUMMYFUNCTION("""COMPUTED_VALUE"""),173.86)</f>
        <v>173.86</v>
      </c>
      <c r="F1921" s="1">
        <f ca="1">IFERROR(__xludf.DUMMYFUNCTION("""COMPUTED_VALUE"""),125473558)</f>
        <v>125473558</v>
      </c>
    </row>
    <row r="1922" spans="1:6" x14ac:dyDescent="0.2">
      <c r="A1922" s="2">
        <f ca="1">IFERROR(__xludf.DUMMYFUNCTION("""COMPUTED_VALUE"""),45064.6666666666)</f>
        <v>45064.666666666599</v>
      </c>
      <c r="B1922" s="1">
        <f ca="1">IFERROR(__xludf.DUMMYFUNCTION("""COMPUTED_VALUE"""),174.22)</f>
        <v>174.22</v>
      </c>
      <c r="C1922" s="1">
        <f ca="1">IFERROR(__xludf.DUMMYFUNCTION("""COMPUTED_VALUE"""),177.06)</f>
        <v>177.06</v>
      </c>
      <c r="D1922" s="1">
        <f ca="1">IFERROR(__xludf.DUMMYFUNCTION("""COMPUTED_VALUE"""),172.45)</f>
        <v>172.45</v>
      </c>
      <c r="E1922" s="1">
        <f ca="1">IFERROR(__xludf.DUMMYFUNCTION("""COMPUTED_VALUE"""),176.89)</f>
        <v>176.89</v>
      </c>
      <c r="F1922" s="1">
        <f ca="1">IFERROR(__xludf.DUMMYFUNCTION("""COMPUTED_VALUE"""),109520332)</f>
        <v>109520332</v>
      </c>
    </row>
    <row r="1923" spans="1:6" x14ac:dyDescent="0.2">
      <c r="A1923" s="2">
        <f ca="1">IFERROR(__xludf.DUMMYFUNCTION("""COMPUTED_VALUE"""),45065.6666666666)</f>
        <v>45065.666666666599</v>
      </c>
      <c r="B1923" s="1">
        <f ca="1">IFERROR(__xludf.DUMMYFUNCTION("""COMPUTED_VALUE"""),177.17)</f>
        <v>177.17</v>
      </c>
      <c r="C1923" s="1">
        <f ca="1">IFERROR(__xludf.DUMMYFUNCTION("""COMPUTED_VALUE"""),181.95)</f>
        <v>181.95</v>
      </c>
      <c r="D1923" s="1">
        <f ca="1">IFERROR(__xludf.DUMMYFUNCTION("""COMPUTED_VALUE"""),176.31)</f>
        <v>176.31</v>
      </c>
      <c r="E1923" s="1">
        <f ca="1">IFERROR(__xludf.DUMMYFUNCTION("""COMPUTED_VALUE"""),180.14)</f>
        <v>180.14</v>
      </c>
      <c r="F1923" s="1">
        <f ca="1">IFERROR(__xludf.DUMMYFUNCTION("""COMPUTED_VALUE"""),136196668)</f>
        <v>136196668</v>
      </c>
    </row>
    <row r="1924" spans="1:6" x14ac:dyDescent="0.2">
      <c r="A1924" s="2">
        <f ca="1">IFERROR(__xludf.DUMMYFUNCTION("""COMPUTED_VALUE"""),45068.6666666666)</f>
        <v>45068.666666666599</v>
      </c>
      <c r="B1924" s="1">
        <f ca="1">IFERROR(__xludf.DUMMYFUNCTION("""COMPUTED_VALUE"""),180.7)</f>
        <v>180.7</v>
      </c>
      <c r="C1924" s="1">
        <f ca="1">IFERROR(__xludf.DUMMYFUNCTION("""COMPUTED_VALUE"""),189.32)</f>
        <v>189.32</v>
      </c>
      <c r="D1924" s="1">
        <f ca="1">IFERROR(__xludf.DUMMYFUNCTION("""COMPUTED_VALUE"""),180.11)</f>
        <v>180.11</v>
      </c>
      <c r="E1924" s="1">
        <f ca="1">IFERROR(__xludf.DUMMYFUNCTION("""COMPUTED_VALUE"""),188.87)</f>
        <v>188.87</v>
      </c>
      <c r="F1924" s="1">
        <f ca="1">IFERROR(__xludf.DUMMYFUNCTION("""COMPUTED_VALUE"""),132001430)</f>
        <v>132001430</v>
      </c>
    </row>
    <row r="1925" spans="1:6" x14ac:dyDescent="0.2">
      <c r="A1925" s="2">
        <f ca="1">IFERROR(__xludf.DUMMYFUNCTION("""COMPUTED_VALUE"""),45069.6666666666)</f>
        <v>45069.666666666599</v>
      </c>
      <c r="B1925" s="1">
        <f ca="1">IFERROR(__xludf.DUMMYFUNCTION("""COMPUTED_VALUE"""),186.2)</f>
        <v>186.2</v>
      </c>
      <c r="C1925" s="1">
        <f ca="1">IFERROR(__xludf.DUMMYFUNCTION("""COMPUTED_VALUE"""),192.96)</f>
        <v>192.96</v>
      </c>
      <c r="D1925" s="1">
        <f ca="1">IFERROR(__xludf.DUMMYFUNCTION("""COMPUTED_VALUE"""),185.26)</f>
        <v>185.26</v>
      </c>
      <c r="E1925" s="1">
        <f ca="1">IFERROR(__xludf.DUMMYFUNCTION("""COMPUTED_VALUE"""),185.77)</f>
        <v>185.77</v>
      </c>
      <c r="F1925" s="1">
        <f ca="1">IFERROR(__xludf.DUMMYFUNCTION("""COMPUTED_VALUE"""),156952130)</f>
        <v>156952130</v>
      </c>
    </row>
    <row r="1926" spans="1:6" x14ac:dyDescent="0.2">
      <c r="A1926" s="2">
        <f ca="1">IFERROR(__xludf.DUMMYFUNCTION("""COMPUTED_VALUE"""),45070.6666666666)</f>
        <v>45070.666666666599</v>
      </c>
      <c r="B1926" s="1">
        <f ca="1">IFERROR(__xludf.DUMMYFUNCTION("""COMPUTED_VALUE"""),182.23)</f>
        <v>182.23</v>
      </c>
      <c r="C1926" s="1">
        <f ca="1">IFERROR(__xludf.DUMMYFUNCTION("""COMPUTED_VALUE"""),184.22)</f>
        <v>184.22</v>
      </c>
      <c r="D1926" s="1">
        <f ca="1">IFERROR(__xludf.DUMMYFUNCTION("""COMPUTED_VALUE"""),178.22)</f>
        <v>178.22</v>
      </c>
      <c r="E1926" s="1">
        <f ca="1">IFERROR(__xludf.DUMMYFUNCTION("""COMPUTED_VALUE"""),182.9)</f>
        <v>182.9</v>
      </c>
      <c r="F1926" s="1">
        <f ca="1">IFERROR(__xludf.DUMMYFUNCTION("""COMPUTED_VALUE"""),137605054)</f>
        <v>137605054</v>
      </c>
    </row>
    <row r="1927" spans="1:6" x14ac:dyDescent="0.2">
      <c r="A1927" s="2">
        <f ca="1">IFERROR(__xludf.DUMMYFUNCTION("""COMPUTED_VALUE"""),45071.6666666666)</f>
        <v>45071.666666666599</v>
      </c>
      <c r="B1927" s="1">
        <f ca="1">IFERROR(__xludf.DUMMYFUNCTION("""COMPUTED_VALUE"""),186.54)</f>
        <v>186.54</v>
      </c>
      <c r="C1927" s="1">
        <f ca="1">IFERROR(__xludf.DUMMYFUNCTION("""COMPUTED_VALUE"""),186.78)</f>
        <v>186.78</v>
      </c>
      <c r="D1927" s="1">
        <f ca="1">IFERROR(__xludf.DUMMYFUNCTION("""COMPUTED_VALUE"""),180.58)</f>
        <v>180.58</v>
      </c>
      <c r="E1927" s="1">
        <f ca="1">IFERROR(__xludf.DUMMYFUNCTION("""COMPUTED_VALUE"""),184.47)</f>
        <v>184.47</v>
      </c>
      <c r="F1927" s="1">
        <f ca="1">IFERROR(__xludf.DUMMYFUNCTION("""COMPUTED_VALUE"""),96870719)</f>
        <v>96870719</v>
      </c>
    </row>
    <row r="1928" spans="1:6" x14ac:dyDescent="0.2">
      <c r="A1928" s="2">
        <f ca="1">IFERROR(__xludf.DUMMYFUNCTION("""COMPUTED_VALUE"""),45072.6666666666)</f>
        <v>45072.666666666599</v>
      </c>
      <c r="B1928" s="1">
        <f ca="1">IFERROR(__xludf.DUMMYFUNCTION("""COMPUTED_VALUE"""),184.62)</f>
        <v>184.62</v>
      </c>
      <c r="C1928" s="1">
        <f ca="1">IFERROR(__xludf.DUMMYFUNCTION("""COMPUTED_VALUE"""),198.6)</f>
        <v>198.6</v>
      </c>
      <c r="D1928" s="1">
        <f ca="1">IFERROR(__xludf.DUMMYFUNCTION("""COMPUTED_VALUE"""),184.53)</f>
        <v>184.53</v>
      </c>
      <c r="E1928" s="1">
        <f ca="1">IFERROR(__xludf.DUMMYFUNCTION("""COMPUTED_VALUE"""),193.17)</f>
        <v>193.17</v>
      </c>
      <c r="F1928" s="1">
        <f ca="1">IFERROR(__xludf.DUMMYFUNCTION("""COMPUTED_VALUE"""),162061496)</f>
        <v>162061496</v>
      </c>
    </row>
    <row r="1929" spans="1:6" x14ac:dyDescent="0.2">
      <c r="A1929" s="2">
        <f ca="1">IFERROR(__xludf.DUMMYFUNCTION("""COMPUTED_VALUE"""),45076.6666666666)</f>
        <v>45076.666666666599</v>
      </c>
      <c r="B1929" s="1">
        <f ca="1">IFERROR(__xludf.DUMMYFUNCTION("""COMPUTED_VALUE"""),200.1)</f>
        <v>200.1</v>
      </c>
      <c r="C1929" s="1">
        <f ca="1">IFERROR(__xludf.DUMMYFUNCTION("""COMPUTED_VALUE"""),204.48)</f>
        <v>204.48</v>
      </c>
      <c r="D1929" s="1">
        <f ca="1">IFERROR(__xludf.DUMMYFUNCTION("""COMPUTED_VALUE"""),197.53)</f>
        <v>197.53</v>
      </c>
      <c r="E1929" s="1">
        <f ca="1">IFERROR(__xludf.DUMMYFUNCTION("""COMPUTED_VALUE"""),201.16)</f>
        <v>201.16</v>
      </c>
      <c r="F1929" s="1">
        <f ca="1">IFERROR(__xludf.DUMMYFUNCTION("""COMPUTED_VALUE"""),128818746)</f>
        <v>128818746</v>
      </c>
    </row>
    <row r="1930" spans="1:6" x14ac:dyDescent="0.2">
      <c r="A1930" s="2">
        <f ca="1">IFERROR(__xludf.DUMMYFUNCTION("""COMPUTED_VALUE"""),45077.6666666666)</f>
        <v>45077.666666666599</v>
      </c>
      <c r="B1930" s="1">
        <f ca="1">IFERROR(__xludf.DUMMYFUNCTION("""COMPUTED_VALUE"""),199.78)</f>
        <v>199.78</v>
      </c>
      <c r="C1930" s="1">
        <f ca="1">IFERROR(__xludf.DUMMYFUNCTION("""COMPUTED_VALUE"""),203.95)</f>
        <v>203.95</v>
      </c>
      <c r="D1930" s="1">
        <f ca="1">IFERROR(__xludf.DUMMYFUNCTION("""COMPUTED_VALUE"""),195.12)</f>
        <v>195.12</v>
      </c>
      <c r="E1930" s="1">
        <f ca="1">IFERROR(__xludf.DUMMYFUNCTION("""COMPUTED_VALUE"""),203.93)</f>
        <v>203.93</v>
      </c>
      <c r="F1930" s="1">
        <f ca="1">IFERROR(__xludf.DUMMYFUNCTION("""COMPUTED_VALUE"""),150711736)</f>
        <v>150711736</v>
      </c>
    </row>
    <row r="1931" spans="1:6" x14ac:dyDescent="0.2">
      <c r="A1931" s="2">
        <f ca="1">IFERROR(__xludf.DUMMYFUNCTION("""COMPUTED_VALUE"""),45078.6666666666)</f>
        <v>45078.666666666599</v>
      </c>
      <c r="B1931" s="1">
        <f ca="1">IFERROR(__xludf.DUMMYFUNCTION("""COMPUTED_VALUE"""),202.59)</f>
        <v>202.59</v>
      </c>
      <c r="C1931" s="1">
        <f ca="1">IFERROR(__xludf.DUMMYFUNCTION("""COMPUTED_VALUE"""),209.8)</f>
        <v>209.8</v>
      </c>
      <c r="D1931" s="1">
        <f ca="1">IFERROR(__xludf.DUMMYFUNCTION("""COMPUTED_VALUE"""),199.37)</f>
        <v>199.37</v>
      </c>
      <c r="E1931" s="1">
        <f ca="1">IFERROR(__xludf.DUMMYFUNCTION("""COMPUTED_VALUE"""),207.52)</f>
        <v>207.52</v>
      </c>
      <c r="F1931" s="1">
        <f ca="1">IFERROR(__xludf.DUMMYFUNCTION("""COMPUTED_VALUE"""),148029931)</f>
        <v>148029931</v>
      </c>
    </row>
    <row r="1932" spans="1:6" x14ac:dyDescent="0.2">
      <c r="A1932" s="2">
        <f ca="1">IFERROR(__xludf.DUMMYFUNCTION("""COMPUTED_VALUE"""),45079.6666666666)</f>
        <v>45079.666666666599</v>
      </c>
      <c r="B1932" s="1">
        <f ca="1">IFERROR(__xludf.DUMMYFUNCTION("""COMPUTED_VALUE"""),210.15)</f>
        <v>210.15</v>
      </c>
      <c r="C1932" s="1">
        <f ca="1">IFERROR(__xludf.DUMMYFUNCTION("""COMPUTED_VALUE"""),217.25)</f>
        <v>217.25</v>
      </c>
      <c r="D1932" s="1">
        <f ca="1">IFERROR(__xludf.DUMMYFUNCTION("""COMPUTED_VALUE"""),209.75)</f>
        <v>209.75</v>
      </c>
      <c r="E1932" s="1">
        <f ca="1">IFERROR(__xludf.DUMMYFUNCTION("""COMPUTED_VALUE"""),213.97)</f>
        <v>213.97</v>
      </c>
      <c r="F1932" s="1">
        <f ca="1">IFERROR(__xludf.DUMMYFUNCTION("""COMPUTED_VALUE"""),164398372)</f>
        <v>164398372</v>
      </c>
    </row>
    <row r="1933" spans="1:6" x14ac:dyDescent="0.2">
      <c r="A1933" s="2">
        <f ca="1">IFERROR(__xludf.DUMMYFUNCTION("""COMPUTED_VALUE"""),45082.6666666666)</f>
        <v>45082.666666666599</v>
      </c>
      <c r="B1933" s="1">
        <f ca="1">IFERROR(__xludf.DUMMYFUNCTION("""COMPUTED_VALUE"""),217.8)</f>
        <v>217.8</v>
      </c>
      <c r="C1933" s="1">
        <f ca="1">IFERROR(__xludf.DUMMYFUNCTION("""COMPUTED_VALUE"""),221.29)</f>
        <v>221.29</v>
      </c>
      <c r="D1933" s="1">
        <f ca="1">IFERROR(__xludf.DUMMYFUNCTION("""COMPUTED_VALUE"""),214.52)</f>
        <v>214.52</v>
      </c>
      <c r="E1933" s="1">
        <f ca="1">IFERROR(__xludf.DUMMYFUNCTION("""COMPUTED_VALUE"""),217.61)</f>
        <v>217.61</v>
      </c>
      <c r="F1933" s="1">
        <f ca="1">IFERROR(__xludf.DUMMYFUNCTION("""COMPUTED_VALUE"""),151143052)</f>
        <v>151143052</v>
      </c>
    </row>
    <row r="1934" spans="1:6" x14ac:dyDescent="0.2">
      <c r="A1934" s="2">
        <f ca="1">IFERROR(__xludf.DUMMYFUNCTION("""COMPUTED_VALUE"""),45083.6666666666)</f>
        <v>45083.666666666599</v>
      </c>
      <c r="B1934" s="1">
        <f ca="1">IFERROR(__xludf.DUMMYFUNCTION("""COMPUTED_VALUE"""),216.14)</f>
        <v>216.14</v>
      </c>
      <c r="C1934" s="1">
        <f ca="1">IFERROR(__xludf.DUMMYFUNCTION("""COMPUTED_VALUE"""),221.91)</f>
        <v>221.91</v>
      </c>
      <c r="D1934" s="1">
        <f ca="1">IFERROR(__xludf.DUMMYFUNCTION("""COMPUTED_VALUE"""),212.53)</f>
        <v>212.53</v>
      </c>
      <c r="E1934" s="1">
        <f ca="1">IFERROR(__xludf.DUMMYFUNCTION("""COMPUTED_VALUE"""),221.31)</f>
        <v>221.31</v>
      </c>
      <c r="F1934" s="1">
        <f ca="1">IFERROR(__xludf.DUMMYFUNCTION("""COMPUTED_VALUE"""),146911576)</f>
        <v>146911576</v>
      </c>
    </row>
    <row r="1935" spans="1:6" x14ac:dyDescent="0.2">
      <c r="A1935" s="2">
        <f ca="1">IFERROR(__xludf.DUMMYFUNCTION("""COMPUTED_VALUE"""),45084.6666666666)</f>
        <v>45084.666666666599</v>
      </c>
      <c r="B1935" s="1">
        <f ca="1">IFERROR(__xludf.DUMMYFUNCTION("""COMPUTED_VALUE"""),228)</f>
        <v>228</v>
      </c>
      <c r="C1935" s="1">
        <f ca="1">IFERROR(__xludf.DUMMYFUNCTION("""COMPUTED_VALUE"""),230.83)</f>
        <v>230.83</v>
      </c>
      <c r="D1935" s="1">
        <f ca="1">IFERROR(__xludf.DUMMYFUNCTION("""COMPUTED_VALUE"""),223.2)</f>
        <v>223.2</v>
      </c>
      <c r="E1935" s="1">
        <f ca="1">IFERROR(__xludf.DUMMYFUNCTION("""COMPUTED_VALUE"""),224.57)</f>
        <v>224.57</v>
      </c>
      <c r="F1935" s="1">
        <f ca="1">IFERROR(__xludf.DUMMYFUNCTION("""COMPUTED_VALUE"""),185710777)</f>
        <v>185710777</v>
      </c>
    </row>
    <row r="1936" spans="1:6" x14ac:dyDescent="0.2">
      <c r="A1936" s="2">
        <f ca="1">IFERROR(__xludf.DUMMYFUNCTION("""COMPUTED_VALUE"""),45085.6666666666)</f>
        <v>45085.666666666599</v>
      </c>
      <c r="B1936" s="1">
        <f ca="1">IFERROR(__xludf.DUMMYFUNCTION("""COMPUTED_VALUE"""),224.22)</f>
        <v>224.22</v>
      </c>
      <c r="C1936" s="1">
        <f ca="1">IFERROR(__xludf.DUMMYFUNCTION("""COMPUTED_VALUE"""),235.23)</f>
        <v>235.23</v>
      </c>
      <c r="D1936" s="1">
        <f ca="1">IFERROR(__xludf.DUMMYFUNCTION("""COMPUTED_VALUE"""),223.01)</f>
        <v>223.01</v>
      </c>
      <c r="E1936" s="1">
        <f ca="1">IFERROR(__xludf.DUMMYFUNCTION("""COMPUTED_VALUE"""),234.86)</f>
        <v>234.86</v>
      </c>
      <c r="F1936" s="1">
        <f ca="1">IFERROR(__xludf.DUMMYFUNCTION("""COMPUTED_VALUE"""),164489739)</f>
        <v>164489739</v>
      </c>
    </row>
    <row r="1937" spans="1:6" x14ac:dyDescent="0.2">
      <c r="A1937" s="2">
        <f ca="1">IFERROR(__xludf.DUMMYFUNCTION("""COMPUTED_VALUE"""),45086.6666666666)</f>
        <v>45086.666666666599</v>
      </c>
      <c r="B1937" s="1">
        <f ca="1">IFERROR(__xludf.DUMMYFUNCTION("""COMPUTED_VALUE"""),249.07)</f>
        <v>249.07</v>
      </c>
      <c r="C1937" s="1">
        <f ca="1">IFERROR(__xludf.DUMMYFUNCTION("""COMPUTED_VALUE"""),252.42)</f>
        <v>252.42</v>
      </c>
      <c r="D1937" s="1">
        <f ca="1">IFERROR(__xludf.DUMMYFUNCTION("""COMPUTED_VALUE"""),242.02)</f>
        <v>242.02</v>
      </c>
      <c r="E1937" s="1">
        <f ca="1">IFERROR(__xludf.DUMMYFUNCTION("""COMPUTED_VALUE"""),244.4)</f>
        <v>244.4</v>
      </c>
      <c r="F1937" s="1">
        <f ca="1">IFERROR(__xludf.DUMMYFUNCTION("""COMPUTED_VALUE"""),200242371)</f>
        <v>200242371</v>
      </c>
    </row>
    <row r="1938" spans="1:6" x14ac:dyDescent="0.2">
      <c r="A1938" s="2">
        <f ca="1">IFERROR(__xludf.DUMMYFUNCTION("""COMPUTED_VALUE"""),45089.6666666666)</f>
        <v>45089.666666666599</v>
      </c>
      <c r="B1938" s="1">
        <f ca="1">IFERROR(__xludf.DUMMYFUNCTION("""COMPUTED_VALUE"""),247.94)</f>
        <v>247.94</v>
      </c>
      <c r="C1938" s="1">
        <f ca="1">IFERROR(__xludf.DUMMYFUNCTION("""COMPUTED_VALUE"""),250.97)</f>
        <v>250.97</v>
      </c>
      <c r="D1938" s="1">
        <f ca="1">IFERROR(__xludf.DUMMYFUNCTION("""COMPUTED_VALUE"""),244.59)</f>
        <v>244.59</v>
      </c>
      <c r="E1938" s="1">
        <f ca="1">IFERROR(__xludf.DUMMYFUNCTION("""COMPUTED_VALUE"""),249.83)</f>
        <v>249.83</v>
      </c>
      <c r="F1938" s="1">
        <f ca="1">IFERROR(__xludf.DUMMYFUNCTION("""COMPUTED_VALUE"""),150740523)</f>
        <v>150740523</v>
      </c>
    </row>
    <row r="1939" spans="1:6" x14ac:dyDescent="0.2">
      <c r="A1939" s="2">
        <f ca="1">IFERROR(__xludf.DUMMYFUNCTION("""COMPUTED_VALUE"""),45090.6666666666)</f>
        <v>45090.666666666599</v>
      </c>
      <c r="B1939" s="1">
        <f ca="1">IFERROR(__xludf.DUMMYFUNCTION("""COMPUTED_VALUE"""),253.51)</f>
        <v>253.51</v>
      </c>
      <c r="C1939" s="1">
        <f ca="1">IFERROR(__xludf.DUMMYFUNCTION("""COMPUTED_VALUE"""),259.68)</f>
        <v>259.68</v>
      </c>
      <c r="D1939" s="1">
        <f ca="1">IFERROR(__xludf.DUMMYFUNCTION("""COMPUTED_VALUE"""),251.34)</f>
        <v>251.34</v>
      </c>
      <c r="E1939" s="1">
        <f ca="1">IFERROR(__xludf.DUMMYFUNCTION("""COMPUTED_VALUE"""),258.71)</f>
        <v>258.70999999999998</v>
      </c>
      <c r="F1939" s="1">
        <f ca="1">IFERROR(__xludf.DUMMYFUNCTION("""COMPUTED_VALUE"""),162384343)</f>
        <v>162384343</v>
      </c>
    </row>
    <row r="1940" spans="1:6" x14ac:dyDescent="0.2">
      <c r="A1940" s="2">
        <f ca="1">IFERROR(__xludf.DUMMYFUNCTION("""COMPUTED_VALUE"""),45091.6666666666)</f>
        <v>45091.666666666599</v>
      </c>
      <c r="B1940" s="1">
        <f ca="1">IFERROR(__xludf.DUMMYFUNCTION("""COMPUTED_VALUE"""),260.17)</f>
        <v>260.17</v>
      </c>
      <c r="C1940" s="1">
        <f ca="1">IFERROR(__xludf.DUMMYFUNCTION("""COMPUTED_VALUE"""),261.57)</f>
        <v>261.57</v>
      </c>
      <c r="D1940" s="1">
        <f ca="1">IFERROR(__xludf.DUMMYFUNCTION("""COMPUTED_VALUE"""),250.5)</f>
        <v>250.5</v>
      </c>
      <c r="E1940" s="1">
        <f ca="1">IFERROR(__xludf.DUMMYFUNCTION("""COMPUTED_VALUE"""),256.79)</f>
        <v>256.79000000000002</v>
      </c>
      <c r="F1940" s="1">
        <f ca="1">IFERROR(__xludf.DUMMYFUNCTION("""COMPUTED_VALUE"""),170575536)</f>
        <v>170575536</v>
      </c>
    </row>
    <row r="1941" spans="1:6" x14ac:dyDescent="0.2">
      <c r="A1941" s="2">
        <f ca="1">IFERROR(__xludf.DUMMYFUNCTION("""COMPUTED_VALUE"""),45092.6666666666)</f>
        <v>45092.666666666599</v>
      </c>
      <c r="B1941" s="1">
        <f ca="1">IFERROR(__xludf.DUMMYFUNCTION("""COMPUTED_VALUE"""),248.4)</f>
        <v>248.4</v>
      </c>
      <c r="C1941" s="1">
        <f ca="1">IFERROR(__xludf.DUMMYFUNCTION("""COMPUTED_VALUE"""),258.95)</f>
        <v>258.95</v>
      </c>
      <c r="D1941" s="1">
        <f ca="1">IFERROR(__xludf.DUMMYFUNCTION("""COMPUTED_VALUE"""),247.29)</f>
        <v>247.29</v>
      </c>
      <c r="E1941" s="1">
        <f ca="1">IFERROR(__xludf.DUMMYFUNCTION("""COMPUTED_VALUE"""),255.9)</f>
        <v>255.9</v>
      </c>
      <c r="F1941" s="1">
        <f ca="1">IFERROR(__xludf.DUMMYFUNCTION("""COMPUTED_VALUE"""),160171238)</f>
        <v>160171238</v>
      </c>
    </row>
    <row r="1942" spans="1:6" x14ac:dyDescent="0.2">
      <c r="A1942" s="2">
        <f ca="1">IFERROR(__xludf.DUMMYFUNCTION("""COMPUTED_VALUE"""),45093.6666666666)</f>
        <v>45093.666666666599</v>
      </c>
      <c r="B1942" s="1">
        <f ca="1">IFERROR(__xludf.DUMMYFUNCTION("""COMPUTED_VALUE"""),258.92)</f>
        <v>258.92</v>
      </c>
      <c r="C1942" s="1">
        <f ca="1">IFERROR(__xludf.DUMMYFUNCTION("""COMPUTED_VALUE"""),263.6)</f>
        <v>263.60000000000002</v>
      </c>
      <c r="D1942" s="1">
        <f ca="1">IFERROR(__xludf.DUMMYFUNCTION("""COMPUTED_VALUE"""),257.21)</f>
        <v>257.20999999999998</v>
      </c>
      <c r="E1942" s="1">
        <f ca="1">IFERROR(__xludf.DUMMYFUNCTION("""COMPUTED_VALUE"""),260.54)</f>
        <v>260.54000000000002</v>
      </c>
      <c r="F1942" s="1">
        <f ca="1">IFERROR(__xludf.DUMMYFUNCTION("""COMPUTED_VALUE"""),167915649)</f>
        <v>167915649</v>
      </c>
    </row>
    <row r="1943" spans="1:6" x14ac:dyDescent="0.2">
      <c r="A1943" s="2">
        <f ca="1">IFERROR(__xludf.DUMMYFUNCTION("""COMPUTED_VALUE"""),45097.6666666666)</f>
        <v>45097.666666666599</v>
      </c>
      <c r="B1943" s="1">
        <f ca="1">IFERROR(__xludf.DUMMYFUNCTION("""COMPUTED_VALUE"""),261.5)</f>
        <v>261.5</v>
      </c>
      <c r="C1943" s="1">
        <f ca="1">IFERROR(__xludf.DUMMYFUNCTION("""COMPUTED_VALUE"""),274.75)</f>
        <v>274.75</v>
      </c>
      <c r="D1943" s="1">
        <f ca="1">IFERROR(__xludf.DUMMYFUNCTION("""COMPUTED_VALUE"""),261.12)</f>
        <v>261.12</v>
      </c>
      <c r="E1943" s="1">
        <f ca="1">IFERROR(__xludf.DUMMYFUNCTION("""COMPUTED_VALUE"""),274.45)</f>
        <v>274.45</v>
      </c>
      <c r="F1943" s="1">
        <f ca="1">IFERROR(__xludf.DUMMYFUNCTION("""COMPUTED_VALUE"""),165611217)</f>
        <v>165611217</v>
      </c>
    </row>
    <row r="1944" spans="1:6" x14ac:dyDescent="0.2">
      <c r="A1944" s="2">
        <f ca="1">IFERROR(__xludf.DUMMYFUNCTION("""COMPUTED_VALUE"""),45098.6666666666)</f>
        <v>45098.666666666599</v>
      </c>
      <c r="B1944" s="1">
        <f ca="1">IFERROR(__xludf.DUMMYFUNCTION("""COMPUTED_VALUE"""),275.13)</f>
        <v>275.13</v>
      </c>
      <c r="C1944" s="1">
        <f ca="1">IFERROR(__xludf.DUMMYFUNCTION("""COMPUTED_VALUE"""),276.99)</f>
        <v>276.99</v>
      </c>
      <c r="D1944" s="1">
        <f ca="1">IFERROR(__xludf.DUMMYFUNCTION("""COMPUTED_VALUE"""),257.78)</f>
        <v>257.77999999999997</v>
      </c>
      <c r="E1944" s="1">
        <f ca="1">IFERROR(__xludf.DUMMYFUNCTION("""COMPUTED_VALUE"""),259.46)</f>
        <v>259.45999999999998</v>
      </c>
      <c r="F1944" s="1">
        <f ca="1">IFERROR(__xludf.DUMMYFUNCTION("""COMPUTED_VALUE"""),211797109)</f>
        <v>211797109</v>
      </c>
    </row>
    <row r="1945" spans="1:6" x14ac:dyDescent="0.2">
      <c r="A1945" s="2">
        <f ca="1">IFERROR(__xludf.DUMMYFUNCTION("""COMPUTED_VALUE"""),45099.6666666666)</f>
        <v>45099.666666666599</v>
      </c>
      <c r="B1945" s="1">
        <f ca="1">IFERROR(__xludf.DUMMYFUNCTION("""COMPUTED_VALUE"""),250.77)</f>
        <v>250.77</v>
      </c>
      <c r="C1945" s="1">
        <f ca="1">IFERROR(__xludf.DUMMYFUNCTION("""COMPUTED_VALUE"""),265)</f>
        <v>265</v>
      </c>
      <c r="D1945" s="1">
        <f ca="1">IFERROR(__xludf.DUMMYFUNCTION("""COMPUTED_VALUE"""),248.25)</f>
        <v>248.25</v>
      </c>
      <c r="E1945" s="1">
        <f ca="1">IFERROR(__xludf.DUMMYFUNCTION("""COMPUTED_VALUE"""),264.61)</f>
        <v>264.61</v>
      </c>
      <c r="F1945" s="1">
        <f ca="1">IFERROR(__xludf.DUMMYFUNCTION("""COMPUTED_VALUE"""),166875944)</f>
        <v>166875944</v>
      </c>
    </row>
    <row r="1946" spans="1:6" x14ac:dyDescent="0.2">
      <c r="A1946" s="2">
        <f ca="1">IFERROR(__xludf.DUMMYFUNCTION("""COMPUTED_VALUE"""),45100.6666666666)</f>
        <v>45100.666666666599</v>
      </c>
      <c r="B1946" s="1">
        <f ca="1">IFERROR(__xludf.DUMMYFUNCTION("""COMPUTED_VALUE"""),259.29)</f>
        <v>259.29000000000002</v>
      </c>
      <c r="C1946" s="1">
        <f ca="1">IFERROR(__xludf.DUMMYFUNCTION("""COMPUTED_VALUE"""),262.45)</f>
        <v>262.45</v>
      </c>
      <c r="D1946" s="1">
        <f ca="1">IFERROR(__xludf.DUMMYFUNCTION("""COMPUTED_VALUE"""),252.8)</f>
        <v>252.8</v>
      </c>
      <c r="E1946" s="1">
        <f ca="1">IFERROR(__xludf.DUMMYFUNCTION("""COMPUTED_VALUE"""),256.6)</f>
        <v>256.60000000000002</v>
      </c>
      <c r="F1946" s="1">
        <f ca="1">IFERROR(__xludf.DUMMYFUNCTION("""COMPUTED_VALUE"""),177460803)</f>
        <v>177460803</v>
      </c>
    </row>
    <row r="1947" spans="1:6" x14ac:dyDescent="0.2">
      <c r="A1947" s="2">
        <f ca="1">IFERROR(__xludf.DUMMYFUNCTION("""COMPUTED_VALUE"""),45103.6666666666)</f>
        <v>45103.666666666599</v>
      </c>
      <c r="B1947" s="1">
        <f ca="1">IFERROR(__xludf.DUMMYFUNCTION("""COMPUTED_VALUE"""),250.07)</f>
        <v>250.07</v>
      </c>
      <c r="C1947" s="1">
        <f ca="1">IFERROR(__xludf.DUMMYFUNCTION("""COMPUTED_VALUE"""),258.37)</f>
        <v>258.37</v>
      </c>
      <c r="D1947" s="1">
        <f ca="1">IFERROR(__xludf.DUMMYFUNCTION("""COMPUTED_VALUE"""),240.7)</f>
        <v>240.7</v>
      </c>
      <c r="E1947" s="1">
        <f ca="1">IFERROR(__xludf.DUMMYFUNCTION("""COMPUTED_VALUE"""),241.05)</f>
        <v>241.05</v>
      </c>
      <c r="F1947" s="1">
        <f ca="1">IFERROR(__xludf.DUMMYFUNCTION("""COMPUTED_VALUE"""),179990552)</f>
        <v>179990552</v>
      </c>
    </row>
    <row r="1948" spans="1:6" x14ac:dyDescent="0.2">
      <c r="A1948" s="2">
        <f ca="1">IFERROR(__xludf.DUMMYFUNCTION("""COMPUTED_VALUE"""),45104.6666666666)</f>
        <v>45104.666666666599</v>
      </c>
      <c r="B1948" s="1">
        <f ca="1">IFERROR(__xludf.DUMMYFUNCTION("""COMPUTED_VALUE"""),243.24)</f>
        <v>243.24</v>
      </c>
      <c r="C1948" s="1">
        <f ca="1">IFERROR(__xludf.DUMMYFUNCTION("""COMPUTED_VALUE"""),250.39)</f>
        <v>250.39</v>
      </c>
      <c r="D1948" s="1">
        <f ca="1">IFERROR(__xludf.DUMMYFUNCTION("""COMPUTED_VALUE"""),240.85)</f>
        <v>240.85</v>
      </c>
      <c r="E1948" s="1">
        <f ca="1">IFERROR(__xludf.DUMMYFUNCTION("""COMPUTED_VALUE"""),250.21)</f>
        <v>250.21</v>
      </c>
      <c r="F1948" s="1">
        <f ca="1">IFERROR(__xludf.DUMMYFUNCTION("""COMPUTED_VALUE"""),164968214)</f>
        <v>164968214</v>
      </c>
    </row>
    <row r="1949" spans="1:6" x14ac:dyDescent="0.2">
      <c r="A1949" s="2">
        <f ca="1">IFERROR(__xludf.DUMMYFUNCTION("""COMPUTED_VALUE"""),45105.6666666666)</f>
        <v>45105.666666666599</v>
      </c>
      <c r="B1949" s="1">
        <f ca="1">IFERROR(__xludf.DUMMYFUNCTION("""COMPUTED_VALUE"""),249.7)</f>
        <v>249.7</v>
      </c>
      <c r="C1949" s="1">
        <f ca="1">IFERROR(__xludf.DUMMYFUNCTION("""COMPUTED_VALUE"""),259.88)</f>
        <v>259.88</v>
      </c>
      <c r="D1949" s="1">
        <f ca="1">IFERROR(__xludf.DUMMYFUNCTION("""COMPUTED_VALUE"""),248.89)</f>
        <v>248.89</v>
      </c>
      <c r="E1949" s="1">
        <f ca="1">IFERROR(__xludf.DUMMYFUNCTION("""COMPUTED_VALUE"""),256.24)</f>
        <v>256.24</v>
      </c>
      <c r="F1949" s="1">
        <f ca="1">IFERROR(__xludf.DUMMYFUNCTION("""COMPUTED_VALUE"""),159770797)</f>
        <v>159770797</v>
      </c>
    </row>
    <row r="1950" spans="1:6" x14ac:dyDescent="0.2">
      <c r="A1950" s="2">
        <f ca="1">IFERROR(__xludf.DUMMYFUNCTION("""COMPUTED_VALUE"""),45106.6666666666)</f>
        <v>45106.666666666599</v>
      </c>
      <c r="B1950" s="1">
        <f ca="1">IFERROR(__xludf.DUMMYFUNCTION("""COMPUTED_VALUE"""),258.03)</f>
        <v>258.02999999999997</v>
      </c>
      <c r="C1950" s="1">
        <f ca="1">IFERROR(__xludf.DUMMYFUNCTION("""COMPUTED_VALUE"""),260.74)</f>
        <v>260.74</v>
      </c>
      <c r="D1950" s="1">
        <f ca="1">IFERROR(__xludf.DUMMYFUNCTION("""COMPUTED_VALUE"""),253.61)</f>
        <v>253.61</v>
      </c>
      <c r="E1950" s="1">
        <f ca="1">IFERROR(__xludf.DUMMYFUNCTION("""COMPUTED_VALUE"""),257.5)</f>
        <v>257.5</v>
      </c>
      <c r="F1950" s="1">
        <f ca="1">IFERROR(__xludf.DUMMYFUNCTION("""COMPUTED_VALUE"""),131283360)</f>
        <v>131283360</v>
      </c>
    </row>
    <row r="1951" spans="1:6" x14ac:dyDescent="0.2">
      <c r="A1951" s="2">
        <f ca="1">IFERROR(__xludf.DUMMYFUNCTION("""COMPUTED_VALUE"""),45107.6666666666)</f>
        <v>45107.666666666599</v>
      </c>
      <c r="B1951" s="1">
        <f ca="1">IFERROR(__xludf.DUMMYFUNCTION("""COMPUTED_VALUE"""),260.6)</f>
        <v>260.60000000000002</v>
      </c>
      <c r="C1951" s="1">
        <f ca="1">IFERROR(__xludf.DUMMYFUNCTION("""COMPUTED_VALUE"""),264.45)</f>
        <v>264.45</v>
      </c>
      <c r="D1951" s="1">
        <f ca="1">IFERROR(__xludf.DUMMYFUNCTION("""COMPUTED_VALUE"""),259.89)</f>
        <v>259.89</v>
      </c>
      <c r="E1951" s="1">
        <f ca="1">IFERROR(__xludf.DUMMYFUNCTION("""COMPUTED_VALUE"""),261.77)</f>
        <v>261.77</v>
      </c>
      <c r="F1951" s="1">
        <f ca="1">IFERROR(__xludf.DUMMYFUNCTION("""COMPUTED_VALUE"""),112620784)</f>
        <v>112620784</v>
      </c>
    </row>
    <row r="1952" spans="1:6" x14ac:dyDescent="0.2">
      <c r="A1952" s="2">
        <f ca="1">IFERROR(__xludf.DUMMYFUNCTION("""COMPUTED_VALUE"""),45110.5451388888)</f>
        <v>45110.545138888803</v>
      </c>
      <c r="B1952" s="1">
        <f ca="1">IFERROR(__xludf.DUMMYFUNCTION("""COMPUTED_VALUE"""),276.49)</f>
        <v>276.49</v>
      </c>
      <c r="C1952" s="1">
        <f ca="1">IFERROR(__xludf.DUMMYFUNCTION("""COMPUTED_VALUE"""),284.25)</f>
        <v>284.25</v>
      </c>
      <c r="D1952" s="1">
        <f ca="1">IFERROR(__xludf.DUMMYFUNCTION("""COMPUTED_VALUE"""),275.11)</f>
        <v>275.11</v>
      </c>
      <c r="E1952" s="1">
        <f ca="1">IFERROR(__xludf.DUMMYFUNCTION("""COMPUTED_VALUE"""),279.82)</f>
        <v>279.82</v>
      </c>
      <c r="F1952" s="1">
        <f ca="1">IFERROR(__xludf.DUMMYFUNCTION("""COMPUTED_VALUE"""),119685891)</f>
        <v>119685891</v>
      </c>
    </row>
    <row r="1953" spans="1:6" x14ac:dyDescent="0.2">
      <c r="A1953" s="2">
        <f ca="1">IFERROR(__xludf.DUMMYFUNCTION("""COMPUTED_VALUE"""),45112.6666666666)</f>
        <v>45112.666666666599</v>
      </c>
      <c r="B1953" s="1">
        <f ca="1">IFERROR(__xludf.DUMMYFUNCTION("""COMPUTED_VALUE"""),278.82)</f>
        <v>278.82</v>
      </c>
      <c r="C1953" s="1">
        <f ca="1">IFERROR(__xludf.DUMMYFUNCTION("""COMPUTED_VALUE"""),283.85)</f>
        <v>283.85000000000002</v>
      </c>
      <c r="D1953" s="1">
        <f ca="1">IFERROR(__xludf.DUMMYFUNCTION("""COMPUTED_VALUE"""),277.6)</f>
        <v>277.60000000000002</v>
      </c>
      <c r="E1953" s="1">
        <f ca="1">IFERROR(__xludf.DUMMYFUNCTION("""COMPUTED_VALUE"""),282.48)</f>
        <v>282.48</v>
      </c>
      <c r="F1953" s="1">
        <f ca="1">IFERROR(__xludf.DUMMYFUNCTION("""COMPUTED_VALUE"""),131530862)</f>
        <v>131530862</v>
      </c>
    </row>
    <row r="1954" spans="1:6" x14ac:dyDescent="0.2">
      <c r="A1954" s="2">
        <f ca="1">IFERROR(__xludf.DUMMYFUNCTION("""COMPUTED_VALUE"""),45113.6666666666)</f>
        <v>45113.666666666599</v>
      </c>
      <c r="B1954" s="1">
        <f ca="1">IFERROR(__xludf.DUMMYFUNCTION("""COMPUTED_VALUE"""),278.09)</f>
        <v>278.08999999999997</v>
      </c>
      <c r="C1954" s="1">
        <f ca="1">IFERROR(__xludf.DUMMYFUNCTION("""COMPUTED_VALUE"""),279.97)</f>
        <v>279.97000000000003</v>
      </c>
      <c r="D1954" s="1">
        <f ca="1">IFERROR(__xludf.DUMMYFUNCTION("""COMPUTED_VALUE"""),272.88)</f>
        <v>272.88</v>
      </c>
      <c r="E1954" s="1">
        <f ca="1">IFERROR(__xludf.DUMMYFUNCTION("""COMPUTED_VALUE"""),276.54)</f>
        <v>276.54000000000002</v>
      </c>
      <c r="F1954" s="1">
        <f ca="1">IFERROR(__xludf.DUMMYFUNCTION("""COMPUTED_VALUE"""),120707419)</f>
        <v>120707419</v>
      </c>
    </row>
    <row r="1955" spans="1:6" x14ac:dyDescent="0.2">
      <c r="A1955" s="2">
        <f ca="1">IFERROR(__xludf.DUMMYFUNCTION("""COMPUTED_VALUE"""),45114.6666666666)</f>
        <v>45114.666666666599</v>
      </c>
      <c r="B1955" s="1">
        <f ca="1">IFERROR(__xludf.DUMMYFUNCTION("""COMPUTED_VALUE"""),278.43)</f>
        <v>278.43</v>
      </c>
      <c r="C1955" s="1">
        <f ca="1">IFERROR(__xludf.DUMMYFUNCTION("""COMPUTED_VALUE"""),280.78)</f>
        <v>280.77999999999997</v>
      </c>
      <c r="D1955" s="1">
        <f ca="1">IFERROR(__xludf.DUMMYFUNCTION("""COMPUTED_VALUE"""),273.77)</f>
        <v>273.77</v>
      </c>
      <c r="E1955" s="1">
        <f ca="1">IFERROR(__xludf.DUMMYFUNCTION("""COMPUTED_VALUE"""),274.43)</f>
        <v>274.43</v>
      </c>
      <c r="F1955" s="1">
        <f ca="1">IFERROR(__xludf.DUMMYFUNCTION("""COMPUTED_VALUE"""),113879174)</f>
        <v>113879174</v>
      </c>
    </row>
    <row r="1956" spans="1:6" x14ac:dyDescent="0.2">
      <c r="A1956" s="2">
        <f ca="1">IFERROR(__xludf.DUMMYFUNCTION("""COMPUTED_VALUE"""),45117.6666666666)</f>
        <v>45117.666666666599</v>
      </c>
      <c r="B1956" s="1">
        <f ca="1">IFERROR(__xludf.DUMMYFUNCTION("""COMPUTED_VALUE"""),276.47)</f>
        <v>276.47000000000003</v>
      </c>
      <c r="C1956" s="1">
        <f ca="1">IFERROR(__xludf.DUMMYFUNCTION("""COMPUTED_VALUE"""),277.52)</f>
        <v>277.52</v>
      </c>
      <c r="D1956" s="1">
        <f ca="1">IFERROR(__xludf.DUMMYFUNCTION("""COMPUTED_VALUE"""),265.1)</f>
        <v>265.10000000000002</v>
      </c>
      <c r="E1956" s="1">
        <f ca="1">IFERROR(__xludf.DUMMYFUNCTION("""COMPUTED_VALUE"""),269.61)</f>
        <v>269.61</v>
      </c>
      <c r="F1956" s="1">
        <f ca="1">IFERROR(__xludf.DUMMYFUNCTION("""COMPUTED_VALUE"""),119425405)</f>
        <v>119425405</v>
      </c>
    </row>
    <row r="1957" spans="1:6" x14ac:dyDescent="0.2">
      <c r="A1957" s="2">
        <f ca="1">IFERROR(__xludf.DUMMYFUNCTION("""COMPUTED_VALUE"""),45118.6666666666)</f>
        <v>45118.666666666599</v>
      </c>
      <c r="B1957" s="1">
        <f ca="1">IFERROR(__xludf.DUMMYFUNCTION("""COMPUTED_VALUE"""),268.65)</f>
        <v>268.64999999999998</v>
      </c>
      <c r="C1957" s="1">
        <f ca="1">IFERROR(__xludf.DUMMYFUNCTION("""COMPUTED_VALUE"""),270.9)</f>
        <v>270.89999999999998</v>
      </c>
      <c r="D1957" s="1">
        <f ca="1">IFERROR(__xludf.DUMMYFUNCTION("""COMPUTED_VALUE"""),266.37)</f>
        <v>266.37</v>
      </c>
      <c r="E1957" s="1">
        <f ca="1">IFERROR(__xludf.DUMMYFUNCTION("""COMPUTED_VALUE"""),269.79)</f>
        <v>269.79000000000002</v>
      </c>
      <c r="F1957" s="1">
        <f ca="1">IFERROR(__xludf.DUMMYFUNCTION("""COMPUTED_VALUE"""),91972358)</f>
        <v>91972358</v>
      </c>
    </row>
    <row r="1958" spans="1:6" x14ac:dyDescent="0.2">
      <c r="A1958" s="2">
        <f ca="1">IFERROR(__xludf.DUMMYFUNCTION("""COMPUTED_VALUE"""),45119.6666666666)</f>
        <v>45119.666666666599</v>
      </c>
      <c r="B1958" s="1">
        <f ca="1">IFERROR(__xludf.DUMMYFUNCTION("""COMPUTED_VALUE"""),276.33)</f>
        <v>276.33</v>
      </c>
      <c r="C1958" s="1">
        <f ca="1">IFERROR(__xludf.DUMMYFUNCTION("""COMPUTED_VALUE"""),276.52)</f>
        <v>276.52</v>
      </c>
      <c r="D1958" s="1">
        <f ca="1">IFERROR(__xludf.DUMMYFUNCTION("""COMPUTED_VALUE"""),271.46)</f>
        <v>271.45999999999998</v>
      </c>
      <c r="E1958" s="1">
        <f ca="1">IFERROR(__xludf.DUMMYFUNCTION("""COMPUTED_VALUE"""),271.99)</f>
        <v>271.99</v>
      </c>
      <c r="F1958" s="1">
        <f ca="1">IFERROR(__xludf.DUMMYFUNCTION("""COMPUTED_VALUE"""),95672139)</f>
        <v>95672139</v>
      </c>
    </row>
    <row r="1959" spans="1:6" x14ac:dyDescent="0.2">
      <c r="A1959" s="2">
        <f ca="1">IFERROR(__xludf.DUMMYFUNCTION("""COMPUTED_VALUE"""),45120.6666666666)</f>
        <v>45120.666666666599</v>
      </c>
      <c r="B1959" s="1">
        <f ca="1">IFERROR(__xludf.DUMMYFUNCTION("""COMPUTED_VALUE"""),274.59)</f>
        <v>274.58999999999997</v>
      </c>
      <c r="C1959" s="1">
        <f ca="1">IFERROR(__xludf.DUMMYFUNCTION("""COMPUTED_VALUE"""),279.45)</f>
        <v>279.45</v>
      </c>
      <c r="D1959" s="1">
        <f ca="1">IFERROR(__xludf.DUMMYFUNCTION("""COMPUTED_VALUE"""),270.6)</f>
        <v>270.60000000000002</v>
      </c>
      <c r="E1959" s="1">
        <f ca="1">IFERROR(__xludf.DUMMYFUNCTION("""COMPUTED_VALUE"""),277.9)</f>
        <v>277.89999999999998</v>
      </c>
      <c r="F1959" s="1">
        <f ca="1">IFERROR(__xludf.DUMMYFUNCTION("""COMPUTED_VALUE"""),112681458)</f>
        <v>112681458</v>
      </c>
    </row>
    <row r="1960" spans="1:6" x14ac:dyDescent="0.2">
      <c r="A1960" s="2">
        <f ca="1">IFERROR(__xludf.DUMMYFUNCTION("""COMPUTED_VALUE"""),45121.6666666666)</f>
        <v>45121.666666666599</v>
      </c>
      <c r="B1960" s="1">
        <f ca="1">IFERROR(__xludf.DUMMYFUNCTION("""COMPUTED_VALUE"""),277.01)</f>
        <v>277.01</v>
      </c>
      <c r="C1960" s="1">
        <f ca="1">IFERROR(__xludf.DUMMYFUNCTION("""COMPUTED_VALUE"""),285.3)</f>
        <v>285.3</v>
      </c>
      <c r="D1960" s="1">
        <f ca="1">IFERROR(__xludf.DUMMYFUNCTION("""COMPUTED_VALUE"""),276.31)</f>
        <v>276.31</v>
      </c>
      <c r="E1960" s="1">
        <f ca="1">IFERROR(__xludf.DUMMYFUNCTION("""COMPUTED_VALUE"""),281.38)</f>
        <v>281.38</v>
      </c>
      <c r="F1960" s="1">
        <f ca="1">IFERROR(__xludf.DUMMYFUNCTION("""COMPUTED_VALUE"""),120062369)</f>
        <v>120062369</v>
      </c>
    </row>
    <row r="1961" spans="1:6" x14ac:dyDescent="0.2">
      <c r="A1961" s="2">
        <f ca="1">IFERROR(__xludf.DUMMYFUNCTION("""COMPUTED_VALUE"""),45124.6666666666)</f>
        <v>45124.666666666599</v>
      </c>
      <c r="B1961" s="1">
        <f ca="1">IFERROR(__xludf.DUMMYFUNCTION("""COMPUTED_VALUE"""),286.63)</f>
        <v>286.63</v>
      </c>
      <c r="C1961" s="1">
        <f ca="1">IFERROR(__xludf.DUMMYFUNCTION("""COMPUTED_VALUE"""),292.23)</f>
        <v>292.23</v>
      </c>
      <c r="D1961" s="1">
        <f ca="1">IFERROR(__xludf.DUMMYFUNCTION("""COMPUTED_VALUE"""),283.57)</f>
        <v>283.57</v>
      </c>
      <c r="E1961" s="1">
        <f ca="1">IFERROR(__xludf.DUMMYFUNCTION("""COMPUTED_VALUE"""),290.38)</f>
        <v>290.38</v>
      </c>
      <c r="F1961" s="1">
        <f ca="1">IFERROR(__xludf.DUMMYFUNCTION("""COMPUTED_VALUE"""),131569593)</f>
        <v>131569593</v>
      </c>
    </row>
    <row r="1962" spans="1:6" x14ac:dyDescent="0.2">
      <c r="A1962" s="2">
        <f ca="1">IFERROR(__xludf.DUMMYFUNCTION("""COMPUTED_VALUE"""),45125.6666666666)</f>
        <v>45125.666666666599</v>
      </c>
      <c r="B1962" s="1">
        <f ca="1">IFERROR(__xludf.DUMMYFUNCTION("""COMPUTED_VALUE"""),290.15)</f>
        <v>290.14999999999998</v>
      </c>
      <c r="C1962" s="1">
        <f ca="1">IFERROR(__xludf.DUMMYFUNCTION("""COMPUTED_VALUE"""),295.26)</f>
        <v>295.26</v>
      </c>
      <c r="D1962" s="1">
        <f ca="1">IFERROR(__xludf.DUMMYFUNCTION("""COMPUTED_VALUE"""),286.01)</f>
        <v>286.01</v>
      </c>
      <c r="E1962" s="1">
        <f ca="1">IFERROR(__xludf.DUMMYFUNCTION("""COMPUTED_VALUE"""),293.34)</f>
        <v>293.33999999999997</v>
      </c>
      <c r="F1962" s="1">
        <f ca="1">IFERROR(__xludf.DUMMYFUNCTION("""COMPUTED_VALUE"""),112434713)</f>
        <v>112434713</v>
      </c>
    </row>
    <row r="1963" spans="1:6" x14ac:dyDescent="0.2">
      <c r="A1963" s="2">
        <f ca="1">IFERROR(__xludf.DUMMYFUNCTION("""COMPUTED_VALUE"""),45126.6666666666)</f>
        <v>45126.666666666599</v>
      </c>
      <c r="B1963" s="1">
        <f ca="1">IFERROR(__xludf.DUMMYFUNCTION("""COMPUTED_VALUE"""),296.04)</f>
        <v>296.04000000000002</v>
      </c>
      <c r="C1963" s="1">
        <f ca="1">IFERROR(__xludf.DUMMYFUNCTION("""COMPUTED_VALUE"""),299.29)</f>
        <v>299.29000000000002</v>
      </c>
      <c r="D1963" s="1">
        <f ca="1">IFERROR(__xludf.DUMMYFUNCTION("""COMPUTED_VALUE"""),289.52)</f>
        <v>289.52</v>
      </c>
      <c r="E1963" s="1">
        <f ca="1">IFERROR(__xludf.DUMMYFUNCTION("""COMPUTED_VALUE"""),291.26)</f>
        <v>291.26</v>
      </c>
      <c r="F1963" s="1">
        <f ca="1">IFERROR(__xludf.DUMMYFUNCTION("""COMPUTED_VALUE"""),142355353)</f>
        <v>142355353</v>
      </c>
    </row>
    <row r="1964" spans="1:6" x14ac:dyDescent="0.2">
      <c r="A1964" s="2">
        <f ca="1">IFERROR(__xludf.DUMMYFUNCTION("""COMPUTED_VALUE"""),45127.6666666666)</f>
        <v>45127.666666666599</v>
      </c>
      <c r="B1964" s="1">
        <f ca="1">IFERROR(__xludf.DUMMYFUNCTION("""COMPUTED_VALUE"""),279.56)</f>
        <v>279.56</v>
      </c>
      <c r="C1964" s="1">
        <f ca="1">IFERROR(__xludf.DUMMYFUNCTION("""COMPUTED_VALUE"""),280.93)</f>
        <v>280.93</v>
      </c>
      <c r="D1964" s="1">
        <f ca="1">IFERROR(__xludf.DUMMYFUNCTION("""COMPUTED_VALUE"""),261.2)</f>
        <v>261.2</v>
      </c>
      <c r="E1964" s="1">
        <f ca="1">IFERROR(__xludf.DUMMYFUNCTION("""COMPUTED_VALUE"""),262.9)</f>
        <v>262.89999999999998</v>
      </c>
      <c r="F1964" s="1">
        <f ca="1">IFERROR(__xludf.DUMMYFUNCTION("""COMPUTED_VALUE"""),175158273)</f>
        <v>175158273</v>
      </c>
    </row>
    <row r="1965" spans="1:6" x14ac:dyDescent="0.2">
      <c r="A1965" s="2">
        <f ca="1">IFERROR(__xludf.DUMMYFUNCTION("""COMPUTED_VALUE"""),45128.6666666666)</f>
        <v>45128.666666666599</v>
      </c>
      <c r="B1965" s="1">
        <f ca="1">IFERROR(__xludf.DUMMYFUNCTION("""COMPUTED_VALUE"""),268)</f>
        <v>268</v>
      </c>
      <c r="C1965" s="1">
        <f ca="1">IFERROR(__xludf.DUMMYFUNCTION("""COMPUTED_VALUE"""),268)</f>
        <v>268</v>
      </c>
      <c r="D1965" s="1">
        <f ca="1">IFERROR(__xludf.DUMMYFUNCTION("""COMPUTED_VALUE"""),255.8)</f>
        <v>255.8</v>
      </c>
      <c r="E1965" s="1">
        <f ca="1">IFERROR(__xludf.DUMMYFUNCTION("""COMPUTED_VALUE"""),260.02)</f>
        <v>260.02</v>
      </c>
      <c r="F1965" s="1">
        <f ca="1">IFERROR(__xludf.DUMMYFUNCTION("""COMPUTED_VALUE"""),161796073)</f>
        <v>161796073</v>
      </c>
    </row>
    <row r="1966" spans="1:6" x14ac:dyDescent="0.2">
      <c r="A1966" s="2">
        <f ca="1">IFERROR(__xludf.DUMMYFUNCTION("""COMPUTED_VALUE"""),45131.6666666666)</f>
        <v>45131.666666666599</v>
      </c>
      <c r="B1966" s="1">
        <f ca="1">IFERROR(__xludf.DUMMYFUNCTION("""COMPUTED_VALUE"""),255.85)</f>
        <v>255.85</v>
      </c>
      <c r="C1966" s="1">
        <f ca="1">IFERROR(__xludf.DUMMYFUNCTION("""COMPUTED_VALUE"""),269.85)</f>
        <v>269.85000000000002</v>
      </c>
      <c r="D1966" s="1">
        <f ca="1">IFERROR(__xludf.DUMMYFUNCTION("""COMPUTED_VALUE"""),254.12)</f>
        <v>254.12</v>
      </c>
      <c r="E1966" s="1">
        <f ca="1">IFERROR(__xludf.DUMMYFUNCTION("""COMPUTED_VALUE"""),269.06)</f>
        <v>269.06</v>
      </c>
      <c r="F1966" s="1">
        <f ca="1">IFERROR(__xludf.DUMMYFUNCTION("""COMPUTED_VALUE"""),137005037)</f>
        <v>137005037</v>
      </c>
    </row>
    <row r="1967" spans="1:6" x14ac:dyDescent="0.2">
      <c r="A1967" s="2">
        <f ca="1">IFERROR(__xludf.DUMMYFUNCTION("""COMPUTED_VALUE"""),45132.6666666666)</f>
        <v>45132.666666666599</v>
      </c>
      <c r="B1967" s="1">
        <f ca="1">IFERROR(__xludf.DUMMYFUNCTION("""COMPUTED_VALUE"""),272.38)</f>
        <v>272.38</v>
      </c>
      <c r="C1967" s="1">
        <f ca="1">IFERROR(__xludf.DUMMYFUNCTION("""COMPUTED_VALUE"""),272.9)</f>
        <v>272.89999999999998</v>
      </c>
      <c r="D1967" s="1">
        <f ca="1">IFERROR(__xludf.DUMMYFUNCTION("""COMPUTED_VALUE"""),265)</f>
        <v>265</v>
      </c>
      <c r="E1967" s="1">
        <f ca="1">IFERROR(__xludf.DUMMYFUNCTION("""COMPUTED_VALUE"""),265.28)</f>
        <v>265.27999999999997</v>
      </c>
      <c r="F1967" s="1">
        <f ca="1">IFERROR(__xludf.DUMMYFUNCTION("""COMPUTED_VALUE"""),112757327)</f>
        <v>112757327</v>
      </c>
    </row>
    <row r="1968" spans="1:6" x14ac:dyDescent="0.2">
      <c r="A1968" s="2">
        <f ca="1">IFERROR(__xludf.DUMMYFUNCTION("""COMPUTED_VALUE"""),45133.6666666666)</f>
        <v>45133.666666666599</v>
      </c>
      <c r="B1968" s="1">
        <f ca="1">IFERROR(__xludf.DUMMYFUNCTION("""COMPUTED_VALUE"""),263.25)</f>
        <v>263.25</v>
      </c>
      <c r="C1968" s="1">
        <f ca="1">IFERROR(__xludf.DUMMYFUNCTION("""COMPUTED_VALUE"""),268.04)</f>
        <v>268.04000000000002</v>
      </c>
      <c r="D1968" s="1">
        <f ca="1">IFERROR(__xludf.DUMMYFUNCTION("""COMPUTED_VALUE"""),261.75)</f>
        <v>261.75</v>
      </c>
      <c r="E1968" s="1">
        <f ca="1">IFERROR(__xludf.DUMMYFUNCTION("""COMPUTED_VALUE"""),264.35)</f>
        <v>264.35000000000002</v>
      </c>
      <c r="F1968" s="1">
        <f ca="1">IFERROR(__xludf.DUMMYFUNCTION("""COMPUTED_VALUE"""),95856177)</f>
        <v>95856177</v>
      </c>
    </row>
    <row r="1969" spans="1:6" x14ac:dyDescent="0.2">
      <c r="A1969" s="2">
        <f ca="1">IFERROR(__xludf.DUMMYFUNCTION("""COMPUTED_VALUE"""),45134.6666666666)</f>
        <v>45134.666666666599</v>
      </c>
      <c r="B1969" s="1">
        <f ca="1">IFERROR(__xludf.DUMMYFUNCTION("""COMPUTED_VALUE"""),268.31)</f>
        <v>268.31</v>
      </c>
      <c r="C1969" s="1">
        <f ca="1">IFERROR(__xludf.DUMMYFUNCTION("""COMPUTED_VALUE"""),269.13)</f>
        <v>269.13</v>
      </c>
      <c r="D1969" s="1">
        <f ca="1">IFERROR(__xludf.DUMMYFUNCTION("""COMPUTED_VALUE"""),255.3)</f>
        <v>255.3</v>
      </c>
      <c r="E1969" s="1">
        <f ca="1">IFERROR(__xludf.DUMMYFUNCTION("""COMPUTED_VALUE"""),255.71)</f>
        <v>255.71</v>
      </c>
      <c r="F1969" s="1">
        <f ca="1">IFERROR(__xludf.DUMMYFUNCTION("""COMPUTED_VALUE"""),103697263)</f>
        <v>103697263</v>
      </c>
    </row>
    <row r="1970" spans="1:6" x14ac:dyDescent="0.2">
      <c r="A1970" s="2">
        <f ca="1">IFERROR(__xludf.DUMMYFUNCTION("""COMPUTED_VALUE"""),45135.6666666666)</f>
        <v>45135.666666666599</v>
      </c>
      <c r="B1970" s="1">
        <f ca="1">IFERROR(__xludf.DUMMYFUNCTION("""COMPUTED_VALUE"""),259.86)</f>
        <v>259.86</v>
      </c>
      <c r="C1970" s="1">
        <f ca="1">IFERROR(__xludf.DUMMYFUNCTION("""COMPUTED_VALUE"""),267.25)</f>
        <v>267.25</v>
      </c>
      <c r="D1970" s="1">
        <f ca="1">IFERROR(__xludf.DUMMYFUNCTION("""COMPUTED_VALUE"""),258.23)</f>
        <v>258.23</v>
      </c>
      <c r="E1970" s="1">
        <f ca="1">IFERROR(__xludf.DUMMYFUNCTION("""COMPUTED_VALUE"""),266.44)</f>
        <v>266.44</v>
      </c>
      <c r="F1970" s="1">
        <f ca="1">IFERROR(__xludf.DUMMYFUNCTION("""COMPUTED_VALUE"""),111446026)</f>
        <v>111446026</v>
      </c>
    </row>
    <row r="1971" spans="1:6" x14ac:dyDescent="0.2">
      <c r="A1971" s="2">
        <f ca="1">IFERROR(__xludf.DUMMYFUNCTION("""COMPUTED_VALUE"""),45138.6666666666)</f>
        <v>45138.666666666599</v>
      </c>
      <c r="B1971" s="1">
        <f ca="1">IFERROR(__xludf.DUMMYFUNCTION("""COMPUTED_VALUE"""),267.48)</f>
        <v>267.48</v>
      </c>
      <c r="C1971" s="1">
        <f ca="1">IFERROR(__xludf.DUMMYFUNCTION("""COMPUTED_VALUE"""),269.08)</f>
        <v>269.08</v>
      </c>
      <c r="D1971" s="1">
        <f ca="1">IFERROR(__xludf.DUMMYFUNCTION("""COMPUTED_VALUE"""),263.78)</f>
        <v>263.77999999999997</v>
      </c>
      <c r="E1971" s="1">
        <f ca="1">IFERROR(__xludf.DUMMYFUNCTION("""COMPUTED_VALUE"""),267.43)</f>
        <v>267.43</v>
      </c>
      <c r="F1971" s="1">
        <f ca="1">IFERROR(__xludf.DUMMYFUNCTION("""COMPUTED_VALUE"""),84582172)</f>
        <v>84582172</v>
      </c>
    </row>
    <row r="1972" spans="1:6" x14ac:dyDescent="0.2">
      <c r="A1972" s="2">
        <f ca="1">IFERROR(__xludf.DUMMYFUNCTION("""COMPUTED_VALUE"""),45139.6666666666)</f>
        <v>45139.666666666599</v>
      </c>
      <c r="B1972" s="1">
        <f ca="1">IFERROR(__xludf.DUMMYFUNCTION("""COMPUTED_VALUE"""),266.26)</f>
        <v>266.26</v>
      </c>
      <c r="C1972" s="1">
        <f ca="1">IFERROR(__xludf.DUMMYFUNCTION("""COMPUTED_VALUE"""),266.47)</f>
        <v>266.47000000000003</v>
      </c>
      <c r="D1972" s="1">
        <f ca="1">IFERROR(__xludf.DUMMYFUNCTION("""COMPUTED_VALUE"""),260.25)</f>
        <v>260.25</v>
      </c>
      <c r="E1972" s="1">
        <f ca="1">IFERROR(__xludf.DUMMYFUNCTION("""COMPUTED_VALUE"""),261.07)</f>
        <v>261.07</v>
      </c>
      <c r="F1972" s="1">
        <f ca="1">IFERROR(__xludf.DUMMYFUNCTION("""COMPUTED_VALUE"""),83645720)</f>
        <v>83645720</v>
      </c>
    </row>
    <row r="1973" spans="1:6" x14ac:dyDescent="0.2">
      <c r="A1973" s="2">
        <f ca="1">IFERROR(__xludf.DUMMYFUNCTION("""COMPUTED_VALUE"""),45140.6666666666)</f>
        <v>45140.666666666599</v>
      </c>
      <c r="B1973" s="1">
        <f ca="1">IFERROR(__xludf.DUMMYFUNCTION("""COMPUTED_VALUE"""),255.57)</f>
        <v>255.57</v>
      </c>
      <c r="C1973" s="1">
        <f ca="1">IFERROR(__xludf.DUMMYFUNCTION("""COMPUTED_VALUE"""),259.52)</f>
        <v>259.52</v>
      </c>
      <c r="D1973" s="1">
        <f ca="1">IFERROR(__xludf.DUMMYFUNCTION("""COMPUTED_VALUE"""),250.49)</f>
        <v>250.49</v>
      </c>
      <c r="E1973" s="1">
        <f ca="1">IFERROR(__xludf.DUMMYFUNCTION("""COMPUTED_VALUE"""),254.11)</f>
        <v>254.11</v>
      </c>
      <c r="F1973" s="1">
        <f ca="1">IFERROR(__xludf.DUMMYFUNCTION("""COMPUTED_VALUE"""),101752865)</f>
        <v>101752865</v>
      </c>
    </row>
    <row r="1974" spans="1:6" x14ac:dyDescent="0.2">
      <c r="A1974" s="2">
        <f ca="1">IFERROR(__xludf.DUMMYFUNCTION("""COMPUTED_VALUE"""),45141.6666666666)</f>
        <v>45141.666666666599</v>
      </c>
      <c r="B1974" s="1">
        <f ca="1">IFERROR(__xludf.DUMMYFUNCTION("""COMPUTED_VALUE"""),252.04)</f>
        <v>252.04</v>
      </c>
      <c r="C1974" s="1">
        <f ca="1">IFERROR(__xludf.DUMMYFUNCTION("""COMPUTED_VALUE"""),260.49)</f>
        <v>260.49</v>
      </c>
      <c r="D1974" s="1">
        <f ca="1">IFERROR(__xludf.DUMMYFUNCTION("""COMPUTED_VALUE"""),252)</f>
        <v>252</v>
      </c>
      <c r="E1974" s="1">
        <f ca="1">IFERROR(__xludf.DUMMYFUNCTION("""COMPUTED_VALUE"""),259.32)</f>
        <v>259.32</v>
      </c>
      <c r="F1974" s="1">
        <f ca="1">IFERROR(__xludf.DUMMYFUNCTION("""COMPUTED_VALUE"""),97829545)</f>
        <v>97829545</v>
      </c>
    </row>
    <row r="1975" spans="1:6" x14ac:dyDescent="0.2">
      <c r="A1975" s="2">
        <f ca="1">IFERROR(__xludf.DUMMYFUNCTION("""COMPUTED_VALUE"""),45142.6666666666)</f>
        <v>45142.666666666599</v>
      </c>
      <c r="B1975" s="1">
        <f ca="1">IFERROR(__xludf.DUMMYFUNCTION("""COMPUTED_VALUE"""),260.97)</f>
        <v>260.97000000000003</v>
      </c>
      <c r="C1975" s="1">
        <f ca="1">IFERROR(__xludf.DUMMYFUNCTION("""COMPUTED_VALUE"""),264.77)</f>
        <v>264.77</v>
      </c>
      <c r="D1975" s="1">
        <f ca="1">IFERROR(__xludf.DUMMYFUNCTION("""COMPUTED_VALUE"""),253.11)</f>
        <v>253.11</v>
      </c>
      <c r="E1975" s="1">
        <f ca="1">IFERROR(__xludf.DUMMYFUNCTION("""COMPUTED_VALUE"""),253.86)</f>
        <v>253.86</v>
      </c>
      <c r="F1975" s="1">
        <f ca="1">IFERROR(__xludf.DUMMYFUNCTION("""COMPUTED_VALUE"""),99539907)</f>
        <v>99539907</v>
      </c>
    </row>
    <row r="1976" spans="1:6" x14ac:dyDescent="0.2">
      <c r="A1976" s="2">
        <f ca="1">IFERROR(__xludf.DUMMYFUNCTION("""COMPUTED_VALUE"""),45145.6666666666)</f>
        <v>45145.666666666599</v>
      </c>
      <c r="B1976" s="1">
        <f ca="1">IFERROR(__xludf.DUMMYFUNCTION("""COMPUTED_VALUE"""),251.45)</f>
        <v>251.45</v>
      </c>
      <c r="C1976" s="1">
        <f ca="1">IFERROR(__xludf.DUMMYFUNCTION("""COMPUTED_VALUE"""),253.65)</f>
        <v>253.65</v>
      </c>
      <c r="D1976" s="1">
        <f ca="1">IFERROR(__xludf.DUMMYFUNCTION("""COMPUTED_VALUE"""),242.76)</f>
        <v>242.76</v>
      </c>
      <c r="E1976" s="1">
        <f ca="1">IFERROR(__xludf.DUMMYFUNCTION("""COMPUTED_VALUE"""),251.45)</f>
        <v>251.45</v>
      </c>
      <c r="F1976" s="1">
        <f ca="1">IFERROR(__xludf.DUMMYFUNCTION("""COMPUTED_VALUE"""),111097943)</f>
        <v>111097943</v>
      </c>
    </row>
    <row r="1977" spans="1:6" x14ac:dyDescent="0.2">
      <c r="A1977" s="2">
        <f ca="1">IFERROR(__xludf.DUMMYFUNCTION("""COMPUTED_VALUE"""),45146.6666666666)</f>
        <v>45146.666666666599</v>
      </c>
      <c r="B1977" s="1">
        <f ca="1">IFERROR(__xludf.DUMMYFUNCTION("""COMPUTED_VALUE"""),247.45)</f>
        <v>247.45</v>
      </c>
      <c r="C1977" s="1">
        <f ca="1">IFERROR(__xludf.DUMMYFUNCTION("""COMPUTED_VALUE"""),250.92)</f>
        <v>250.92</v>
      </c>
      <c r="D1977" s="1">
        <f ca="1">IFERROR(__xludf.DUMMYFUNCTION("""COMPUTED_VALUE"""),245.01)</f>
        <v>245.01</v>
      </c>
      <c r="E1977" s="1">
        <f ca="1">IFERROR(__xludf.DUMMYFUNCTION("""COMPUTED_VALUE"""),249.7)</f>
        <v>249.7</v>
      </c>
      <c r="F1977" s="1">
        <f ca="1">IFERROR(__xludf.DUMMYFUNCTION("""COMPUTED_VALUE"""),96642183)</f>
        <v>96642183</v>
      </c>
    </row>
    <row r="1978" spans="1:6" x14ac:dyDescent="0.2">
      <c r="A1978" s="2">
        <f ca="1">IFERROR(__xludf.DUMMYFUNCTION("""COMPUTED_VALUE"""),45147.6666666666)</f>
        <v>45147.666666666599</v>
      </c>
      <c r="B1978" s="1">
        <f ca="1">IFERROR(__xludf.DUMMYFUNCTION("""COMPUTED_VALUE"""),250.87)</f>
        <v>250.87</v>
      </c>
      <c r="C1978" s="1">
        <f ca="1">IFERROR(__xludf.DUMMYFUNCTION("""COMPUTED_VALUE"""),251.1)</f>
        <v>251.1</v>
      </c>
      <c r="D1978" s="1">
        <f ca="1">IFERROR(__xludf.DUMMYFUNCTION("""COMPUTED_VALUE"""),241.9)</f>
        <v>241.9</v>
      </c>
      <c r="E1978" s="1">
        <f ca="1">IFERROR(__xludf.DUMMYFUNCTION("""COMPUTED_VALUE"""),242.19)</f>
        <v>242.19</v>
      </c>
      <c r="F1978" s="1">
        <f ca="1">IFERROR(__xludf.DUMMYFUNCTION("""COMPUTED_VALUE"""),101596324)</f>
        <v>101596324</v>
      </c>
    </row>
    <row r="1979" spans="1:6" x14ac:dyDescent="0.2">
      <c r="A1979" s="2">
        <f ca="1">IFERROR(__xludf.DUMMYFUNCTION("""COMPUTED_VALUE"""),45148.6666666666)</f>
        <v>45148.666666666599</v>
      </c>
      <c r="B1979" s="1">
        <f ca="1">IFERROR(__xludf.DUMMYFUNCTION("""COMPUTED_VALUE"""),245.4)</f>
        <v>245.4</v>
      </c>
      <c r="C1979" s="1">
        <f ca="1">IFERROR(__xludf.DUMMYFUNCTION("""COMPUTED_VALUE"""),251.8)</f>
        <v>251.8</v>
      </c>
      <c r="D1979" s="1">
        <f ca="1">IFERROR(__xludf.DUMMYFUNCTION("""COMPUTED_VALUE"""),243)</f>
        <v>243</v>
      </c>
      <c r="E1979" s="1">
        <f ca="1">IFERROR(__xludf.DUMMYFUNCTION("""COMPUTED_VALUE"""),245.34)</f>
        <v>245.34</v>
      </c>
      <c r="F1979" s="1">
        <f ca="1">IFERROR(__xludf.DUMMYFUNCTION("""COMPUTED_VALUE"""),109498608)</f>
        <v>109498608</v>
      </c>
    </row>
    <row r="1980" spans="1:6" x14ac:dyDescent="0.2">
      <c r="A1980" s="2">
        <f ca="1">IFERROR(__xludf.DUMMYFUNCTION("""COMPUTED_VALUE"""),45149.6666666666)</f>
        <v>45149.666666666599</v>
      </c>
      <c r="B1980" s="1">
        <f ca="1">IFERROR(__xludf.DUMMYFUNCTION("""COMPUTED_VALUE"""),241.77)</f>
        <v>241.77</v>
      </c>
      <c r="C1980" s="1">
        <f ca="1">IFERROR(__xludf.DUMMYFUNCTION("""COMPUTED_VALUE"""),243.79)</f>
        <v>243.79</v>
      </c>
      <c r="D1980" s="1">
        <f ca="1">IFERROR(__xludf.DUMMYFUNCTION("""COMPUTED_VALUE"""),238.02)</f>
        <v>238.02</v>
      </c>
      <c r="E1980" s="1">
        <f ca="1">IFERROR(__xludf.DUMMYFUNCTION("""COMPUTED_VALUE"""),242.65)</f>
        <v>242.65</v>
      </c>
      <c r="F1980" s="1">
        <f ca="1">IFERROR(__xludf.DUMMYFUNCTION("""COMPUTED_VALUE"""),99038642)</f>
        <v>99038642</v>
      </c>
    </row>
    <row r="1981" spans="1:6" x14ac:dyDescent="0.2">
      <c r="A1981" s="2">
        <f ca="1">IFERROR(__xludf.DUMMYFUNCTION("""COMPUTED_VALUE"""),45152.6666666666)</f>
        <v>45152.666666666599</v>
      </c>
      <c r="B1981" s="1">
        <f ca="1">IFERROR(__xludf.DUMMYFUNCTION("""COMPUTED_VALUE"""),235.7)</f>
        <v>235.7</v>
      </c>
      <c r="C1981" s="1">
        <f ca="1">IFERROR(__xludf.DUMMYFUNCTION("""COMPUTED_VALUE"""),240.66)</f>
        <v>240.66</v>
      </c>
      <c r="D1981" s="1">
        <f ca="1">IFERROR(__xludf.DUMMYFUNCTION("""COMPUTED_VALUE"""),233.75)</f>
        <v>233.75</v>
      </c>
      <c r="E1981" s="1">
        <f ca="1">IFERROR(__xludf.DUMMYFUNCTION("""COMPUTED_VALUE"""),239.76)</f>
        <v>239.76</v>
      </c>
      <c r="F1981" s="1">
        <f ca="1">IFERROR(__xludf.DUMMYFUNCTION("""COMPUTED_VALUE"""),98595331)</f>
        <v>98595331</v>
      </c>
    </row>
    <row r="1982" spans="1:6" x14ac:dyDescent="0.2">
      <c r="A1982" s="2">
        <f ca="1">IFERROR(__xludf.DUMMYFUNCTION("""COMPUTED_VALUE"""),45153.6666666666)</f>
        <v>45153.666666666599</v>
      </c>
      <c r="B1982" s="1">
        <f ca="1">IFERROR(__xludf.DUMMYFUNCTION("""COMPUTED_VALUE"""),238.73)</f>
        <v>238.73</v>
      </c>
      <c r="C1982" s="1">
        <f ca="1">IFERROR(__xludf.DUMMYFUNCTION("""COMPUTED_VALUE"""),240.5)</f>
        <v>240.5</v>
      </c>
      <c r="D1982" s="1">
        <f ca="1">IFERROR(__xludf.DUMMYFUNCTION("""COMPUTED_VALUE"""),232.61)</f>
        <v>232.61</v>
      </c>
      <c r="E1982" s="1">
        <f ca="1">IFERROR(__xludf.DUMMYFUNCTION("""COMPUTED_VALUE"""),232.96)</f>
        <v>232.96</v>
      </c>
      <c r="F1982" s="1">
        <f ca="1">IFERROR(__xludf.DUMMYFUNCTION("""COMPUTED_VALUE"""),88197599)</f>
        <v>88197599</v>
      </c>
    </row>
    <row r="1983" spans="1:6" x14ac:dyDescent="0.2">
      <c r="A1983" s="2">
        <f ca="1">IFERROR(__xludf.DUMMYFUNCTION("""COMPUTED_VALUE"""),45154.6666666666)</f>
        <v>45154.666666666599</v>
      </c>
      <c r="B1983" s="1">
        <f ca="1">IFERROR(__xludf.DUMMYFUNCTION("""COMPUTED_VALUE"""),228.02)</f>
        <v>228.02</v>
      </c>
      <c r="C1983" s="1">
        <f ca="1">IFERROR(__xludf.DUMMYFUNCTION("""COMPUTED_VALUE"""),233.97)</f>
        <v>233.97</v>
      </c>
      <c r="D1983" s="1">
        <f ca="1">IFERROR(__xludf.DUMMYFUNCTION("""COMPUTED_VALUE"""),225.38)</f>
        <v>225.38</v>
      </c>
      <c r="E1983" s="1">
        <f ca="1">IFERROR(__xludf.DUMMYFUNCTION("""COMPUTED_VALUE"""),225.6)</f>
        <v>225.6</v>
      </c>
      <c r="F1983" s="1">
        <f ca="1">IFERROR(__xludf.DUMMYFUNCTION("""COMPUTED_VALUE"""),112484520)</f>
        <v>112484520</v>
      </c>
    </row>
    <row r="1984" spans="1:6" x14ac:dyDescent="0.2">
      <c r="A1984" s="2">
        <f ca="1">IFERROR(__xludf.DUMMYFUNCTION("""COMPUTED_VALUE"""),45155.6666666666)</f>
        <v>45155.666666666599</v>
      </c>
      <c r="B1984" s="1">
        <f ca="1">IFERROR(__xludf.DUMMYFUNCTION("""COMPUTED_VALUE"""),226.06)</f>
        <v>226.06</v>
      </c>
      <c r="C1984" s="1">
        <f ca="1">IFERROR(__xludf.DUMMYFUNCTION("""COMPUTED_VALUE"""),226.74)</f>
        <v>226.74</v>
      </c>
      <c r="D1984" s="1">
        <f ca="1">IFERROR(__xludf.DUMMYFUNCTION("""COMPUTED_VALUE"""),218.83)</f>
        <v>218.83</v>
      </c>
      <c r="E1984" s="1">
        <f ca="1">IFERROR(__xludf.DUMMYFUNCTION("""COMPUTED_VALUE"""),219.22)</f>
        <v>219.22</v>
      </c>
      <c r="F1984" s="1">
        <f ca="1">IFERROR(__xludf.DUMMYFUNCTION("""COMPUTED_VALUE"""),120718417)</f>
        <v>120718417</v>
      </c>
    </row>
    <row r="1985" spans="1:6" x14ac:dyDescent="0.2">
      <c r="A1985" s="2">
        <f ca="1">IFERROR(__xludf.DUMMYFUNCTION("""COMPUTED_VALUE"""),45156.6666666666)</f>
        <v>45156.666666666599</v>
      </c>
      <c r="B1985" s="1">
        <f ca="1">IFERROR(__xludf.DUMMYFUNCTION("""COMPUTED_VALUE"""),214.12)</f>
        <v>214.12</v>
      </c>
      <c r="C1985" s="1">
        <f ca="1">IFERROR(__xludf.DUMMYFUNCTION("""COMPUTED_VALUE"""),217.58)</f>
        <v>217.58</v>
      </c>
      <c r="D1985" s="1">
        <f ca="1">IFERROR(__xludf.DUMMYFUNCTION("""COMPUTED_VALUE"""),212.36)</f>
        <v>212.36</v>
      </c>
      <c r="E1985" s="1">
        <f ca="1">IFERROR(__xludf.DUMMYFUNCTION("""COMPUTED_VALUE"""),215.49)</f>
        <v>215.49</v>
      </c>
      <c r="F1985" s="1">
        <f ca="1">IFERROR(__xludf.DUMMYFUNCTION("""COMPUTED_VALUE"""),136276584)</f>
        <v>136276584</v>
      </c>
    </row>
    <row r="1986" spans="1:6" x14ac:dyDescent="0.2">
      <c r="A1986" s="2">
        <f ca="1">IFERROR(__xludf.DUMMYFUNCTION("""COMPUTED_VALUE"""),45159.6666666666)</f>
        <v>45159.666666666599</v>
      </c>
      <c r="B1986" s="1">
        <f ca="1">IFERROR(__xludf.DUMMYFUNCTION("""COMPUTED_VALUE"""),221.55)</f>
        <v>221.55</v>
      </c>
      <c r="C1986" s="1">
        <f ca="1">IFERROR(__xludf.DUMMYFUNCTION("""COMPUTED_VALUE"""),232.13)</f>
        <v>232.13</v>
      </c>
      <c r="D1986" s="1">
        <f ca="1">IFERROR(__xludf.DUMMYFUNCTION("""COMPUTED_VALUE"""),220.58)</f>
        <v>220.58</v>
      </c>
      <c r="E1986" s="1">
        <f ca="1">IFERROR(__xludf.DUMMYFUNCTION("""COMPUTED_VALUE"""),231.28)</f>
        <v>231.28</v>
      </c>
      <c r="F1986" s="1">
        <f ca="1">IFERROR(__xludf.DUMMYFUNCTION("""COMPUTED_VALUE"""),135702671)</f>
        <v>135702671</v>
      </c>
    </row>
    <row r="1987" spans="1:6" x14ac:dyDescent="0.2">
      <c r="A1987" s="2">
        <f ca="1">IFERROR(__xludf.DUMMYFUNCTION("""COMPUTED_VALUE"""),45160.6666666666)</f>
        <v>45160.666666666599</v>
      </c>
      <c r="B1987" s="1">
        <f ca="1">IFERROR(__xludf.DUMMYFUNCTION("""COMPUTED_VALUE"""),240.25)</f>
        <v>240.25</v>
      </c>
      <c r="C1987" s="1">
        <f ca="1">IFERROR(__xludf.DUMMYFUNCTION("""COMPUTED_VALUE"""),240.82)</f>
        <v>240.82</v>
      </c>
      <c r="D1987" s="1">
        <f ca="1">IFERROR(__xludf.DUMMYFUNCTION("""COMPUTED_VALUE"""),229.55)</f>
        <v>229.55</v>
      </c>
      <c r="E1987" s="1">
        <f ca="1">IFERROR(__xludf.DUMMYFUNCTION("""COMPUTED_VALUE"""),233.19)</f>
        <v>233.19</v>
      </c>
      <c r="F1987" s="1">
        <f ca="1">IFERROR(__xludf.DUMMYFUNCTION("""COMPUTED_VALUE"""),130597886)</f>
        <v>130597886</v>
      </c>
    </row>
    <row r="1988" spans="1:6" x14ac:dyDescent="0.2">
      <c r="A1988" s="2">
        <f ca="1">IFERROR(__xludf.DUMMYFUNCTION("""COMPUTED_VALUE"""),45161.6666666666)</f>
        <v>45161.666666666599</v>
      </c>
      <c r="B1988" s="1">
        <f ca="1">IFERROR(__xludf.DUMMYFUNCTION("""COMPUTED_VALUE"""),229.34)</f>
        <v>229.34</v>
      </c>
      <c r="C1988" s="1">
        <f ca="1">IFERROR(__xludf.DUMMYFUNCTION("""COMPUTED_VALUE"""),238.98)</f>
        <v>238.98</v>
      </c>
      <c r="D1988" s="1">
        <f ca="1">IFERROR(__xludf.DUMMYFUNCTION("""COMPUTED_VALUE"""),229.29)</f>
        <v>229.29</v>
      </c>
      <c r="E1988" s="1">
        <f ca="1">IFERROR(__xludf.DUMMYFUNCTION("""COMPUTED_VALUE"""),236.86)</f>
        <v>236.86</v>
      </c>
      <c r="F1988" s="1">
        <f ca="1">IFERROR(__xludf.DUMMYFUNCTION("""COMPUTED_VALUE"""),101077635)</f>
        <v>101077635</v>
      </c>
    </row>
    <row r="1989" spans="1:6" x14ac:dyDescent="0.2">
      <c r="A1989" s="2">
        <f ca="1">IFERROR(__xludf.DUMMYFUNCTION("""COMPUTED_VALUE"""),45162.6666666666)</f>
        <v>45162.666666666599</v>
      </c>
      <c r="B1989" s="1">
        <f ca="1">IFERROR(__xludf.DUMMYFUNCTION("""COMPUTED_VALUE"""),238.66)</f>
        <v>238.66</v>
      </c>
      <c r="C1989" s="1">
        <f ca="1">IFERROR(__xludf.DUMMYFUNCTION("""COMPUTED_VALUE"""),238.92)</f>
        <v>238.92</v>
      </c>
      <c r="D1989" s="1">
        <f ca="1">IFERROR(__xludf.DUMMYFUNCTION("""COMPUTED_VALUE"""),228.18)</f>
        <v>228.18</v>
      </c>
      <c r="E1989" s="1">
        <f ca="1">IFERROR(__xludf.DUMMYFUNCTION("""COMPUTED_VALUE"""),230.04)</f>
        <v>230.04</v>
      </c>
      <c r="F1989" s="1">
        <f ca="1">IFERROR(__xludf.DUMMYFUNCTION("""COMPUTED_VALUE"""),99777432)</f>
        <v>99777432</v>
      </c>
    </row>
    <row r="1990" spans="1:6" x14ac:dyDescent="0.2">
      <c r="A1990" s="2">
        <f ca="1">IFERROR(__xludf.DUMMYFUNCTION("""COMPUTED_VALUE"""),45163.6666666666)</f>
        <v>45163.666666666599</v>
      </c>
      <c r="B1990" s="1">
        <f ca="1">IFERROR(__xludf.DUMMYFUNCTION("""COMPUTED_VALUE"""),231.31)</f>
        <v>231.31</v>
      </c>
      <c r="C1990" s="1">
        <f ca="1">IFERROR(__xludf.DUMMYFUNCTION("""COMPUTED_VALUE"""),239)</f>
        <v>239</v>
      </c>
      <c r="D1990" s="1">
        <f ca="1">IFERROR(__xludf.DUMMYFUNCTION("""COMPUTED_VALUE"""),230.35)</f>
        <v>230.35</v>
      </c>
      <c r="E1990" s="1">
        <f ca="1">IFERROR(__xludf.DUMMYFUNCTION("""COMPUTED_VALUE"""),238.59)</f>
        <v>238.59</v>
      </c>
      <c r="F1990" s="1">
        <f ca="1">IFERROR(__xludf.DUMMYFUNCTION("""COMPUTED_VALUE"""),106612231)</f>
        <v>106612231</v>
      </c>
    </row>
    <row r="1991" spans="1:6" x14ac:dyDescent="0.2">
      <c r="A1991" s="2">
        <f ca="1">IFERROR(__xludf.DUMMYFUNCTION("""COMPUTED_VALUE"""),45166.6666666666)</f>
        <v>45166.666666666599</v>
      </c>
      <c r="B1991" s="1">
        <f ca="1">IFERROR(__xludf.DUMMYFUNCTION("""COMPUTED_VALUE"""),242.58)</f>
        <v>242.58</v>
      </c>
      <c r="C1991" s="1">
        <f ca="1">IFERROR(__xludf.DUMMYFUNCTION("""COMPUTED_VALUE"""),244.38)</f>
        <v>244.38</v>
      </c>
      <c r="D1991" s="1">
        <f ca="1">IFERROR(__xludf.DUMMYFUNCTION("""COMPUTED_VALUE"""),235.35)</f>
        <v>235.35</v>
      </c>
      <c r="E1991" s="1">
        <f ca="1">IFERROR(__xludf.DUMMYFUNCTION("""COMPUTED_VALUE"""),238.82)</f>
        <v>238.82</v>
      </c>
      <c r="F1991" s="1">
        <f ca="1">IFERROR(__xludf.DUMMYFUNCTION("""COMPUTED_VALUE"""),107673727)</f>
        <v>107673727</v>
      </c>
    </row>
    <row r="1992" spans="1:6" x14ac:dyDescent="0.2">
      <c r="A1992" s="2">
        <f ca="1">IFERROR(__xludf.DUMMYFUNCTION("""COMPUTED_VALUE"""),45167.6666666666)</f>
        <v>45167.666666666599</v>
      </c>
      <c r="B1992" s="1">
        <f ca="1">IFERROR(__xludf.DUMMYFUNCTION("""COMPUTED_VALUE"""),238.58)</f>
        <v>238.58</v>
      </c>
      <c r="C1992" s="1">
        <f ca="1">IFERROR(__xludf.DUMMYFUNCTION("""COMPUTED_VALUE"""),257.48)</f>
        <v>257.48</v>
      </c>
      <c r="D1992" s="1">
        <f ca="1">IFERROR(__xludf.DUMMYFUNCTION("""COMPUTED_VALUE"""),237.77)</f>
        <v>237.77</v>
      </c>
      <c r="E1992" s="1">
        <f ca="1">IFERROR(__xludf.DUMMYFUNCTION("""COMPUTED_VALUE"""),257.18)</f>
        <v>257.18</v>
      </c>
      <c r="F1992" s="1">
        <f ca="1">IFERROR(__xludf.DUMMYFUNCTION("""COMPUTED_VALUE"""),134047603)</f>
        <v>134047603</v>
      </c>
    </row>
    <row r="1993" spans="1:6" x14ac:dyDescent="0.2">
      <c r="A1993" s="2">
        <f ca="1">IFERROR(__xludf.DUMMYFUNCTION("""COMPUTED_VALUE"""),45168.6666666666)</f>
        <v>45168.666666666599</v>
      </c>
      <c r="B1993" s="1">
        <f ca="1">IFERROR(__xludf.DUMMYFUNCTION("""COMPUTED_VALUE"""),254.2)</f>
        <v>254.2</v>
      </c>
      <c r="C1993" s="1">
        <f ca="1">IFERROR(__xludf.DUMMYFUNCTION("""COMPUTED_VALUE"""),260.51)</f>
        <v>260.51</v>
      </c>
      <c r="D1993" s="1">
        <f ca="1">IFERROR(__xludf.DUMMYFUNCTION("""COMPUTED_VALUE"""),250.59)</f>
        <v>250.59</v>
      </c>
      <c r="E1993" s="1">
        <f ca="1">IFERROR(__xludf.DUMMYFUNCTION("""COMPUTED_VALUE"""),256.9)</f>
        <v>256.89999999999998</v>
      </c>
      <c r="F1993" s="1">
        <f ca="1">IFERROR(__xludf.DUMMYFUNCTION("""COMPUTED_VALUE"""),121988437)</f>
        <v>121988437</v>
      </c>
    </row>
    <row r="1994" spans="1:6" x14ac:dyDescent="0.2">
      <c r="A1994" s="2">
        <f ca="1">IFERROR(__xludf.DUMMYFUNCTION("""COMPUTED_VALUE"""),45169.6666666666)</f>
        <v>45169.666666666599</v>
      </c>
      <c r="B1994" s="1">
        <f ca="1">IFERROR(__xludf.DUMMYFUNCTION("""COMPUTED_VALUE"""),255.98)</f>
        <v>255.98</v>
      </c>
      <c r="C1994" s="1">
        <f ca="1">IFERROR(__xludf.DUMMYFUNCTION("""COMPUTED_VALUE"""),261.18)</f>
        <v>261.18</v>
      </c>
      <c r="D1994" s="1">
        <f ca="1">IFERROR(__xludf.DUMMYFUNCTION("""COMPUTED_VALUE"""),255.05)</f>
        <v>255.05</v>
      </c>
      <c r="E1994" s="1">
        <f ca="1">IFERROR(__xludf.DUMMYFUNCTION("""COMPUTED_VALUE"""),258.08)</f>
        <v>258.08</v>
      </c>
      <c r="F1994" s="1">
        <f ca="1">IFERROR(__xludf.DUMMYFUNCTION("""COMPUTED_VALUE"""),108861698)</f>
        <v>108861698</v>
      </c>
    </row>
    <row r="1995" spans="1:6" x14ac:dyDescent="0.2">
      <c r="A1995" s="2">
        <f ca="1">IFERROR(__xludf.DUMMYFUNCTION("""COMPUTED_VALUE"""),45170.6666666666)</f>
        <v>45170.666666666599</v>
      </c>
      <c r="B1995" s="1">
        <f ca="1">IFERROR(__xludf.DUMMYFUNCTION("""COMPUTED_VALUE"""),257.26)</f>
        <v>257.26</v>
      </c>
      <c r="C1995" s="1">
        <f ca="1">IFERROR(__xludf.DUMMYFUNCTION("""COMPUTED_VALUE"""),259.08)</f>
        <v>259.08</v>
      </c>
      <c r="D1995" s="1">
        <f ca="1">IFERROR(__xludf.DUMMYFUNCTION("""COMPUTED_VALUE"""),242.01)</f>
        <v>242.01</v>
      </c>
      <c r="E1995" s="1">
        <f ca="1">IFERROR(__xludf.DUMMYFUNCTION("""COMPUTED_VALUE"""),245.01)</f>
        <v>245.01</v>
      </c>
      <c r="F1995" s="1">
        <f ca="1">IFERROR(__xludf.DUMMYFUNCTION("""COMPUTED_VALUE"""),132541640)</f>
        <v>132541640</v>
      </c>
    </row>
    <row r="1996" spans="1:6" x14ac:dyDescent="0.2">
      <c r="A1996" s="2">
        <f ca="1">IFERROR(__xludf.DUMMYFUNCTION("""COMPUTED_VALUE"""),45174.6666666666)</f>
        <v>45174.666666666599</v>
      </c>
      <c r="B1996" s="1">
        <f ca="1">IFERROR(__xludf.DUMMYFUNCTION("""COMPUTED_VALUE"""),245)</f>
        <v>245</v>
      </c>
      <c r="C1996" s="1">
        <f ca="1">IFERROR(__xludf.DUMMYFUNCTION("""COMPUTED_VALUE"""),258)</f>
        <v>258</v>
      </c>
      <c r="D1996" s="1">
        <f ca="1">IFERROR(__xludf.DUMMYFUNCTION("""COMPUTED_VALUE"""),244.86)</f>
        <v>244.86</v>
      </c>
      <c r="E1996" s="1">
        <f ca="1">IFERROR(__xludf.DUMMYFUNCTION("""COMPUTED_VALUE"""),256.49)</f>
        <v>256.49</v>
      </c>
      <c r="F1996" s="1">
        <f ca="1">IFERROR(__xludf.DUMMYFUNCTION("""COMPUTED_VALUE"""),129469565)</f>
        <v>129469565</v>
      </c>
    </row>
    <row r="1997" spans="1:6" x14ac:dyDescent="0.2">
      <c r="A1997" s="2">
        <f ca="1">IFERROR(__xludf.DUMMYFUNCTION("""COMPUTED_VALUE"""),45175.6666666666)</f>
        <v>45175.666666666599</v>
      </c>
      <c r="B1997" s="1">
        <f ca="1">IFERROR(__xludf.DUMMYFUNCTION("""COMPUTED_VALUE"""),255.14)</f>
        <v>255.14</v>
      </c>
      <c r="C1997" s="1">
        <f ca="1">IFERROR(__xludf.DUMMYFUNCTION("""COMPUTED_VALUE"""),255.39)</f>
        <v>255.39</v>
      </c>
      <c r="D1997" s="1">
        <f ca="1">IFERROR(__xludf.DUMMYFUNCTION("""COMPUTED_VALUE"""),245.06)</f>
        <v>245.06</v>
      </c>
      <c r="E1997" s="1">
        <f ca="1">IFERROR(__xludf.DUMMYFUNCTION("""COMPUTED_VALUE"""),251.92)</f>
        <v>251.92</v>
      </c>
      <c r="F1997" s="1">
        <f ca="1">IFERROR(__xludf.DUMMYFUNCTION("""COMPUTED_VALUE"""),116959759)</f>
        <v>116959759</v>
      </c>
    </row>
    <row r="1998" spans="1:6" x14ac:dyDescent="0.2">
      <c r="A1998" s="2">
        <f ca="1">IFERROR(__xludf.DUMMYFUNCTION("""COMPUTED_VALUE"""),45176.6666666666)</f>
        <v>45176.666666666599</v>
      </c>
      <c r="B1998" s="1">
        <f ca="1">IFERROR(__xludf.DUMMYFUNCTION("""COMPUTED_VALUE"""),245.07)</f>
        <v>245.07</v>
      </c>
      <c r="C1998" s="1">
        <f ca="1">IFERROR(__xludf.DUMMYFUNCTION("""COMPUTED_VALUE"""),252.81)</f>
        <v>252.81</v>
      </c>
      <c r="D1998" s="1">
        <f ca="1">IFERROR(__xludf.DUMMYFUNCTION("""COMPUTED_VALUE"""),243.27)</f>
        <v>243.27</v>
      </c>
      <c r="E1998" s="1">
        <f ca="1">IFERROR(__xludf.DUMMYFUNCTION("""COMPUTED_VALUE"""),251.49)</f>
        <v>251.49</v>
      </c>
      <c r="F1998" s="1">
        <f ca="1">IFERROR(__xludf.DUMMYFUNCTION("""COMPUTED_VALUE"""),115312886)</f>
        <v>115312886</v>
      </c>
    </row>
    <row r="1999" spans="1:6" x14ac:dyDescent="0.2">
      <c r="A1999" s="2">
        <f ca="1">IFERROR(__xludf.DUMMYFUNCTION("""COMPUTED_VALUE"""),45177.6666666666)</f>
        <v>45177.666666666599</v>
      </c>
      <c r="B1999" s="1">
        <f ca="1">IFERROR(__xludf.DUMMYFUNCTION("""COMPUTED_VALUE"""),251.22)</f>
        <v>251.22</v>
      </c>
      <c r="C1999" s="1">
        <f ca="1">IFERROR(__xludf.DUMMYFUNCTION("""COMPUTED_VALUE"""),256.52)</f>
        <v>256.52</v>
      </c>
      <c r="D1999" s="1">
        <f ca="1">IFERROR(__xludf.DUMMYFUNCTION("""COMPUTED_VALUE"""),246.67)</f>
        <v>246.67</v>
      </c>
      <c r="E1999" s="1">
        <f ca="1">IFERROR(__xludf.DUMMYFUNCTION("""COMPUTED_VALUE"""),248.5)</f>
        <v>248.5</v>
      </c>
      <c r="F1999" s="1">
        <f ca="1">IFERROR(__xludf.DUMMYFUNCTION("""COMPUTED_VALUE"""),118559635)</f>
        <v>118559635</v>
      </c>
    </row>
    <row r="2000" spans="1:6" x14ac:dyDescent="0.2">
      <c r="A2000" s="2">
        <f ca="1">IFERROR(__xludf.DUMMYFUNCTION("""COMPUTED_VALUE"""),45180.6666666666)</f>
        <v>45180.666666666599</v>
      </c>
      <c r="B2000" s="1">
        <f ca="1">IFERROR(__xludf.DUMMYFUNCTION("""COMPUTED_VALUE"""),264.27)</f>
        <v>264.27</v>
      </c>
      <c r="C2000" s="1">
        <f ca="1">IFERROR(__xludf.DUMMYFUNCTION("""COMPUTED_VALUE"""),274.85)</f>
        <v>274.85000000000002</v>
      </c>
      <c r="D2000" s="1">
        <f ca="1">IFERROR(__xludf.DUMMYFUNCTION("""COMPUTED_VALUE"""),260.61)</f>
        <v>260.61</v>
      </c>
      <c r="E2000" s="1">
        <f ca="1">IFERROR(__xludf.DUMMYFUNCTION("""COMPUTED_VALUE"""),273.58)</f>
        <v>273.58</v>
      </c>
      <c r="F2000" s="1">
        <f ca="1">IFERROR(__xludf.DUMMYFUNCTION("""COMPUTED_VALUE"""),174667852)</f>
        <v>174667852</v>
      </c>
    </row>
    <row r="2001" spans="1:6" x14ac:dyDescent="0.2">
      <c r="A2001" s="2">
        <f ca="1">IFERROR(__xludf.DUMMYFUNCTION("""COMPUTED_VALUE"""),45181.6666666666)</f>
        <v>45181.666666666599</v>
      </c>
      <c r="B2001" s="1">
        <f ca="1">IFERROR(__xludf.DUMMYFUNCTION("""COMPUTED_VALUE"""),270.76)</f>
        <v>270.76</v>
      </c>
      <c r="C2001" s="1">
        <f ca="1">IFERROR(__xludf.DUMMYFUNCTION("""COMPUTED_VALUE"""),278.39)</f>
        <v>278.39</v>
      </c>
      <c r="D2001" s="1">
        <f ca="1">IFERROR(__xludf.DUMMYFUNCTION("""COMPUTED_VALUE"""),266.6)</f>
        <v>266.60000000000002</v>
      </c>
      <c r="E2001" s="1">
        <f ca="1">IFERROR(__xludf.DUMMYFUNCTION("""COMPUTED_VALUE"""),267.48)</f>
        <v>267.48</v>
      </c>
      <c r="F2001" s="1">
        <f ca="1">IFERROR(__xludf.DUMMYFUNCTION("""COMPUTED_VALUE"""),135999866)</f>
        <v>135999866</v>
      </c>
    </row>
    <row r="2002" spans="1:6" x14ac:dyDescent="0.2">
      <c r="A2002" s="2">
        <f ca="1">IFERROR(__xludf.DUMMYFUNCTION("""COMPUTED_VALUE"""),45182.6666666666)</f>
        <v>45182.666666666599</v>
      </c>
      <c r="B2002" s="1">
        <f ca="1">IFERROR(__xludf.DUMMYFUNCTION("""COMPUTED_VALUE"""),270.07)</f>
        <v>270.07</v>
      </c>
      <c r="C2002" s="1">
        <f ca="1">IFERROR(__xludf.DUMMYFUNCTION("""COMPUTED_VALUE"""),274.98)</f>
        <v>274.98</v>
      </c>
      <c r="D2002" s="1">
        <f ca="1">IFERROR(__xludf.DUMMYFUNCTION("""COMPUTED_VALUE"""),268.1)</f>
        <v>268.10000000000002</v>
      </c>
      <c r="E2002" s="1">
        <f ca="1">IFERROR(__xludf.DUMMYFUNCTION("""COMPUTED_VALUE"""),271.3)</f>
        <v>271.3</v>
      </c>
      <c r="F2002" s="1">
        <f ca="1">IFERROR(__xludf.DUMMYFUNCTION("""COMPUTED_VALUE"""),111673737)</f>
        <v>111673737</v>
      </c>
    </row>
    <row r="2003" spans="1:6" x14ac:dyDescent="0.2">
      <c r="A2003" s="2">
        <f ca="1">IFERROR(__xludf.DUMMYFUNCTION("""COMPUTED_VALUE"""),45183.6666666666)</f>
        <v>45183.666666666599</v>
      </c>
      <c r="B2003" s="1">
        <f ca="1">IFERROR(__xludf.DUMMYFUNCTION("""COMPUTED_VALUE"""),271.32)</f>
        <v>271.32</v>
      </c>
      <c r="C2003" s="1">
        <f ca="1">IFERROR(__xludf.DUMMYFUNCTION("""COMPUTED_VALUE"""),276.71)</f>
        <v>276.70999999999998</v>
      </c>
      <c r="D2003" s="1">
        <f ca="1">IFERROR(__xludf.DUMMYFUNCTION("""COMPUTED_VALUE"""),270.42)</f>
        <v>270.42</v>
      </c>
      <c r="E2003" s="1">
        <f ca="1">IFERROR(__xludf.DUMMYFUNCTION("""COMPUTED_VALUE"""),276.04)</f>
        <v>276.04000000000002</v>
      </c>
      <c r="F2003" s="1">
        <f ca="1">IFERROR(__xludf.DUMMYFUNCTION("""COMPUTED_VALUE"""),107709842)</f>
        <v>107709842</v>
      </c>
    </row>
    <row r="2004" spans="1:6" x14ac:dyDescent="0.2">
      <c r="A2004" s="2">
        <f ca="1">IFERROR(__xludf.DUMMYFUNCTION("""COMPUTED_VALUE"""),45184.6666666666)</f>
        <v>45184.666666666599</v>
      </c>
      <c r="B2004" s="1">
        <f ca="1">IFERROR(__xludf.DUMMYFUNCTION("""COMPUTED_VALUE"""),277.55)</f>
        <v>277.55</v>
      </c>
      <c r="C2004" s="1">
        <f ca="1">IFERROR(__xludf.DUMMYFUNCTION("""COMPUTED_VALUE"""),278.98)</f>
        <v>278.98</v>
      </c>
      <c r="D2004" s="1">
        <f ca="1">IFERROR(__xludf.DUMMYFUNCTION("""COMPUTED_VALUE"""),271)</f>
        <v>271</v>
      </c>
      <c r="E2004" s="1">
        <f ca="1">IFERROR(__xludf.DUMMYFUNCTION("""COMPUTED_VALUE"""),274.39)</f>
        <v>274.39</v>
      </c>
      <c r="F2004" s="1">
        <f ca="1">IFERROR(__xludf.DUMMYFUNCTION("""COMPUTED_VALUE"""),133692313)</f>
        <v>133692313</v>
      </c>
    </row>
    <row r="2005" spans="1:6" x14ac:dyDescent="0.2">
      <c r="A2005" s="2">
        <f ca="1">IFERROR(__xludf.DUMMYFUNCTION("""COMPUTED_VALUE"""),45187.6666666666)</f>
        <v>45187.666666666599</v>
      </c>
      <c r="B2005" s="1">
        <f ca="1">IFERROR(__xludf.DUMMYFUNCTION("""COMPUTED_VALUE"""),271.16)</f>
        <v>271.16000000000003</v>
      </c>
      <c r="C2005" s="1">
        <f ca="1">IFERROR(__xludf.DUMMYFUNCTION("""COMPUTED_VALUE"""),271.44)</f>
        <v>271.44</v>
      </c>
      <c r="D2005" s="1">
        <f ca="1">IFERROR(__xludf.DUMMYFUNCTION("""COMPUTED_VALUE"""),263.76)</f>
        <v>263.76</v>
      </c>
      <c r="E2005" s="1">
        <f ca="1">IFERROR(__xludf.DUMMYFUNCTION("""COMPUTED_VALUE"""),265.28)</f>
        <v>265.27999999999997</v>
      </c>
      <c r="F2005" s="1">
        <f ca="1">IFERROR(__xludf.DUMMYFUNCTION("""COMPUTED_VALUE"""),101543305)</f>
        <v>101543305</v>
      </c>
    </row>
    <row r="2006" spans="1:6" x14ac:dyDescent="0.2">
      <c r="A2006" s="2">
        <f ca="1">IFERROR(__xludf.DUMMYFUNCTION("""COMPUTED_VALUE"""),45188.6666666666)</f>
        <v>45188.666666666599</v>
      </c>
      <c r="B2006" s="1">
        <f ca="1">IFERROR(__xludf.DUMMYFUNCTION("""COMPUTED_VALUE"""),264.35)</f>
        <v>264.35000000000002</v>
      </c>
      <c r="C2006" s="1">
        <f ca="1">IFERROR(__xludf.DUMMYFUNCTION("""COMPUTED_VALUE"""),267.85)</f>
        <v>267.85000000000002</v>
      </c>
      <c r="D2006" s="1">
        <f ca="1">IFERROR(__xludf.DUMMYFUNCTION("""COMPUTED_VALUE"""),261.2)</f>
        <v>261.2</v>
      </c>
      <c r="E2006" s="1">
        <f ca="1">IFERROR(__xludf.DUMMYFUNCTION("""COMPUTED_VALUE"""),266.5)</f>
        <v>266.5</v>
      </c>
      <c r="F2006" s="1">
        <f ca="1">IFERROR(__xludf.DUMMYFUNCTION("""COMPUTED_VALUE"""),103704040)</f>
        <v>103704040</v>
      </c>
    </row>
    <row r="2007" spans="1:6" x14ac:dyDescent="0.2">
      <c r="A2007" s="2">
        <f ca="1">IFERROR(__xludf.DUMMYFUNCTION("""COMPUTED_VALUE"""),45189.6666666666)</f>
        <v>45189.666666666599</v>
      </c>
      <c r="B2007" s="1">
        <f ca="1">IFERROR(__xludf.DUMMYFUNCTION("""COMPUTED_VALUE"""),267.04)</f>
        <v>267.04000000000002</v>
      </c>
      <c r="C2007" s="1">
        <f ca="1">IFERROR(__xludf.DUMMYFUNCTION("""COMPUTED_VALUE"""),273.93)</f>
        <v>273.93</v>
      </c>
      <c r="D2007" s="1">
        <f ca="1">IFERROR(__xludf.DUMMYFUNCTION("""COMPUTED_VALUE"""),262.46)</f>
        <v>262.45999999999998</v>
      </c>
      <c r="E2007" s="1">
        <f ca="1">IFERROR(__xludf.DUMMYFUNCTION("""COMPUTED_VALUE"""),262.59)</f>
        <v>262.58999999999997</v>
      </c>
      <c r="F2007" s="1">
        <f ca="1">IFERROR(__xludf.DUMMYFUNCTION("""COMPUTED_VALUE"""),122514643)</f>
        <v>122514643</v>
      </c>
    </row>
    <row r="2008" spans="1:6" x14ac:dyDescent="0.2">
      <c r="A2008" s="2">
        <f ca="1">IFERROR(__xludf.DUMMYFUNCTION("""COMPUTED_VALUE"""),45190.6666666666)</f>
        <v>45190.666666666599</v>
      </c>
      <c r="B2008" s="1">
        <f ca="1">IFERROR(__xludf.DUMMYFUNCTION("""COMPUTED_VALUE"""),257.85)</f>
        <v>257.85000000000002</v>
      </c>
      <c r="C2008" s="1">
        <f ca="1">IFERROR(__xludf.DUMMYFUNCTION("""COMPUTED_VALUE"""),260.86)</f>
        <v>260.86</v>
      </c>
      <c r="D2008" s="1">
        <f ca="1">IFERROR(__xludf.DUMMYFUNCTION("""COMPUTED_VALUE"""),254.21)</f>
        <v>254.21</v>
      </c>
      <c r="E2008" s="1">
        <f ca="1">IFERROR(__xludf.DUMMYFUNCTION("""COMPUTED_VALUE"""),255.7)</f>
        <v>255.7</v>
      </c>
      <c r="F2008" s="1">
        <f ca="1">IFERROR(__xludf.DUMMYFUNCTION("""COMPUTED_VALUE"""),119951516)</f>
        <v>119951516</v>
      </c>
    </row>
    <row r="2009" spans="1:6" x14ac:dyDescent="0.2">
      <c r="A2009" s="2">
        <f ca="1">IFERROR(__xludf.DUMMYFUNCTION("""COMPUTED_VALUE"""),45191.6666666666)</f>
        <v>45191.666666666599</v>
      </c>
      <c r="B2009" s="1">
        <f ca="1">IFERROR(__xludf.DUMMYFUNCTION("""COMPUTED_VALUE"""),257.4)</f>
        <v>257.39999999999998</v>
      </c>
      <c r="C2009" s="1">
        <f ca="1">IFERROR(__xludf.DUMMYFUNCTION("""COMPUTED_VALUE"""),257.79)</f>
        <v>257.79000000000002</v>
      </c>
      <c r="D2009" s="1">
        <f ca="1">IFERROR(__xludf.DUMMYFUNCTION("""COMPUTED_VALUE"""),244.48)</f>
        <v>244.48</v>
      </c>
      <c r="E2009" s="1">
        <f ca="1">IFERROR(__xludf.DUMMYFUNCTION("""COMPUTED_VALUE"""),244.88)</f>
        <v>244.88</v>
      </c>
      <c r="F2009" s="1">
        <f ca="1">IFERROR(__xludf.DUMMYFUNCTION("""COMPUTED_VALUE"""),127524083)</f>
        <v>127524083</v>
      </c>
    </row>
    <row r="2010" spans="1:6" x14ac:dyDescent="0.2">
      <c r="A2010" s="2">
        <f ca="1">IFERROR(__xludf.DUMMYFUNCTION("""COMPUTED_VALUE"""),45194.6666666666)</f>
        <v>45194.666666666599</v>
      </c>
      <c r="B2010" s="1">
        <f ca="1">IFERROR(__xludf.DUMMYFUNCTION("""COMPUTED_VALUE"""),243.38)</f>
        <v>243.38</v>
      </c>
      <c r="C2010" s="1">
        <f ca="1">IFERROR(__xludf.DUMMYFUNCTION("""COMPUTED_VALUE"""),247.1)</f>
        <v>247.1</v>
      </c>
      <c r="D2010" s="1">
        <f ca="1">IFERROR(__xludf.DUMMYFUNCTION("""COMPUTED_VALUE"""),238.31)</f>
        <v>238.31</v>
      </c>
      <c r="E2010" s="1">
        <f ca="1">IFERROR(__xludf.DUMMYFUNCTION("""COMPUTED_VALUE"""),246.99)</f>
        <v>246.99</v>
      </c>
      <c r="F2010" s="1">
        <f ca="1">IFERROR(__xludf.DUMMYFUNCTION("""COMPUTED_VALUE"""),104636557)</f>
        <v>104636557</v>
      </c>
    </row>
    <row r="2011" spans="1:6" x14ac:dyDescent="0.2">
      <c r="A2011" s="2">
        <f ca="1">IFERROR(__xludf.DUMMYFUNCTION("""COMPUTED_VALUE"""),45195.6666666666)</f>
        <v>45195.666666666599</v>
      </c>
      <c r="B2011" s="1">
        <f ca="1">IFERROR(__xludf.DUMMYFUNCTION("""COMPUTED_VALUE"""),242.98)</f>
        <v>242.98</v>
      </c>
      <c r="C2011" s="1">
        <f ca="1">IFERROR(__xludf.DUMMYFUNCTION("""COMPUTED_VALUE"""),249.55)</f>
        <v>249.55</v>
      </c>
      <c r="D2011" s="1">
        <f ca="1">IFERROR(__xludf.DUMMYFUNCTION("""COMPUTED_VALUE"""),241.66)</f>
        <v>241.66</v>
      </c>
      <c r="E2011" s="1">
        <f ca="1">IFERROR(__xludf.DUMMYFUNCTION("""COMPUTED_VALUE"""),244.12)</f>
        <v>244.12</v>
      </c>
      <c r="F2011" s="1">
        <f ca="1">IFERROR(__xludf.DUMMYFUNCTION("""COMPUTED_VALUE"""),101993631)</f>
        <v>101993631</v>
      </c>
    </row>
    <row r="2012" spans="1:6" x14ac:dyDescent="0.2">
      <c r="A2012" s="2">
        <f ca="1">IFERROR(__xludf.DUMMYFUNCTION("""COMPUTED_VALUE"""),45196.6666666666)</f>
        <v>45196.666666666599</v>
      </c>
      <c r="B2012" s="1">
        <f ca="1">IFERROR(__xludf.DUMMYFUNCTION("""COMPUTED_VALUE"""),244.26)</f>
        <v>244.26</v>
      </c>
      <c r="C2012" s="1">
        <f ca="1">IFERROR(__xludf.DUMMYFUNCTION("""COMPUTED_VALUE"""),245.33)</f>
        <v>245.33</v>
      </c>
      <c r="D2012" s="1">
        <f ca="1">IFERROR(__xludf.DUMMYFUNCTION("""COMPUTED_VALUE"""),234.58)</f>
        <v>234.58</v>
      </c>
      <c r="E2012" s="1">
        <f ca="1">IFERROR(__xludf.DUMMYFUNCTION("""COMPUTED_VALUE"""),240.5)</f>
        <v>240.5</v>
      </c>
      <c r="F2012" s="1">
        <f ca="1">IFERROR(__xludf.DUMMYFUNCTION("""COMPUTED_VALUE"""),136597184)</f>
        <v>136597184</v>
      </c>
    </row>
    <row r="2013" spans="1:6" x14ac:dyDescent="0.2">
      <c r="A2013" s="2">
        <f ca="1">IFERROR(__xludf.DUMMYFUNCTION("""COMPUTED_VALUE"""),45197.6666666666)</f>
        <v>45197.666666666599</v>
      </c>
      <c r="B2013" s="1">
        <f ca="1">IFERROR(__xludf.DUMMYFUNCTION("""COMPUTED_VALUE"""),240.02)</f>
        <v>240.02</v>
      </c>
      <c r="C2013" s="1">
        <f ca="1">IFERROR(__xludf.DUMMYFUNCTION("""COMPUTED_VALUE"""),247.55)</f>
        <v>247.55</v>
      </c>
      <c r="D2013" s="1">
        <f ca="1">IFERROR(__xludf.DUMMYFUNCTION("""COMPUTED_VALUE"""),238.65)</f>
        <v>238.65</v>
      </c>
      <c r="E2013" s="1">
        <f ca="1">IFERROR(__xludf.DUMMYFUNCTION("""COMPUTED_VALUE"""),246.38)</f>
        <v>246.38</v>
      </c>
      <c r="F2013" s="1">
        <f ca="1">IFERROR(__xludf.DUMMYFUNCTION("""COMPUTED_VALUE"""),117058870)</f>
        <v>117058870</v>
      </c>
    </row>
    <row r="2014" spans="1:6" x14ac:dyDescent="0.2">
      <c r="A2014" s="2">
        <f ca="1">IFERROR(__xludf.DUMMYFUNCTION("""COMPUTED_VALUE"""),45198.6666666666)</f>
        <v>45198.666666666599</v>
      </c>
      <c r="B2014" s="1">
        <f ca="1">IFERROR(__xludf.DUMMYFUNCTION("""COMPUTED_VALUE"""),250)</f>
        <v>250</v>
      </c>
      <c r="C2014" s="1">
        <f ca="1">IFERROR(__xludf.DUMMYFUNCTION("""COMPUTED_VALUE"""),254.77)</f>
        <v>254.77</v>
      </c>
      <c r="D2014" s="1">
        <f ca="1">IFERROR(__xludf.DUMMYFUNCTION("""COMPUTED_VALUE"""),246.35)</f>
        <v>246.35</v>
      </c>
      <c r="E2014" s="1">
        <f ca="1">IFERROR(__xludf.DUMMYFUNCTION("""COMPUTED_VALUE"""),250.22)</f>
        <v>250.22</v>
      </c>
      <c r="F2014" s="1">
        <f ca="1">IFERROR(__xludf.DUMMYFUNCTION("""COMPUTED_VALUE"""),128522729)</f>
        <v>128522729</v>
      </c>
    </row>
    <row r="2015" spans="1:6" x14ac:dyDescent="0.2">
      <c r="A2015" s="2">
        <f ca="1">IFERROR(__xludf.DUMMYFUNCTION("""COMPUTED_VALUE"""),45201.6666666666)</f>
        <v>45201.666666666599</v>
      </c>
      <c r="B2015" s="1">
        <f ca="1">IFERROR(__xludf.DUMMYFUNCTION("""COMPUTED_VALUE"""),244.81)</f>
        <v>244.81</v>
      </c>
      <c r="C2015" s="1">
        <f ca="1">IFERROR(__xludf.DUMMYFUNCTION("""COMPUTED_VALUE"""),254.28)</f>
        <v>254.28</v>
      </c>
      <c r="D2015" s="1">
        <f ca="1">IFERROR(__xludf.DUMMYFUNCTION("""COMPUTED_VALUE"""),242.62)</f>
        <v>242.62</v>
      </c>
      <c r="E2015" s="1">
        <f ca="1">IFERROR(__xludf.DUMMYFUNCTION("""COMPUTED_VALUE"""),251.6)</f>
        <v>251.6</v>
      </c>
      <c r="F2015" s="1">
        <f ca="1">IFERROR(__xludf.DUMMYFUNCTION("""COMPUTED_VALUE"""),123810402)</f>
        <v>123810402</v>
      </c>
    </row>
    <row r="2016" spans="1:6" x14ac:dyDescent="0.2">
      <c r="A2016" s="2">
        <f ca="1">IFERROR(__xludf.DUMMYFUNCTION("""COMPUTED_VALUE"""),45202.6666666666)</f>
        <v>45202.666666666599</v>
      </c>
      <c r="B2016" s="1">
        <f ca="1">IFERROR(__xludf.DUMMYFUNCTION("""COMPUTED_VALUE"""),248.61)</f>
        <v>248.61</v>
      </c>
      <c r="C2016" s="1">
        <f ca="1">IFERROR(__xludf.DUMMYFUNCTION("""COMPUTED_VALUE"""),250.02)</f>
        <v>250.02</v>
      </c>
      <c r="D2016" s="1">
        <f ca="1">IFERROR(__xludf.DUMMYFUNCTION("""COMPUTED_VALUE"""),244.45)</f>
        <v>244.45</v>
      </c>
      <c r="E2016" s="1">
        <f ca="1">IFERROR(__xludf.DUMMYFUNCTION("""COMPUTED_VALUE"""),246.53)</f>
        <v>246.53</v>
      </c>
      <c r="F2016" s="1">
        <f ca="1">IFERROR(__xludf.DUMMYFUNCTION("""COMPUTED_VALUE"""),101985305)</f>
        <v>101985305</v>
      </c>
    </row>
    <row r="2017" spans="1:6" x14ac:dyDescent="0.2">
      <c r="A2017" s="2">
        <f ca="1">IFERROR(__xludf.DUMMYFUNCTION("""COMPUTED_VALUE"""),45203.6666666666)</f>
        <v>45203.666666666599</v>
      </c>
      <c r="B2017" s="1">
        <f ca="1">IFERROR(__xludf.DUMMYFUNCTION("""COMPUTED_VALUE"""),248.14)</f>
        <v>248.14</v>
      </c>
      <c r="C2017" s="1">
        <f ca="1">IFERROR(__xludf.DUMMYFUNCTION("""COMPUTED_VALUE"""),261.86)</f>
        <v>261.86</v>
      </c>
      <c r="D2017" s="1">
        <f ca="1">IFERROR(__xludf.DUMMYFUNCTION("""COMPUTED_VALUE"""),247.6)</f>
        <v>247.6</v>
      </c>
      <c r="E2017" s="1">
        <f ca="1">IFERROR(__xludf.DUMMYFUNCTION("""COMPUTED_VALUE"""),261.16)</f>
        <v>261.16000000000003</v>
      </c>
      <c r="F2017" s="1">
        <f ca="1">IFERROR(__xludf.DUMMYFUNCTION("""COMPUTED_VALUE"""),129721567)</f>
        <v>129721567</v>
      </c>
    </row>
    <row r="2018" spans="1:6" x14ac:dyDescent="0.2">
      <c r="A2018" s="2">
        <f ca="1">IFERROR(__xludf.DUMMYFUNCTION("""COMPUTED_VALUE"""),45204.6666666666)</f>
        <v>45204.666666666599</v>
      </c>
      <c r="B2018" s="1">
        <f ca="1">IFERROR(__xludf.DUMMYFUNCTION("""COMPUTED_VALUE"""),260)</f>
        <v>260</v>
      </c>
      <c r="C2018" s="1">
        <f ca="1">IFERROR(__xludf.DUMMYFUNCTION("""COMPUTED_VALUE"""),263.6)</f>
        <v>263.60000000000002</v>
      </c>
      <c r="D2018" s="1">
        <f ca="1">IFERROR(__xludf.DUMMYFUNCTION("""COMPUTED_VALUE"""),256.25)</f>
        <v>256.25</v>
      </c>
      <c r="E2018" s="1">
        <f ca="1">IFERROR(__xludf.DUMMYFUNCTION("""COMPUTED_VALUE"""),260.05)</f>
        <v>260.05</v>
      </c>
      <c r="F2018" s="1">
        <f ca="1">IFERROR(__xludf.DUMMYFUNCTION("""COMPUTED_VALUE"""),119159214)</f>
        <v>119159214</v>
      </c>
    </row>
    <row r="2019" spans="1:6" x14ac:dyDescent="0.2">
      <c r="A2019" s="2">
        <f ca="1">IFERROR(__xludf.DUMMYFUNCTION("""COMPUTED_VALUE"""),45205.6666666666)</f>
        <v>45205.666666666599</v>
      </c>
      <c r="B2019" s="1">
        <f ca="1">IFERROR(__xludf.DUMMYFUNCTION("""COMPUTED_VALUE"""),253.98)</f>
        <v>253.98</v>
      </c>
      <c r="C2019" s="1">
        <f ca="1">IFERROR(__xludf.DUMMYFUNCTION("""COMPUTED_VALUE"""),261.65)</f>
        <v>261.64999999999998</v>
      </c>
      <c r="D2019" s="1">
        <f ca="1">IFERROR(__xludf.DUMMYFUNCTION("""COMPUTED_VALUE"""),250.65)</f>
        <v>250.65</v>
      </c>
      <c r="E2019" s="1">
        <f ca="1">IFERROR(__xludf.DUMMYFUNCTION("""COMPUTED_VALUE"""),260.53)</f>
        <v>260.52999999999997</v>
      </c>
      <c r="F2019" s="1">
        <f ca="1">IFERROR(__xludf.DUMMYFUNCTION("""COMPUTED_VALUE"""),118121812)</f>
        <v>118121812</v>
      </c>
    </row>
    <row r="2020" spans="1:6" x14ac:dyDescent="0.2">
      <c r="A2020" s="2">
        <f ca="1">IFERROR(__xludf.DUMMYFUNCTION("""COMPUTED_VALUE"""),45208.6666666666)</f>
        <v>45208.666666666599</v>
      </c>
      <c r="B2020" s="1">
        <f ca="1">IFERROR(__xludf.DUMMYFUNCTION("""COMPUTED_VALUE"""),255.31)</f>
        <v>255.31</v>
      </c>
      <c r="C2020" s="1">
        <f ca="1">IFERROR(__xludf.DUMMYFUNCTION("""COMPUTED_VALUE"""),261.36)</f>
        <v>261.36</v>
      </c>
      <c r="D2020" s="1">
        <f ca="1">IFERROR(__xludf.DUMMYFUNCTION("""COMPUTED_VALUE"""),252.05)</f>
        <v>252.05</v>
      </c>
      <c r="E2020" s="1">
        <f ca="1">IFERROR(__xludf.DUMMYFUNCTION("""COMPUTED_VALUE"""),259.67)</f>
        <v>259.67</v>
      </c>
      <c r="F2020" s="1">
        <f ca="1">IFERROR(__xludf.DUMMYFUNCTION("""COMPUTED_VALUE"""),101377947)</f>
        <v>101377947</v>
      </c>
    </row>
    <row r="2021" spans="1:6" x14ac:dyDescent="0.2">
      <c r="A2021" s="2">
        <f ca="1">IFERROR(__xludf.DUMMYFUNCTION("""COMPUTED_VALUE"""),45209.6666666666)</f>
        <v>45209.666666666599</v>
      </c>
      <c r="B2021" s="1">
        <f ca="1">IFERROR(__xludf.DUMMYFUNCTION("""COMPUTED_VALUE"""),257.75)</f>
        <v>257.75</v>
      </c>
      <c r="C2021" s="1">
        <f ca="1">IFERROR(__xludf.DUMMYFUNCTION("""COMPUTED_VALUE"""),268.94)</f>
        <v>268.94</v>
      </c>
      <c r="D2021" s="1">
        <f ca="1">IFERROR(__xludf.DUMMYFUNCTION("""COMPUTED_VALUE"""),257.65)</f>
        <v>257.64999999999998</v>
      </c>
      <c r="E2021" s="1">
        <f ca="1">IFERROR(__xludf.DUMMYFUNCTION("""COMPUTED_VALUE"""),263.62)</f>
        <v>263.62</v>
      </c>
      <c r="F2021" s="1">
        <f ca="1">IFERROR(__xludf.DUMMYFUNCTION("""COMPUTED_VALUE"""),122656030)</f>
        <v>122656030</v>
      </c>
    </row>
    <row r="2022" spans="1:6" x14ac:dyDescent="0.2">
      <c r="A2022" s="2">
        <f ca="1">IFERROR(__xludf.DUMMYFUNCTION("""COMPUTED_VALUE"""),45210.6666666666)</f>
        <v>45210.666666666599</v>
      </c>
      <c r="B2022" s="1">
        <f ca="1">IFERROR(__xludf.DUMMYFUNCTION("""COMPUTED_VALUE"""),266.2)</f>
        <v>266.2</v>
      </c>
      <c r="C2022" s="1">
        <f ca="1">IFERROR(__xludf.DUMMYFUNCTION("""COMPUTED_VALUE"""),268.6)</f>
        <v>268.60000000000002</v>
      </c>
      <c r="D2022" s="1">
        <f ca="1">IFERROR(__xludf.DUMMYFUNCTION("""COMPUTED_VALUE"""),260.9)</f>
        <v>260.89999999999998</v>
      </c>
      <c r="E2022" s="1">
        <f ca="1">IFERROR(__xludf.DUMMYFUNCTION("""COMPUTED_VALUE"""),262.99)</f>
        <v>262.99</v>
      </c>
      <c r="F2022" s="1">
        <f ca="1">IFERROR(__xludf.DUMMYFUNCTION("""COMPUTED_VALUE"""),103706266)</f>
        <v>103706266</v>
      </c>
    </row>
    <row r="2023" spans="1:6" x14ac:dyDescent="0.2">
      <c r="A2023" s="2">
        <f ca="1">IFERROR(__xludf.DUMMYFUNCTION("""COMPUTED_VALUE"""),45211.6666666666)</f>
        <v>45211.666666666599</v>
      </c>
      <c r="B2023" s="1">
        <f ca="1">IFERROR(__xludf.DUMMYFUNCTION("""COMPUTED_VALUE"""),262.92)</f>
        <v>262.92</v>
      </c>
      <c r="C2023" s="1">
        <f ca="1">IFERROR(__xludf.DUMMYFUNCTION("""COMPUTED_VALUE"""),265.41)</f>
        <v>265.41000000000003</v>
      </c>
      <c r="D2023" s="1">
        <f ca="1">IFERROR(__xludf.DUMMYFUNCTION("""COMPUTED_VALUE"""),256.63)</f>
        <v>256.63</v>
      </c>
      <c r="E2023" s="1">
        <f ca="1">IFERROR(__xludf.DUMMYFUNCTION("""COMPUTED_VALUE"""),258.87)</f>
        <v>258.87</v>
      </c>
      <c r="F2023" s="1">
        <f ca="1">IFERROR(__xludf.DUMMYFUNCTION("""COMPUTED_VALUE"""),111508114)</f>
        <v>111508114</v>
      </c>
    </row>
    <row r="2024" spans="1:6" x14ac:dyDescent="0.2">
      <c r="A2024" s="2">
        <f ca="1">IFERROR(__xludf.DUMMYFUNCTION("""COMPUTED_VALUE"""),45212.6666666666)</f>
        <v>45212.666666666599</v>
      </c>
      <c r="B2024" s="1">
        <f ca="1">IFERROR(__xludf.DUMMYFUNCTION("""COMPUTED_VALUE"""),258.9)</f>
        <v>258.89999999999998</v>
      </c>
      <c r="C2024" s="1">
        <f ca="1">IFERROR(__xludf.DUMMYFUNCTION("""COMPUTED_VALUE"""),259.6)</f>
        <v>259.60000000000002</v>
      </c>
      <c r="D2024" s="1">
        <f ca="1">IFERROR(__xludf.DUMMYFUNCTION("""COMPUTED_VALUE"""),250.22)</f>
        <v>250.22</v>
      </c>
      <c r="E2024" s="1">
        <f ca="1">IFERROR(__xludf.DUMMYFUNCTION("""COMPUTED_VALUE"""),251.12)</f>
        <v>251.12</v>
      </c>
      <c r="F2024" s="1">
        <f ca="1">IFERROR(__xludf.DUMMYFUNCTION("""COMPUTED_VALUE"""),102296786)</f>
        <v>102296786</v>
      </c>
    </row>
    <row r="2025" spans="1:6" x14ac:dyDescent="0.2">
      <c r="A2025" s="2">
        <f ca="1">IFERROR(__xludf.DUMMYFUNCTION("""COMPUTED_VALUE"""),45215.6666666666)</f>
        <v>45215.666666666599</v>
      </c>
      <c r="B2025" s="1">
        <f ca="1">IFERROR(__xludf.DUMMYFUNCTION("""COMPUTED_VALUE"""),250.05)</f>
        <v>250.05</v>
      </c>
      <c r="C2025" s="1">
        <f ca="1">IFERROR(__xludf.DUMMYFUNCTION("""COMPUTED_VALUE"""),255.4)</f>
        <v>255.4</v>
      </c>
      <c r="D2025" s="1">
        <f ca="1">IFERROR(__xludf.DUMMYFUNCTION("""COMPUTED_VALUE"""),248.48)</f>
        <v>248.48</v>
      </c>
      <c r="E2025" s="1">
        <f ca="1">IFERROR(__xludf.DUMMYFUNCTION("""COMPUTED_VALUE"""),253.92)</f>
        <v>253.92</v>
      </c>
      <c r="F2025" s="1">
        <f ca="1">IFERROR(__xludf.DUMMYFUNCTION("""COMPUTED_VALUE"""),88917176)</f>
        <v>88917176</v>
      </c>
    </row>
    <row r="2026" spans="1:6" x14ac:dyDescent="0.2">
      <c r="A2026" s="2">
        <f ca="1">IFERROR(__xludf.DUMMYFUNCTION("""COMPUTED_VALUE"""),45216.6666666666)</f>
        <v>45216.666666666599</v>
      </c>
      <c r="B2026" s="1">
        <f ca="1">IFERROR(__xludf.DUMMYFUNCTION("""COMPUTED_VALUE"""),250.1)</f>
        <v>250.1</v>
      </c>
      <c r="C2026" s="1">
        <f ca="1">IFERROR(__xludf.DUMMYFUNCTION("""COMPUTED_VALUE"""),257.18)</f>
        <v>257.18</v>
      </c>
      <c r="D2026" s="1">
        <f ca="1">IFERROR(__xludf.DUMMYFUNCTION("""COMPUTED_VALUE"""),247.08)</f>
        <v>247.08</v>
      </c>
      <c r="E2026" s="1">
        <f ca="1">IFERROR(__xludf.DUMMYFUNCTION("""COMPUTED_VALUE"""),254.85)</f>
        <v>254.85</v>
      </c>
      <c r="F2026" s="1">
        <f ca="1">IFERROR(__xludf.DUMMYFUNCTION("""COMPUTED_VALUE"""),93562909)</f>
        <v>93562909</v>
      </c>
    </row>
    <row r="2027" spans="1:6" x14ac:dyDescent="0.2">
      <c r="A2027" s="2">
        <f ca="1">IFERROR(__xludf.DUMMYFUNCTION("""COMPUTED_VALUE"""),45217.6666666666)</f>
        <v>45217.666666666599</v>
      </c>
      <c r="B2027" s="1">
        <f ca="1">IFERROR(__xludf.DUMMYFUNCTION("""COMPUTED_VALUE"""),252.7)</f>
        <v>252.7</v>
      </c>
      <c r="C2027" s="1">
        <f ca="1">IFERROR(__xludf.DUMMYFUNCTION("""COMPUTED_VALUE"""),254.63)</f>
        <v>254.63</v>
      </c>
      <c r="D2027" s="1">
        <f ca="1">IFERROR(__xludf.DUMMYFUNCTION("""COMPUTED_VALUE"""),242.08)</f>
        <v>242.08</v>
      </c>
      <c r="E2027" s="1">
        <f ca="1">IFERROR(__xludf.DUMMYFUNCTION("""COMPUTED_VALUE"""),242.68)</f>
        <v>242.68</v>
      </c>
      <c r="F2027" s="1">
        <f ca="1">IFERROR(__xludf.DUMMYFUNCTION("""COMPUTED_VALUE"""),125147846)</f>
        <v>125147846</v>
      </c>
    </row>
    <row r="2028" spans="1:6" x14ac:dyDescent="0.2">
      <c r="A2028" s="2">
        <f ca="1">IFERROR(__xludf.DUMMYFUNCTION("""COMPUTED_VALUE"""),45218.6666666666)</f>
        <v>45218.666666666599</v>
      </c>
      <c r="B2028" s="1">
        <f ca="1">IFERROR(__xludf.DUMMYFUNCTION("""COMPUTED_VALUE"""),225.95)</f>
        <v>225.95</v>
      </c>
      <c r="C2028" s="1">
        <f ca="1">IFERROR(__xludf.DUMMYFUNCTION("""COMPUTED_VALUE"""),230.61)</f>
        <v>230.61</v>
      </c>
      <c r="D2028" s="1">
        <f ca="1">IFERROR(__xludf.DUMMYFUNCTION("""COMPUTED_VALUE"""),216.78)</f>
        <v>216.78</v>
      </c>
      <c r="E2028" s="1">
        <f ca="1">IFERROR(__xludf.DUMMYFUNCTION("""COMPUTED_VALUE"""),220.11)</f>
        <v>220.11</v>
      </c>
      <c r="F2028" s="1">
        <f ca="1">IFERROR(__xludf.DUMMYFUNCTION("""COMPUTED_VALUE"""),170772713)</f>
        <v>170772713</v>
      </c>
    </row>
    <row r="2029" spans="1:6" x14ac:dyDescent="0.2">
      <c r="A2029" s="2">
        <f ca="1">IFERROR(__xludf.DUMMYFUNCTION("""COMPUTED_VALUE"""),45219.6666666666)</f>
        <v>45219.666666666599</v>
      </c>
      <c r="B2029" s="1">
        <f ca="1">IFERROR(__xludf.DUMMYFUNCTION("""COMPUTED_VALUE"""),217.01)</f>
        <v>217.01</v>
      </c>
      <c r="C2029" s="1">
        <f ca="1">IFERROR(__xludf.DUMMYFUNCTION("""COMPUTED_VALUE"""),218.86)</f>
        <v>218.86</v>
      </c>
      <c r="D2029" s="1">
        <f ca="1">IFERROR(__xludf.DUMMYFUNCTION("""COMPUTED_VALUE"""),210.42)</f>
        <v>210.42</v>
      </c>
      <c r="E2029" s="1">
        <f ca="1">IFERROR(__xludf.DUMMYFUNCTION("""COMPUTED_VALUE"""),211.99)</f>
        <v>211.99</v>
      </c>
      <c r="F2029" s="1">
        <f ca="1">IFERROR(__xludf.DUMMYFUNCTION("""COMPUTED_VALUE"""),138010095)</f>
        <v>138010095</v>
      </c>
    </row>
    <row r="2030" spans="1:6" x14ac:dyDescent="0.2">
      <c r="A2030" s="2">
        <f ca="1">IFERROR(__xludf.DUMMYFUNCTION("""COMPUTED_VALUE"""),45222.6666666666)</f>
        <v>45222.666666666599</v>
      </c>
      <c r="B2030" s="1">
        <f ca="1">IFERROR(__xludf.DUMMYFUNCTION("""COMPUTED_VALUE"""),210)</f>
        <v>210</v>
      </c>
      <c r="C2030" s="1">
        <f ca="1">IFERROR(__xludf.DUMMYFUNCTION("""COMPUTED_VALUE"""),216.98)</f>
        <v>216.98</v>
      </c>
      <c r="D2030" s="1">
        <f ca="1">IFERROR(__xludf.DUMMYFUNCTION("""COMPUTED_VALUE"""),202.51)</f>
        <v>202.51</v>
      </c>
      <c r="E2030" s="1">
        <f ca="1">IFERROR(__xludf.DUMMYFUNCTION("""COMPUTED_VALUE"""),212.08)</f>
        <v>212.08</v>
      </c>
      <c r="F2030" s="1">
        <f ca="1">IFERROR(__xludf.DUMMYFUNCTION("""COMPUTED_VALUE"""),150683368)</f>
        <v>150683368</v>
      </c>
    </row>
    <row r="2031" spans="1:6" x14ac:dyDescent="0.2">
      <c r="A2031" s="2">
        <f ca="1">IFERROR(__xludf.DUMMYFUNCTION("""COMPUTED_VALUE"""),45223.6666666666)</f>
        <v>45223.666666666599</v>
      </c>
      <c r="B2031" s="1">
        <f ca="1">IFERROR(__xludf.DUMMYFUNCTION("""COMPUTED_VALUE"""),216.5)</f>
        <v>216.5</v>
      </c>
      <c r="C2031" s="1">
        <f ca="1">IFERROR(__xludf.DUMMYFUNCTION("""COMPUTED_VALUE"""),222.05)</f>
        <v>222.05</v>
      </c>
      <c r="D2031" s="1">
        <f ca="1">IFERROR(__xludf.DUMMYFUNCTION("""COMPUTED_VALUE"""),214.11)</f>
        <v>214.11</v>
      </c>
      <c r="E2031" s="1">
        <f ca="1">IFERROR(__xludf.DUMMYFUNCTION("""COMPUTED_VALUE"""),216.52)</f>
        <v>216.52</v>
      </c>
      <c r="F2031" s="1">
        <f ca="1">IFERROR(__xludf.DUMMYFUNCTION("""COMPUTED_VALUE"""),118231113)</f>
        <v>118231113</v>
      </c>
    </row>
    <row r="2032" spans="1:6" x14ac:dyDescent="0.2">
      <c r="A2032" s="2">
        <f ca="1">IFERROR(__xludf.DUMMYFUNCTION("""COMPUTED_VALUE"""),45224.6666666666)</f>
        <v>45224.666666666599</v>
      </c>
      <c r="B2032" s="1">
        <f ca="1">IFERROR(__xludf.DUMMYFUNCTION("""COMPUTED_VALUE"""),215.88)</f>
        <v>215.88</v>
      </c>
      <c r="C2032" s="1">
        <f ca="1">IFERROR(__xludf.DUMMYFUNCTION("""COMPUTED_VALUE"""),220.1)</f>
        <v>220.1</v>
      </c>
      <c r="D2032" s="1">
        <f ca="1">IFERROR(__xludf.DUMMYFUNCTION("""COMPUTED_VALUE"""),212.2)</f>
        <v>212.2</v>
      </c>
      <c r="E2032" s="1">
        <f ca="1">IFERROR(__xludf.DUMMYFUNCTION("""COMPUTED_VALUE"""),212.42)</f>
        <v>212.42</v>
      </c>
      <c r="F2032" s="1">
        <f ca="1">IFERROR(__xludf.DUMMYFUNCTION("""COMPUTED_VALUE"""),107065087)</f>
        <v>107065087</v>
      </c>
    </row>
    <row r="2033" spans="1:6" x14ac:dyDescent="0.2">
      <c r="A2033" s="2">
        <f ca="1">IFERROR(__xludf.DUMMYFUNCTION("""COMPUTED_VALUE"""),45225.6666666666)</f>
        <v>45225.666666666599</v>
      </c>
      <c r="B2033" s="1">
        <f ca="1">IFERROR(__xludf.DUMMYFUNCTION("""COMPUTED_VALUE"""),211.32)</f>
        <v>211.32</v>
      </c>
      <c r="C2033" s="1">
        <f ca="1">IFERROR(__xludf.DUMMYFUNCTION("""COMPUTED_VALUE"""),214.8)</f>
        <v>214.8</v>
      </c>
      <c r="D2033" s="1">
        <f ca="1">IFERROR(__xludf.DUMMYFUNCTION("""COMPUTED_VALUE"""),204.88)</f>
        <v>204.88</v>
      </c>
      <c r="E2033" s="1">
        <f ca="1">IFERROR(__xludf.DUMMYFUNCTION("""COMPUTED_VALUE"""),205.76)</f>
        <v>205.76</v>
      </c>
      <c r="F2033" s="1">
        <f ca="1">IFERROR(__xludf.DUMMYFUNCTION("""COMPUTED_VALUE"""),115112635)</f>
        <v>115112635</v>
      </c>
    </row>
    <row r="2034" spans="1:6" x14ac:dyDescent="0.2">
      <c r="A2034" s="2">
        <f ca="1">IFERROR(__xludf.DUMMYFUNCTION("""COMPUTED_VALUE"""),45226.6666666666)</f>
        <v>45226.666666666599</v>
      </c>
      <c r="B2034" s="1">
        <f ca="1">IFERROR(__xludf.DUMMYFUNCTION("""COMPUTED_VALUE"""),210.6)</f>
        <v>210.6</v>
      </c>
      <c r="C2034" s="1">
        <f ca="1">IFERROR(__xludf.DUMMYFUNCTION("""COMPUTED_VALUE"""),212.41)</f>
        <v>212.41</v>
      </c>
      <c r="D2034" s="1">
        <f ca="1">IFERROR(__xludf.DUMMYFUNCTION("""COMPUTED_VALUE"""),205.77)</f>
        <v>205.77</v>
      </c>
      <c r="E2034" s="1">
        <f ca="1">IFERROR(__xludf.DUMMYFUNCTION("""COMPUTED_VALUE"""),207.3)</f>
        <v>207.3</v>
      </c>
      <c r="F2034" s="1">
        <f ca="1">IFERROR(__xludf.DUMMYFUNCTION("""COMPUTED_VALUE"""),94881173)</f>
        <v>94881173</v>
      </c>
    </row>
    <row r="2035" spans="1:6" x14ac:dyDescent="0.2">
      <c r="A2035" s="2">
        <f ca="1">IFERROR(__xludf.DUMMYFUNCTION("""COMPUTED_VALUE"""),45229.6666666666)</f>
        <v>45229.666666666599</v>
      </c>
      <c r="B2035" s="1">
        <f ca="1">IFERROR(__xludf.DUMMYFUNCTION("""COMPUTED_VALUE"""),209.28)</f>
        <v>209.28</v>
      </c>
      <c r="C2035" s="1">
        <f ca="1">IFERROR(__xludf.DUMMYFUNCTION("""COMPUTED_VALUE"""),210.88)</f>
        <v>210.88</v>
      </c>
      <c r="D2035" s="1">
        <f ca="1">IFERROR(__xludf.DUMMYFUNCTION("""COMPUTED_VALUE"""),194.67)</f>
        <v>194.67</v>
      </c>
      <c r="E2035" s="1">
        <f ca="1">IFERROR(__xludf.DUMMYFUNCTION("""COMPUTED_VALUE"""),197.36)</f>
        <v>197.36</v>
      </c>
      <c r="F2035" s="1">
        <f ca="1">IFERROR(__xludf.DUMMYFUNCTION("""COMPUTED_VALUE"""),136448167)</f>
        <v>136448167</v>
      </c>
    </row>
    <row r="2036" spans="1:6" x14ac:dyDescent="0.2">
      <c r="A2036" s="2">
        <f ca="1">IFERROR(__xludf.DUMMYFUNCTION("""COMPUTED_VALUE"""),45230.6666666666)</f>
        <v>45230.666666666599</v>
      </c>
      <c r="B2036" s="1">
        <f ca="1">IFERROR(__xludf.DUMMYFUNCTION("""COMPUTED_VALUE"""),196.12)</f>
        <v>196.12</v>
      </c>
      <c r="C2036" s="1">
        <f ca="1">IFERROR(__xludf.DUMMYFUNCTION("""COMPUTED_VALUE"""),202.8)</f>
        <v>202.8</v>
      </c>
      <c r="D2036" s="1">
        <f ca="1">IFERROR(__xludf.DUMMYFUNCTION("""COMPUTED_VALUE"""),194.07)</f>
        <v>194.07</v>
      </c>
      <c r="E2036" s="1">
        <f ca="1">IFERROR(__xludf.DUMMYFUNCTION("""COMPUTED_VALUE"""),200.84)</f>
        <v>200.84</v>
      </c>
      <c r="F2036" s="1">
        <f ca="1">IFERROR(__xludf.DUMMYFUNCTION("""COMPUTED_VALUE"""),118068273)</f>
        <v>118068273</v>
      </c>
    </row>
    <row r="2037" spans="1:6" x14ac:dyDescent="0.2">
      <c r="A2037" s="2">
        <f ca="1">IFERROR(__xludf.DUMMYFUNCTION("""COMPUTED_VALUE"""),45231.6666666666)</f>
        <v>45231.666666666599</v>
      </c>
      <c r="B2037" s="1">
        <f ca="1">IFERROR(__xludf.DUMMYFUNCTION("""COMPUTED_VALUE"""),204.04)</f>
        <v>204.04</v>
      </c>
      <c r="C2037" s="1">
        <f ca="1">IFERROR(__xludf.DUMMYFUNCTION("""COMPUTED_VALUE"""),205.99)</f>
        <v>205.99</v>
      </c>
      <c r="D2037" s="1">
        <f ca="1">IFERROR(__xludf.DUMMYFUNCTION("""COMPUTED_VALUE"""),197.85)</f>
        <v>197.85</v>
      </c>
      <c r="E2037" s="1">
        <f ca="1">IFERROR(__xludf.DUMMYFUNCTION("""COMPUTED_VALUE"""),205.66)</f>
        <v>205.66</v>
      </c>
      <c r="F2037" s="1">
        <f ca="1">IFERROR(__xludf.DUMMYFUNCTION("""COMPUTED_VALUE"""),121661656)</f>
        <v>121661656</v>
      </c>
    </row>
    <row r="2038" spans="1:6" x14ac:dyDescent="0.2">
      <c r="A2038" s="2">
        <f ca="1">IFERROR(__xludf.DUMMYFUNCTION("""COMPUTED_VALUE"""),45232.6666666666)</f>
        <v>45232.666666666599</v>
      </c>
      <c r="B2038" s="1">
        <f ca="1">IFERROR(__xludf.DUMMYFUNCTION("""COMPUTED_VALUE"""),212.97)</f>
        <v>212.97</v>
      </c>
      <c r="C2038" s="1">
        <f ca="1">IFERROR(__xludf.DUMMYFUNCTION("""COMPUTED_VALUE"""),219.2)</f>
        <v>219.2</v>
      </c>
      <c r="D2038" s="1">
        <f ca="1">IFERROR(__xludf.DUMMYFUNCTION("""COMPUTED_VALUE"""),211.45)</f>
        <v>211.45</v>
      </c>
      <c r="E2038" s="1">
        <f ca="1">IFERROR(__xludf.DUMMYFUNCTION("""COMPUTED_VALUE"""),218.51)</f>
        <v>218.51</v>
      </c>
      <c r="F2038" s="1">
        <f ca="1">IFERROR(__xludf.DUMMYFUNCTION("""COMPUTED_VALUE"""),125987621)</f>
        <v>125987621</v>
      </c>
    </row>
    <row r="2039" spans="1:6" x14ac:dyDescent="0.2">
      <c r="A2039" s="2">
        <f ca="1">IFERROR(__xludf.DUMMYFUNCTION("""COMPUTED_VALUE"""),45233.6666666666)</f>
        <v>45233.666666666599</v>
      </c>
      <c r="B2039" s="1">
        <f ca="1">IFERROR(__xludf.DUMMYFUNCTION("""COMPUTED_VALUE"""),221.15)</f>
        <v>221.15</v>
      </c>
      <c r="C2039" s="1">
        <f ca="1">IFERROR(__xludf.DUMMYFUNCTION("""COMPUTED_VALUE"""),226.37)</f>
        <v>226.37</v>
      </c>
      <c r="D2039" s="1">
        <f ca="1">IFERROR(__xludf.DUMMYFUNCTION("""COMPUTED_VALUE"""),218.4)</f>
        <v>218.4</v>
      </c>
      <c r="E2039" s="1">
        <f ca="1">IFERROR(__xludf.DUMMYFUNCTION("""COMPUTED_VALUE"""),219.96)</f>
        <v>219.96</v>
      </c>
      <c r="F2039" s="1">
        <f ca="1">IFERROR(__xludf.DUMMYFUNCTION("""COMPUTED_VALUE"""),119534790)</f>
        <v>119534790</v>
      </c>
    </row>
    <row r="2040" spans="1:6" x14ac:dyDescent="0.2">
      <c r="A2040" s="2">
        <f ca="1">IFERROR(__xludf.DUMMYFUNCTION("""COMPUTED_VALUE"""),45236.6666666666)</f>
        <v>45236.666666666599</v>
      </c>
      <c r="B2040" s="1">
        <f ca="1">IFERROR(__xludf.DUMMYFUNCTION("""COMPUTED_VALUE"""),223.98)</f>
        <v>223.98</v>
      </c>
      <c r="C2040" s="1">
        <f ca="1">IFERROR(__xludf.DUMMYFUNCTION("""COMPUTED_VALUE"""),226.32)</f>
        <v>226.32</v>
      </c>
      <c r="D2040" s="1">
        <f ca="1">IFERROR(__xludf.DUMMYFUNCTION("""COMPUTED_VALUE"""),215)</f>
        <v>215</v>
      </c>
      <c r="E2040" s="1">
        <f ca="1">IFERROR(__xludf.DUMMYFUNCTION("""COMPUTED_VALUE"""),219.27)</f>
        <v>219.27</v>
      </c>
      <c r="F2040" s="1">
        <f ca="1">IFERROR(__xludf.DUMMYFUNCTION("""COMPUTED_VALUE"""),117335820)</f>
        <v>117335820</v>
      </c>
    </row>
    <row r="2041" spans="1:6" x14ac:dyDescent="0.2">
      <c r="A2041" s="2">
        <f ca="1">IFERROR(__xludf.DUMMYFUNCTION("""COMPUTED_VALUE"""),45237.6666666666)</f>
        <v>45237.666666666599</v>
      </c>
      <c r="B2041" s="1">
        <f ca="1">IFERROR(__xludf.DUMMYFUNCTION("""COMPUTED_VALUE"""),219.98)</f>
        <v>219.98</v>
      </c>
      <c r="C2041" s="1">
        <f ca="1">IFERROR(__xludf.DUMMYFUNCTION("""COMPUTED_VALUE"""),223.12)</f>
        <v>223.12</v>
      </c>
      <c r="D2041" s="1">
        <f ca="1">IFERROR(__xludf.DUMMYFUNCTION("""COMPUTED_VALUE"""),215.72)</f>
        <v>215.72</v>
      </c>
      <c r="E2041" s="1">
        <f ca="1">IFERROR(__xludf.DUMMYFUNCTION("""COMPUTED_VALUE"""),222.18)</f>
        <v>222.18</v>
      </c>
      <c r="F2041" s="1">
        <f ca="1">IFERROR(__xludf.DUMMYFUNCTION("""COMPUTED_VALUE"""),116900130)</f>
        <v>116900130</v>
      </c>
    </row>
    <row r="2042" spans="1:6" x14ac:dyDescent="0.2">
      <c r="A2042" s="2">
        <f ca="1">IFERROR(__xludf.DUMMYFUNCTION("""COMPUTED_VALUE"""),45238.6666666666)</f>
        <v>45238.666666666599</v>
      </c>
      <c r="B2042" s="1">
        <f ca="1">IFERROR(__xludf.DUMMYFUNCTION("""COMPUTED_VALUE"""),223.15)</f>
        <v>223.15</v>
      </c>
      <c r="C2042" s="1">
        <f ca="1">IFERROR(__xludf.DUMMYFUNCTION("""COMPUTED_VALUE"""),224.15)</f>
        <v>224.15</v>
      </c>
      <c r="D2042" s="1">
        <f ca="1">IFERROR(__xludf.DUMMYFUNCTION("""COMPUTED_VALUE"""),217.64)</f>
        <v>217.64</v>
      </c>
      <c r="E2042" s="1">
        <f ca="1">IFERROR(__xludf.DUMMYFUNCTION("""COMPUTED_VALUE"""),222.11)</f>
        <v>222.11</v>
      </c>
      <c r="F2042" s="1">
        <f ca="1">IFERROR(__xludf.DUMMYFUNCTION("""COMPUTED_VALUE"""),106584841)</f>
        <v>106584841</v>
      </c>
    </row>
    <row r="2043" spans="1:6" x14ac:dyDescent="0.2">
      <c r="A2043" s="2">
        <f ca="1">IFERROR(__xludf.DUMMYFUNCTION("""COMPUTED_VALUE"""),45239.6666666666)</f>
        <v>45239.666666666599</v>
      </c>
      <c r="B2043" s="1">
        <f ca="1">IFERROR(__xludf.DUMMYFUNCTION("""COMPUTED_VALUE"""),219.75)</f>
        <v>219.75</v>
      </c>
      <c r="C2043" s="1">
        <f ca="1">IFERROR(__xludf.DUMMYFUNCTION("""COMPUTED_VALUE"""),220.8)</f>
        <v>220.8</v>
      </c>
      <c r="D2043" s="1">
        <f ca="1">IFERROR(__xludf.DUMMYFUNCTION("""COMPUTED_VALUE"""),206.68)</f>
        <v>206.68</v>
      </c>
      <c r="E2043" s="1">
        <f ca="1">IFERROR(__xludf.DUMMYFUNCTION("""COMPUTED_VALUE"""),209.98)</f>
        <v>209.98</v>
      </c>
      <c r="F2043" s="1">
        <f ca="1">IFERROR(__xludf.DUMMYFUNCTION("""COMPUTED_VALUE"""),142110454)</f>
        <v>142110454</v>
      </c>
    </row>
    <row r="2044" spans="1:6" x14ac:dyDescent="0.2">
      <c r="A2044" s="2">
        <f ca="1">IFERROR(__xludf.DUMMYFUNCTION("""COMPUTED_VALUE"""),45240.6666666666)</f>
        <v>45240.666666666599</v>
      </c>
      <c r="B2044" s="1">
        <f ca="1">IFERROR(__xludf.DUMMYFUNCTION("""COMPUTED_VALUE"""),210.03)</f>
        <v>210.03</v>
      </c>
      <c r="C2044" s="1">
        <f ca="1">IFERROR(__xludf.DUMMYFUNCTION("""COMPUTED_VALUE"""),215.38)</f>
        <v>215.38</v>
      </c>
      <c r="D2044" s="1">
        <f ca="1">IFERROR(__xludf.DUMMYFUNCTION("""COMPUTED_VALUE"""),205.69)</f>
        <v>205.69</v>
      </c>
      <c r="E2044" s="1">
        <f ca="1">IFERROR(__xludf.DUMMYFUNCTION("""COMPUTED_VALUE"""),214.65)</f>
        <v>214.65</v>
      </c>
      <c r="F2044" s="1">
        <f ca="1">IFERROR(__xludf.DUMMYFUNCTION("""COMPUTED_VALUE"""),131310128)</f>
        <v>131310128</v>
      </c>
    </row>
    <row r="2045" spans="1:6" x14ac:dyDescent="0.2">
      <c r="A2045" s="2">
        <f ca="1">IFERROR(__xludf.DUMMYFUNCTION("""COMPUTED_VALUE"""),45243.6666666666)</f>
        <v>45243.666666666599</v>
      </c>
      <c r="B2045" s="1">
        <f ca="1">IFERROR(__xludf.DUMMYFUNCTION("""COMPUTED_VALUE"""),215.6)</f>
        <v>215.6</v>
      </c>
      <c r="C2045" s="1">
        <f ca="1">IFERROR(__xludf.DUMMYFUNCTION("""COMPUTED_VALUE"""),225.4)</f>
        <v>225.4</v>
      </c>
      <c r="D2045" s="1">
        <f ca="1">IFERROR(__xludf.DUMMYFUNCTION("""COMPUTED_VALUE"""),211.61)</f>
        <v>211.61</v>
      </c>
      <c r="E2045" s="1">
        <f ca="1">IFERROR(__xludf.DUMMYFUNCTION("""COMPUTED_VALUE"""),223.71)</f>
        <v>223.71</v>
      </c>
      <c r="F2045" s="1">
        <f ca="1">IFERROR(__xludf.DUMMYFUNCTION("""COMPUTED_VALUE"""),140447569)</f>
        <v>140447569</v>
      </c>
    </row>
    <row r="2046" spans="1:6" x14ac:dyDescent="0.2">
      <c r="A2046" s="2">
        <f ca="1">IFERROR(__xludf.DUMMYFUNCTION("""COMPUTED_VALUE"""),45244.6666666666)</f>
        <v>45244.666666666599</v>
      </c>
      <c r="B2046" s="1">
        <f ca="1">IFERROR(__xludf.DUMMYFUNCTION("""COMPUTED_VALUE"""),235.03)</f>
        <v>235.03</v>
      </c>
      <c r="C2046" s="1">
        <f ca="1">IFERROR(__xludf.DUMMYFUNCTION("""COMPUTED_VALUE"""),238.14)</f>
        <v>238.14</v>
      </c>
      <c r="D2046" s="1">
        <f ca="1">IFERROR(__xludf.DUMMYFUNCTION("""COMPUTED_VALUE"""),230.72)</f>
        <v>230.72</v>
      </c>
      <c r="E2046" s="1">
        <f ca="1">IFERROR(__xludf.DUMMYFUNCTION("""COMPUTED_VALUE"""),237.41)</f>
        <v>237.41</v>
      </c>
      <c r="F2046" s="1">
        <f ca="1">IFERROR(__xludf.DUMMYFUNCTION("""COMPUTED_VALUE"""),149771642)</f>
        <v>149771642</v>
      </c>
    </row>
    <row r="2047" spans="1:6" x14ac:dyDescent="0.2">
      <c r="A2047" s="2">
        <f ca="1">IFERROR(__xludf.DUMMYFUNCTION("""COMPUTED_VALUE"""),45245.6666666666)</f>
        <v>45245.666666666599</v>
      </c>
      <c r="B2047" s="1">
        <f ca="1">IFERROR(__xludf.DUMMYFUNCTION("""COMPUTED_VALUE"""),239.29)</f>
        <v>239.29</v>
      </c>
      <c r="C2047" s="1">
        <f ca="1">IFERROR(__xludf.DUMMYFUNCTION("""COMPUTED_VALUE"""),246.7)</f>
        <v>246.7</v>
      </c>
      <c r="D2047" s="1">
        <f ca="1">IFERROR(__xludf.DUMMYFUNCTION("""COMPUTED_VALUE"""),236.45)</f>
        <v>236.45</v>
      </c>
      <c r="E2047" s="1">
        <f ca="1">IFERROR(__xludf.DUMMYFUNCTION("""COMPUTED_VALUE"""),242.84)</f>
        <v>242.84</v>
      </c>
      <c r="F2047" s="1">
        <f ca="1">IFERROR(__xludf.DUMMYFUNCTION("""COMPUTED_VALUE"""),150353975)</f>
        <v>150353975</v>
      </c>
    </row>
    <row r="2048" spans="1:6" x14ac:dyDescent="0.2">
      <c r="A2048" s="2">
        <f ca="1">IFERROR(__xludf.DUMMYFUNCTION("""COMPUTED_VALUE"""),45246.6666666666)</f>
        <v>45246.666666666599</v>
      </c>
      <c r="B2048" s="1">
        <f ca="1">IFERROR(__xludf.DUMMYFUNCTION("""COMPUTED_VALUE"""),239.49)</f>
        <v>239.49</v>
      </c>
      <c r="C2048" s="1">
        <f ca="1">IFERROR(__xludf.DUMMYFUNCTION("""COMPUTED_VALUE"""),240.88)</f>
        <v>240.88</v>
      </c>
      <c r="D2048" s="1">
        <f ca="1">IFERROR(__xludf.DUMMYFUNCTION("""COMPUTED_VALUE"""),230.96)</f>
        <v>230.96</v>
      </c>
      <c r="E2048" s="1">
        <f ca="1">IFERROR(__xludf.DUMMYFUNCTION("""COMPUTED_VALUE"""),233.59)</f>
        <v>233.59</v>
      </c>
      <c r="F2048" s="1">
        <f ca="1">IFERROR(__xludf.DUMMYFUNCTION("""COMPUTED_VALUE"""),136816819)</f>
        <v>136816819</v>
      </c>
    </row>
    <row r="2049" spans="1:6" x14ac:dyDescent="0.2">
      <c r="A2049" s="2">
        <f ca="1">IFERROR(__xludf.DUMMYFUNCTION("""COMPUTED_VALUE"""),45247.6666666666)</f>
        <v>45247.666666666599</v>
      </c>
      <c r="B2049" s="1">
        <f ca="1">IFERROR(__xludf.DUMMYFUNCTION("""COMPUTED_VALUE"""),232)</f>
        <v>232</v>
      </c>
      <c r="C2049" s="1">
        <f ca="1">IFERROR(__xludf.DUMMYFUNCTION("""COMPUTED_VALUE"""),237.39)</f>
        <v>237.39</v>
      </c>
      <c r="D2049" s="1">
        <f ca="1">IFERROR(__xludf.DUMMYFUNCTION("""COMPUTED_VALUE"""),226.54)</f>
        <v>226.54</v>
      </c>
      <c r="E2049" s="1">
        <f ca="1">IFERROR(__xludf.DUMMYFUNCTION("""COMPUTED_VALUE"""),234.3)</f>
        <v>234.3</v>
      </c>
      <c r="F2049" s="1">
        <f ca="1">IFERROR(__xludf.DUMMYFUNCTION("""COMPUTED_VALUE"""),142766234)</f>
        <v>142766234</v>
      </c>
    </row>
    <row r="2050" spans="1:6" x14ac:dyDescent="0.2">
      <c r="A2050" s="2">
        <f ca="1">IFERROR(__xludf.DUMMYFUNCTION("""COMPUTED_VALUE"""),45250.6666666666)</f>
        <v>45250.666666666599</v>
      </c>
      <c r="B2050" s="1">
        <f ca="1">IFERROR(__xludf.DUMMYFUNCTION("""COMPUTED_VALUE"""),234.04)</f>
        <v>234.04</v>
      </c>
      <c r="C2050" s="1">
        <f ca="1">IFERROR(__xludf.DUMMYFUNCTION("""COMPUTED_VALUE"""),237.1)</f>
        <v>237.1</v>
      </c>
      <c r="D2050" s="1">
        <f ca="1">IFERROR(__xludf.DUMMYFUNCTION("""COMPUTED_VALUE"""),231.02)</f>
        <v>231.02</v>
      </c>
      <c r="E2050" s="1">
        <f ca="1">IFERROR(__xludf.DUMMYFUNCTION("""COMPUTED_VALUE"""),235.6)</f>
        <v>235.6</v>
      </c>
      <c r="F2050" s="1">
        <f ca="1">IFERROR(__xludf.DUMMYFUNCTION("""COMPUTED_VALUE"""),116562402)</f>
        <v>116562402</v>
      </c>
    </row>
    <row r="2051" spans="1:6" x14ac:dyDescent="0.2">
      <c r="A2051" s="2">
        <f ca="1">IFERROR(__xludf.DUMMYFUNCTION("""COMPUTED_VALUE"""),45251.6666666666)</f>
        <v>45251.666666666599</v>
      </c>
      <c r="B2051" s="1">
        <f ca="1">IFERROR(__xludf.DUMMYFUNCTION("""COMPUTED_VALUE"""),235.04)</f>
        <v>235.04</v>
      </c>
      <c r="C2051" s="1">
        <f ca="1">IFERROR(__xludf.DUMMYFUNCTION("""COMPUTED_VALUE"""),243.62)</f>
        <v>243.62</v>
      </c>
      <c r="D2051" s="1">
        <f ca="1">IFERROR(__xludf.DUMMYFUNCTION("""COMPUTED_VALUE"""),233.34)</f>
        <v>233.34</v>
      </c>
      <c r="E2051" s="1">
        <f ca="1">IFERROR(__xludf.DUMMYFUNCTION("""COMPUTED_VALUE"""),241.2)</f>
        <v>241.2</v>
      </c>
      <c r="F2051" s="1">
        <f ca="1">IFERROR(__xludf.DUMMYFUNCTION("""COMPUTED_VALUE"""),122288000)</f>
        <v>122288000</v>
      </c>
    </row>
    <row r="2052" spans="1:6" x14ac:dyDescent="0.2">
      <c r="A2052" s="2">
        <f ca="1">IFERROR(__xludf.DUMMYFUNCTION("""COMPUTED_VALUE"""),45252.6666666666)</f>
        <v>45252.666666666599</v>
      </c>
      <c r="B2052" s="1">
        <f ca="1">IFERROR(__xludf.DUMMYFUNCTION("""COMPUTED_VALUE"""),242.04)</f>
        <v>242.04</v>
      </c>
      <c r="C2052" s="1">
        <f ca="1">IFERROR(__xludf.DUMMYFUNCTION("""COMPUTED_VALUE"""),244.01)</f>
        <v>244.01</v>
      </c>
      <c r="D2052" s="1">
        <f ca="1">IFERROR(__xludf.DUMMYFUNCTION("""COMPUTED_VALUE"""),231.4)</f>
        <v>231.4</v>
      </c>
      <c r="E2052" s="1">
        <f ca="1">IFERROR(__xludf.DUMMYFUNCTION("""COMPUTED_VALUE"""),234.21)</f>
        <v>234.21</v>
      </c>
      <c r="F2052" s="1">
        <f ca="1">IFERROR(__xludf.DUMMYFUNCTION("""COMPUTED_VALUE"""),118117078)</f>
        <v>118117078</v>
      </c>
    </row>
    <row r="2053" spans="1:6" x14ac:dyDescent="0.2">
      <c r="A2053" s="2">
        <f ca="1">IFERROR(__xludf.DUMMYFUNCTION("""COMPUTED_VALUE"""),45254.5451388888)</f>
        <v>45254.545138888803</v>
      </c>
      <c r="B2053" s="1">
        <f ca="1">IFERROR(__xludf.DUMMYFUNCTION("""COMPUTED_VALUE"""),233.75)</f>
        <v>233.75</v>
      </c>
      <c r="C2053" s="1">
        <f ca="1">IFERROR(__xludf.DUMMYFUNCTION("""COMPUTED_VALUE"""),238.75)</f>
        <v>238.75</v>
      </c>
      <c r="D2053" s="1">
        <f ca="1">IFERROR(__xludf.DUMMYFUNCTION("""COMPUTED_VALUE"""),232.33)</f>
        <v>232.33</v>
      </c>
      <c r="E2053" s="1">
        <f ca="1">IFERROR(__xludf.DUMMYFUNCTION("""COMPUTED_VALUE"""),235.45)</f>
        <v>235.45</v>
      </c>
      <c r="F2053" s="1">
        <f ca="1">IFERROR(__xludf.DUMMYFUNCTION("""COMPUTED_VALUE"""),65125203)</f>
        <v>65125203</v>
      </c>
    </row>
    <row r="2054" spans="1:6" x14ac:dyDescent="0.2">
      <c r="A2054" s="2">
        <f ca="1">IFERROR(__xludf.DUMMYFUNCTION("""COMPUTED_VALUE"""),45257.6666666666)</f>
        <v>45257.666666666599</v>
      </c>
      <c r="B2054" s="1">
        <f ca="1">IFERROR(__xludf.DUMMYFUNCTION("""COMPUTED_VALUE"""),236.89)</f>
        <v>236.89</v>
      </c>
      <c r="C2054" s="1">
        <f ca="1">IFERROR(__xludf.DUMMYFUNCTION("""COMPUTED_VALUE"""),238.33)</f>
        <v>238.33</v>
      </c>
      <c r="D2054" s="1">
        <f ca="1">IFERROR(__xludf.DUMMYFUNCTION("""COMPUTED_VALUE"""),232.1)</f>
        <v>232.1</v>
      </c>
      <c r="E2054" s="1">
        <f ca="1">IFERROR(__xludf.DUMMYFUNCTION("""COMPUTED_VALUE"""),236.08)</f>
        <v>236.08</v>
      </c>
      <c r="F2054" s="1">
        <f ca="1">IFERROR(__xludf.DUMMYFUNCTION("""COMPUTED_VALUE"""),112031763)</f>
        <v>112031763</v>
      </c>
    </row>
    <row r="2055" spans="1:6" x14ac:dyDescent="0.2">
      <c r="A2055" s="2">
        <f ca="1">IFERROR(__xludf.DUMMYFUNCTION("""COMPUTED_VALUE"""),45258.6666666666)</f>
        <v>45258.666666666599</v>
      </c>
      <c r="B2055" s="1">
        <f ca="1">IFERROR(__xludf.DUMMYFUNCTION("""COMPUTED_VALUE"""),236.68)</f>
        <v>236.68</v>
      </c>
      <c r="C2055" s="1">
        <f ca="1">IFERROR(__xludf.DUMMYFUNCTION("""COMPUTED_VALUE"""),247)</f>
        <v>247</v>
      </c>
      <c r="D2055" s="1">
        <f ca="1">IFERROR(__xludf.DUMMYFUNCTION("""COMPUTED_VALUE"""),234.01)</f>
        <v>234.01</v>
      </c>
      <c r="E2055" s="1">
        <f ca="1">IFERROR(__xludf.DUMMYFUNCTION("""COMPUTED_VALUE"""),246.72)</f>
        <v>246.72</v>
      </c>
      <c r="F2055" s="1">
        <f ca="1">IFERROR(__xludf.DUMMYFUNCTION("""COMPUTED_VALUE"""),148549913)</f>
        <v>148549913</v>
      </c>
    </row>
    <row r="2056" spans="1:6" x14ac:dyDescent="0.2">
      <c r="A2056" s="2">
        <f ca="1">IFERROR(__xludf.DUMMYFUNCTION("""COMPUTED_VALUE"""),45259.6666666666)</f>
        <v>45259.666666666599</v>
      </c>
      <c r="B2056" s="1">
        <f ca="1">IFERROR(__xludf.DUMMYFUNCTION("""COMPUTED_VALUE"""),249.21)</f>
        <v>249.21</v>
      </c>
      <c r="C2056" s="1">
        <f ca="1">IFERROR(__xludf.DUMMYFUNCTION("""COMPUTED_VALUE"""),252.75)</f>
        <v>252.75</v>
      </c>
      <c r="D2056" s="1">
        <f ca="1">IFERROR(__xludf.DUMMYFUNCTION("""COMPUTED_VALUE"""),242.76)</f>
        <v>242.76</v>
      </c>
      <c r="E2056" s="1">
        <f ca="1">IFERROR(__xludf.DUMMYFUNCTION("""COMPUTED_VALUE"""),244.14)</f>
        <v>244.14</v>
      </c>
      <c r="F2056" s="1">
        <f ca="1">IFERROR(__xludf.DUMMYFUNCTION("""COMPUTED_VALUE"""),135401335)</f>
        <v>135401335</v>
      </c>
    </row>
    <row r="2057" spans="1:6" x14ac:dyDescent="0.2">
      <c r="A2057" s="2">
        <f ca="1">IFERROR(__xludf.DUMMYFUNCTION("""COMPUTED_VALUE"""),45260.6666666666)</f>
        <v>45260.666666666599</v>
      </c>
      <c r="B2057" s="1">
        <f ca="1">IFERROR(__xludf.DUMMYFUNCTION("""COMPUTED_VALUE"""),245.14)</f>
        <v>245.14</v>
      </c>
      <c r="C2057" s="1">
        <f ca="1">IFERROR(__xludf.DUMMYFUNCTION("""COMPUTED_VALUE"""),245.22)</f>
        <v>245.22</v>
      </c>
      <c r="D2057" s="1">
        <f ca="1">IFERROR(__xludf.DUMMYFUNCTION("""COMPUTED_VALUE"""),236.91)</f>
        <v>236.91</v>
      </c>
      <c r="E2057" s="1">
        <f ca="1">IFERROR(__xludf.DUMMYFUNCTION("""COMPUTED_VALUE"""),240.08)</f>
        <v>240.08</v>
      </c>
      <c r="F2057" s="1">
        <f ca="1">IFERROR(__xludf.DUMMYFUNCTION("""COMPUTED_VALUE"""),132353196)</f>
        <v>132353196</v>
      </c>
    </row>
    <row r="2058" spans="1:6" x14ac:dyDescent="0.2">
      <c r="A2058" s="2">
        <f ca="1">IFERROR(__xludf.DUMMYFUNCTION("""COMPUTED_VALUE"""),45261.6666666666)</f>
        <v>45261.666666666599</v>
      </c>
      <c r="B2058" s="1">
        <f ca="1">IFERROR(__xludf.DUMMYFUNCTION("""COMPUTED_VALUE"""),233.14)</f>
        <v>233.14</v>
      </c>
      <c r="C2058" s="1">
        <f ca="1">IFERROR(__xludf.DUMMYFUNCTION("""COMPUTED_VALUE"""),240.19)</f>
        <v>240.19</v>
      </c>
      <c r="D2058" s="1">
        <f ca="1">IFERROR(__xludf.DUMMYFUNCTION("""COMPUTED_VALUE"""),231.9)</f>
        <v>231.9</v>
      </c>
      <c r="E2058" s="1">
        <f ca="1">IFERROR(__xludf.DUMMYFUNCTION("""COMPUTED_VALUE"""),238.83)</f>
        <v>238.83</v>
      </c>
      <c r="F2058" s="1">
        <f ca="1">IFERROR(__xludf.DUMMYFUNCTION("""COMPUTED_VALUE"""),121331709)</f>
        <v>121331709</v>
      </c>
    </row>
    <row r="2059" spans="1:6" x14ac:dyDescent="0.2">
      <c r="A2059" s="2">
        <f ca="1">IFERROR(__xludf.DUMMYFUNCTION("""COMPUTED_VALUE"""),45264.6666666666)</f>
        <v>45264.666666666599</v>
      </c>
      <c r="B2059" s="1">
        <f ca="1">IFERROR(__xludf.DUMMYFUNCTION("""COMPUTED_VALUE"""),235.75)</f>
        <v>235.75</v>
      </c>
      <c r="C2059" s="1">
        <f ca="1">IFERROR(__xludf.DUMMYFUNCTION("""COMPUTED_VALUE"""),239.37)</f>
        <v>239.37</v>
      </c>
      <c r="D2059" s="1">
        <f ca="1">IFERROR(__xludf.DUMMYFUNCTION("""COMPUTED_VALUE"""),233.29)</f>
        <v>233.29</v>
      </c>
      <c r="E2059" s="1">
        <f ca="1">IFERROR(__xludf.DUMMYFUNCTION("""COMPUTED_VALUE"""),235.58)</f>
        <v>235.58</v>
      </c>
      <c r="F2059" s="1">
        <f ca="1">IFERROR(__xludf.DUMMYFUNCTION("""COMPUTED_VALUE"""),104099817)</f>
        <v>104099817</v>
      </c>
    </row>
    <row r="2060" spans="1:6" x14ac:dyDescent="0.2">
      <c r="A2060" s="2">
        <f ca="1">IFERROR(__xludf.DUMMYFUNCTION("""COMPUTED_VALUE"""),45265.6666666666)</f>
        <v>45265.666666666599</v>
      </c>
      <c r="B2060" s="1">
        <f ca="1">IFERROR(__xludf.DUMMYFUNCTION("""COMPUTED_VALUE"""),233.87)</f>
        <v>233.87</v>
      </c>
      <c r="C2060" s="1">
        <f ca="1">IFERROR(__xludf.DUMMYFUNCTION("""COMPUTED_VALUE"""),246.66)</f>
        <v>246.66</v>
      </c>
      <c r="D2060" s="1">
        <f ca="1">IFERROR(__xludf.DUMMYFUNCTION("""COMPUTED_VALUE"""),233.7)</f>
        <v>233.7</v>
      </c>
      <c r="E2060" s="1">
        <f ca="1">IFERROR(__xludf.DUMMYFUNCTION("""COMPUTED_VALUE"""),238.72)</f>
        <v>238.72</v>
      </c>
      <c r="F2060" s="1">
        <f ca="1">IFERROR(__xludf.DUMMYFUNCTION("""COMPUTED_VALUE"""),137971115)</f>
        <v>137971115</v>
      </c>
    </row>
    <row r="2061" spans="1:6" x14ac:dyDescent="0.2">
      <c r="A2061" s="2">
        <f ca="1">IFERROR(__xludf.DUMMYFUNCTION("""COMPUTED_VALUE"""),45266.6666666666)</f>
        <v>45266.666666666599</v>
      </c>
      <c r="B2061" s="1">
        <f ca="1">IFERROR(__xludf.DUMMYFUNCTION("""COMPUTED_VALUE"""),242.92)</f>
        <v>242.92</v>
      </c>
      <c r="C2061" s="1">
        <f ca="1">IFERROR(__xludf.DUMMYFUNCTION("""COMPUTED_VALUE"""),246.57)</f>
        <v>246.57</v>
      </c>
      <c r="D2061" s="1">
        <f ca="1">IFERROR(__xludf.DUMMYFUNCTION("""COMPUTED_VALUE"""),239.17)</f>
        <v>239.17</v>
      </c>
      <c r="E2061" s="1">
        <f ca="1">IFERROR(__xludf.DUMMYFUNCTION("""COMPUTED_VALUE"""),239.37)</f>
        <v>239.37</v>
      </c>
      <c r="F2061" s="1">
        <f ca="1">IFERROR(__xludf.DUMMYFUNCTION("""COMPUTED_VALUE"""),126436179)</f>
        <v>126436179</v>
      </c>
    </row>
    <row r="2062" spans="1:6" x14ac:dyDescent="0.2">
      <c r="A2062" s="2">
        <f ca="1">IFERROR(__xludf.DUMMYFUNCTION("""COMPUTED_VALUE"""),45267.6666666666)</f>
        <v>45267.666666666599</v>
      </c>
      <c r="B2062" s="1">
        <f ca="1">IFERROR(__xludf.DUMMYFUNCTION("""COMPUTED_VALUE"""),241.55)</f>
        <v>241.55</v>
      </c>
      <c r="C2062" s="1">
        <f ca="1">IFERROR(__xludf.DUMMYFUNCTION("""COMPUTED_VALUE"""),244.08)</f>
        <v>244.08</v>
      </c>
      <c r="D2062" s="1">
        <f ca="1">IFERROR(__xludf.DUMMYFUNCTION("""COMPUTED_VALUE"""),236.98)</f>
        <v>236.98</v>
      </c>
      <c r="E2062" s="1">
        <f ca="1">IFERROR(__xludf.DUMMYFUNCTION("""COMPUTED_VALUE"""),242.64)</f>
        <v>242.64</v>
      </c>
      <c r="F2062" s="1">
        <f ca="1">IFERROR(__xludf.DUMMYFUNCTION("""COMPUTED_VALUE"""),107142262)</f>
        <v>107142262</v>
      </c>
    </row>
    <row r="2063" spans="1:6" x14ac:dyDescent="0.2">
      <c r="A2063" s="2">
        <f ca="1">IFERROR(__xludf.DUMMYFUNCTION("""COMPUTED_VALUE"""),45268.6666666666)</f>
        <v>45268.666666666599</v>
      </c>
      <c r="B2063" s="1">
        <f ca="1">IFERROR(__xludf.DUMMYFUNCTION("""COMPUTED_VALUE"""),240.27)</f>
        <v>240.27</v>
      </c>
      <c r="C2063" s="1">
        <f ca="1">IFERROR(__xludf.DUMMYFUNCTION("""COMPUTED_VALUE"""),245.27)</f>
        <v>245.27</v>
      </c>
      <c r="D2063" s="1">
        <f ca="1">IFERROR(__xludf.DUMMYFUNCTION("""COMPUTED_VALUE"""),239.27)</f>
        <v>239.27</v>
      </c>
      <c r="E2063" s="1">
        <f ca="1">IFERROR(__xludf.DUMMYFUNCTION("""COMPUTED_VALUE"""),243.84)</f>
        <v>243.84</v>
      </c>
      <c r="F2063" s="1">
        <f ca="1">IFERROR(__xludf.DUMMYFUNCTION("""COMPUTED_VALUE"""),103126829)</f>
        <v>103126829</v>
      </c>
    </row>
    <row r="2064" spans="1:6" x14ac:dyDescent="0.2">
      <c r="A2064" s="2">
        <f ca="1">IFERROR(__xludf.DUMMYFUNCTION("""COMPUTED_VALUE"""),45271.6666666666)</f>
        <v>45271.666666666599</v>
      </c>
      <c r="B2064" s="1">
        <f ca="1">IFERROR(__xludf.DUMMYFUNCTION("""COMPUTED_VALUE"""),242.74)</f>
        <v>242.74</v>
      </c>
      <c r="C2064" s="1">
        <f ca="1">IFERROR(__xludf.DUMMYFUNCTION("""COMPUTED_VALUE"""),243.44)</f>
        <v>243.44</v>
      </c>
      <c r="D2064" s="1">
        <f ca="1">IFERROR(__xludf.DUMMYFUNCTION("""COMPUTED_VALUE"""),237.45)</f>
        <v>237.45</v>
      </c>
      <c r="E2064" s="1">
        <f ca="1">IFERROR(__xludf.DUMMYFUNCTION("""COMPUTED_VALUE"""),239.74)</f>
        <v>239.74</v>
      </c>
      <c r="F2064" s="1">
        <f ca="1">IFERROR(__xludf.DUMMYFUNCTION("""COMPUTED_VALUE"""),97913888)</f>
        <v>97913888</v>
      </c>
    </row>
    <row r="2065" spans="1:6" x14ac:dyDescent="0.2">
      <c r="A2065" s="2">
        <f ca="1">IFERROR(__xludf.DUMMYFUNCTION("""COMPUTED_VALUE"""),45272.6666666666)</f>
        <v>45272.666666666599</v>
      </c>
      <c r="B2065" s="1">
        <f ca="1">IFERROR(__xludf.DUMMYFUNCTION("""COMPUTED_VALUE"""),238.55)</f>
        <v>238.55</v>
      </c>
      <c r="C2065" s="1">
        <f ca="1">IFERROR(__xludf.DUMMYFUNCTION("""COMPUTED_VALUE"""),238.99)</f>
        <v>238.99</v>
      </c>
      <c r="D2065" s="1">
        <f ca="1">IFERROR(__xludf.DUMMYFUNCTION("""COMPUTED_VALUE"""),233.87)</f>
        <v>233.87</v>
      </c>
      <c r="E2065" s="1">
        <f ca="1">IFERROR(__xludf.DUMMYFUNCTION("""COMPUTED_VALUE"""),237.01)</f>
        <v>237.01</v>
      </c>
      <c r="F2065" s="1">
        <f ca="1">IFERROR(__xludf.DUMMYFUNCTION("""COMPUTED_VALUE"""),95328313)</f>
        <v>95328313</v>
      </c>
    </row>
    <row r="2066" spans="1:6" x14ac:dyDescent="0.2">
      <c r="A2066" s="2">
        <f ca="1">IFERROR(__xludf.DUMMYFUNCTION("""COMPUTED_VALUE"""),45273.6666666666)</f>
        <v>45273.666666666599</v>
      </c>
      <c r="B2066" s="1">
        <f ca="1">IFERROR(__xludf.DUMMYFUNCTION("""COMPUTED_VALUE"""),234.19)</f>
        <v>234.19</v>
      </c>
      <c r="C2066" s="1">
        <f ca="1">IFERROR(__xludf.DUMMYFUNCTION("""COMPUTED_VALUE"""),240.3)</f>
        <v>240.3</v>
      </c>
      <c r="D2066" s="1">
        <f ca="1">IFERROR(__xludf.DUMMYFUNCTION("""COMPUTED_VALUE"""),228.2)</f>
        <v>228.2</v>
      </c>
      <c r="E2066" s="1">
        <f ca="1">IFERROR(__xludf.DUMMYFUNCTION("""COMPUTED_VALUE"""),239.29)</f>
        <v>239.29</v>
      </c>
      <c r="F2066" s="1">
        <f ca="1">IFERROR(__xludf.DUMMYFUNCTION("""COMPUTED_VALUE"""),146286348)</f>
        <v>146286348</v>
      </c>
    </row>
    <row r="2067" spans="1:6" x14ac:dyDescent="0.2">
      <c r="A2067" s="2">
        <f ca="1">IFERROR(__xludf.DUMMYFUNCTION("""COMPUTED_VALUE"""),45274.6666666666)</f>
        <v>45274.666666666599</v>
      </c>
      <c r="B2067" s="1">
        <f ca="1">IFERROR(__xludf.DUMMYFUNCTION("""COMPUTED_VALUE"""),241.22)</f>
        <v>241.22</v>
      </c>
      <c r="C2067" s="1">
        <f ca="1">IFERROR(__xludf.DUMMYFUNCTION("""COMPUTED_VALUE"""),253.88)</f>
        <v>253.88</v>
      </c>
      <c r="D2067" s="1">
        <f ca="1">IFERROR(__xludf.DUMMYFUNCTION("""COMPUTED_VALUE"""),240.79)</f>
        <v>240.79</v>
      </c>
      <c r="E2067" s="1">
        <f ca="1">IFERROR(__xludf.DUMMYFUNCTION("""COMPUTED_VALUE"""),251.05)</f>
        <v>251.05</v>
      </c>
      <c r="F2067" s="1">
        <f ca="1">IFERROR(__xludf.DUMMYFUNCTION("""COMPUTED_VALUE"""),160829239)</f>
        <v>160829239</v>
      </c>
    </row>
    <row r="2068" spans="1:6" x14ac:dyDescent="0.2">
      <c r="A2068" s="2">
        <f ca="1">IFERROR(__xludf.DUMMYFUNCTION("""COMPUTED_VALUE"""),45275.6666666666)</f>
        <v>45275.666666666599</v>
      </c>
      <c r="B2068" s="1">
        <f ca="1">IFERROR(__xludf.DUMMYFUNCTION("""COMPUTED_VALUE"""),251.21)</f>
        <v>251.21</v>
      </c>
      <c r="C2068" s="1">
        <f ca="1">IFERROR(__xludf.DUMMYFUNCTION("""COMPUTED_VALUE"""),254.13)</f>
        <v>254.13</v>
      </c>
      <c r="D2068" s="1">
        <f ca="1">IFERROR(__xludf.DUMMYFUNCTION("""COMPUTED_VALUE"""),248.3)</f>
        <v>248.3</v>
      </c>
      <c r="E2068" s="1">
        <f ca="1">IFERROR(__xludf.DUMMYFUNCTION("""COMPUTED_VALUE"""),253.5)</f>
        <v>253.5</v>
      </c>
      <c r="F2068" s="1">
        <f ca="1">IFERROR(__xludf.DUMMYFUNCTION("""COMPUTED_VALUE"""),135932762)</f>
        <v>135932762</v>
      </c>
    </row>
    <row r="2069" spans="1:6" x14ac:dyDescent="0.2">
      <c r="A2069" s="2">
        <f ca="1">IFERROR(__xludf.DUMMYFUNCTION("""COMPUTED_VALUE"""),45278.6666666666)</f>
        <v>45278.666666666599</v>
      </c>
      <c r="B2069" s="1">
        <f ca="1">IFERROR(__xludf.DUMMYFUNCTION("""COMPUTED_VALUE"""),253.78)</f>
        <v>253.78</v>
      </c>
      <c r="C2069" s="1">
        <f ca="1">IFERROR(__xludf.DUMMYFUNCTION("""COMPUTED_VALUE"""),258.74)</f>
        <v>258.74</v>
      </c>
      <c r="D2069" s="1">
        <f ca="1">IFERROR(__xludf.DUMMYFUNCTION("""COMPUTED_VALUE"""),251.36)</f>
        <v>251.36</v>
      </c>
      <c r="E2069" s="1">
        <f ca="1">IFERROR(__xludf.DUMMYFUNCTION("""COMPUTED_VALUE"""),252.08)</f>
        <v>252.08</v>
      </c>
      <c r="F2069" s="1">
        <f ca="1">IFERROR(__xludf.DUMMYFUNCTION("""COMPUTED_VALUE"""),116416490)</f>
        <v>116416490</v>
      </c>
    </row>
    <row r="2070" spans="1:6" x14ac:dyDescent="0.2">
      <c r="A2070" s="2">
        <f ca="1">IFERROR(__xludf.DUMMYFUNCTION("""COMPUTED_VALUE"""),45279.6666666666)</f>
        <v>45279.666666666599</v>
      </c>
      <c r="B2070" s="1">
        <f ca="1">IFERROR(__xludf.DUMMYFUNCTION("""COMPUTED_VALUE"""),253.48)</f>
        <v>253.48</v>
      </c>
      <c r="C2070" s="1">
        <f ca="1">IFERROR(__xludf.DUMMYFUNCTION("""COMPUTED_VALUE"""),258.34)</f>
        <v>258.33999999999997</v>
      </c>
      <c r="D2070" s="1">
        <f ca="1">IFERROR(__xludf.DUMMYFUNCTION("""COMPUTED_VALUE"""),253.01)</f>
        <v>253.01</v>
      </c>
      <c r="E2070" s="1">
        <f ca="1">IFERROR(__xludf.DUMMYFUNCTION("""COMPUTED_VALUE"""),257.22)</f>
        <v>257.22000000000003</v>
      </c>
      <c r="F2070" s="1">
        <f ca="1">IFERROR(__xludf.DUMMYFUNCTION("""COMPUTED_VALUE"""),106737369)</f>
        <v>106737369</v>
      </c>
    </row>
    <row r="2071" spans="1:6" x14ac:dyDescent="0.2">
      <c r="A2071" s="2">
        <f ca="1">IFERROR(__xludf.DUMMYFUNCTION("""COMPUTED_VALUE"""),45280.6666666666)</f>
        <v>45280.666666666599</v>
      </c>
      <c r="B2071" s="1">
        <f ca="1">IFERROR(__xludf.DUMMYFUNCTION("""COMPUTED_VALUE"""),256.41)</f>
        <v>256.41000000000003</v>
      </c>
      <c r="C2071" s="1">
        <f ca="1">IFERROR(__xludf.DUMMYFUNCTION("""COMPUTED_VALUE"""),259.84)</f>
        <v>259.83999999999997</v>
      </c>
      <c r="D2071" s="1">
        <f ca="1">IFERROR(__xludf.DUMMYFUNCTION("""COMPUTED_VALUE"""),247)</f>
        <v>247</v>
      </c>
      <c r="E2071" s="1">
        <f ca="1">IFERROR(__xludf.DUMMYFUNCTION("""COMPUTED_VALUE"""),247.14)</f>
        <v>247.14</v>
      </c>
      <c r="F2071" s="1">
        <f ca="1">IFERROR(__xludf.DUMMYFUNCTION("""COMPUTED_VALUE"""),125096987)</f>
        <v>125096987</v>
      </c>
    </row>
    <row r="2072" spans="1:6" x14ac:dyDescent="0.2">
      <c r="A2072" s="2">
        <f ca="1">IFERROR(__xludf.DUMMYFUNCTION("""COMPUTED_VALUE"""),45281.6666666666)</f>
        <v>45281.666666666599</v>
      </c>
      <c r="B2072" s="1">
        <f ca="1">IFERROR(__xludf.DUMMYFUNCTION("""COMPUTED_VALUE"""),251.9)</f>
        <v>251.9</v>
      </c>
      <c r="C2072" s="1">
        <f ca="1">IFERROR(__xludf.DUMMYFUNCTION("""COMPUTED_VALUE"""),254.8)</f>
        <v>254.8</v>
      </c>
      <c r="D2072" s="1">
        <f ca="1">IFERROR(__xludf.DUMMYFUNCTION("""COMPUTED_VALUE"""),248.55)</f>
        <v>248.55</v>
      </c>
      <c r="E2072" s="1">
        <f ca="1">IFERROR(__xludf.DUMMYFUNCTION("""COMPUTED_VALUE"""),254.5)</f>
        <v>254.5</v>
      </c>
      <c r="F2072" s="1">
        <f ca="1">IFERROR(__xludf.DUMMYFUNCTION("""COMPUTED_VALUE"""),109594227)</f>
        <v>109594227</v>
      </c>
    </row>
    <row r="2073" spans="1:6" x14ac:dyDescent="0.2">
      <c r="A2073" s="2">
        <f ca="1">IFERROR(__xludf.DUMMYFUNCTION("""COMPUTED_VALUE"""),45282.6666666666)</f>
        <v>45282.666666666599</v>
      </c>
      <c r="B2073" s="1">
        <f ca="1">IFERROR(__xludf.DUMMYFUNCTION("""COMPUTED_VALUE"""),256.76)</f>
        <v>256.76</v>
      </c>
      <c r="C2073" s="1">
        <f ca="1">IFERROR(__xludf.DUMMYFUNCTION("""COMPUTED_VALUE"""),258.22)</f>
        <v>258.22000000000003</v>
      </c>
      <c r="D2073" s="1">
        <f ca="1">IFERROR(__xludf.DUMMYFUNCTION("""COMPUTED_VALUE"""),251.37)</f>
        <v>251.37</v>
      </c>
      <c r="E2073" s="1">
        <f ca="1">IFERROR(__xludf.DUMMYFUNCTION("""COMPUTED_VALUE"""),252.54)</f>
        <v>252.54</v>
      </c>
      <c r="F2073" s="1">
        <f ca="1">IFERROR(__xludf.DUMMYFUNCTION("""COMPUTED_VALUE"""),93370094)</f>
        <v>93370094</v>
      </c>
    </row>
    <row r="2074" spans="1:6" x14ac:dyDescent="0.2">
      <c r="A2074" s="2">
        <f ca="1">IFERROR(__xludf.DUMMYFUNCTION("""COMPUTED_VALUE"""),45286.6666666666)</f>
        <v>45286.666666666599</v>
      </c>
      <c r="B2074" s="1">
        <f ca="1">IFERROR(__xludf.DUMMYFUNCTION("""COMPUTED_VALUE"""),254.49)</f>
        <v>254.49</v>
      </c>
      <c r="C2074" s="1">
        <f ca="1">IFERROR(__xludf.DUMMYFUNCTION("""COMPUTED_VALUE"""),257.97)</f>
        <v>257.97000000000003</v>
      </c>
      <c r="D2074" s="1">
        <f ca="1">IFERROR(__xludf.DUMMYFUNCTION("""COMPUTED_VALUE"""),252.91)</f>
        <v>252.91</v>
      </c>
      <c r="E2074" s="1">
        <f ca="1">IFERROR(__xludf.DUMMYFUNCTION("""COMPUTED_VALUE"""),256.61)</f>
        <v>256.61</v>
      </c>
      <c r="F2074" s="1">
        <f ca="1">IFERROR(__xludf.DUMMYFUNCTION("""COMPUTED_VALUE"""),86892382)</f>
        <v>86892382</v>
      </c>
    </row>
    <row r="2075" spans="1:6" x14ac:dyDescent="0.2">
      <c r="A2075" s="2">
        <f ca="1">IFERROR(__xludf.DUMMYFUNCTION("""COMPUTED_VALUE"""),45287.6666666666)</f>
        <v>45287.666666666599</v>
      </c>
      <c r="B2075" s="1">
        <f ca="1">IFERROR(__xludf.DUMMYFUNCTION("""COMPUTED_VALUE"""),258.35)</f>
        <v>258.35000000000002</v>
      </c>
      <c r="C2075" s="1">
        <f ca="1">IFERROR(__xludf.DUMMYFUNCTION("""COMPUTED_VALUE"""),263.34)</f>
        <v>263.33999999999997</v>
      </c>
      <c r="D2075" s="1">
        <f ca="1">IFERROR(__xludf.DUMMYFUNCTION("""COMPUTED_VALUE"""),257.52)</f>
        <v>257.52</v>
      </c>
      <c r="E2075" s="1">
        <f ca="1">IFERROR(__xludf.DUMMYFUNCTION("""COMPUTED_VALUE"""),261.44)</f>
        <v>261.44</v>
      </c>
      <c r="F2075" s="1">
        <f ca="1">IFERROR(__xludf.DUMMYFUNCTION("""COMPUTED_VALUE"""),106494359)</f>
        <v>106494359</v>
      </c>
    </row>
    <row r="2076" spans="1:6" x14ac:dyDescent="0.2">
      <c r="A2076" s="2">
        <f ca="1">IFERROR(__xludf.DUMMYFUNCTION("""COMPUTED_VALUE"""),45288.6666666666)</f>
        <v>45288.666666666599</v>
      </c>
      <c r="B2076" s="1">
        <f ca="1">IFERROR(__xludf.DUMMYFUNCTION("""COMPUTED_VALUE"""),263.66)</f>
        <v>263.66000000000003</v>
      </c>
      <c r="C2076" s="1">
        <f ca="1">IFERROR(__xludf.DUMMYFUNCTION("""COMPUTED_VALUE"""),265.13)</f>
        <v>265.13</v>
      </c>
      <c r="D2076" s="1">
        <f ca="1">IFERROR(__xludf.DUMMYFUNCTION("""COMPUTED_VALUE"""),252.71)</f>
        <v>252.71</v>
      </c>
      <c r="E2076" s="1">
        <f ca="1">IFERROR(__xludf.DUMMYFUNCTION("""COMPUTED_VALUE"""),253.18)</f>
        <v>253.18</v>
      </c>
      <c r="F2076" s="1">
        <f ca="1">IFERROR(__xludf.DUMMYFUNCTION("""COMPUTED_VALUE"""),113619943)</f>
        <v>113619943</v>
      </c>
    </row>
    <row r="2077" spans="1:6" x14ac:dyDescent="0.2">
      <c r="A2077" s="2">
        <f ca="1">IFERROR(__xludf.DUMMYFUNCTION("""COMPUTED_VALUE"""),45289.6666666666)</f>
        <v>45289.666666666599</v>
      </c>
      <c r="B2077" s="1">
        <f ca="1">IFERROR(__xludf.DUMMYFUNCTION("""COMPUTED_VALUE"""),255.1)</f>
        <v>255.1</v>
      </c>
      <c r="C2077" s="1">
        <f ca="1">IFERROR(__xludf.DUMMYFUNCTION("""COMPUTED_VALUE"""),255.19)</f>
        <v>255.19</v>
      </c>
      <c r="D2077" s="1">
        <f ca="1">IFERROR(__xludf.DUMMYFUNCTION("""COMPUTED_VALUE"""),247.43)</f>
        <v>247.43</v>
      </c>
      <c r="E2077" s="1">
        <f ca="1">IFERROR(__xludf.DUMMYFUNCTION("""COMPUTED_VALUE"""),248.48)</f>
        <v>248.48</v>
      </c>
      <c r="F2077" s="1">
        <f ca="1">IFERROR(__xludf.DUMMYFUNCTION("""COMPUTED_VALUE"""),100891578)</f>
        <v>100891578</v>
      </c>
    </row>
    <row r="2078" spans="1:6" x14ac:dyDescent="0.2">
      <c r="A2078" s="2">
        <f ca="1">IFERROR(__xludf.DUMMYFUNCTION("""COMPUTED_VALUE"""),45293.6666666666)</f>
        <v>45293.666666666599</v>
      </c>
      <c r="B2078" s="1">
        <f ca="1">IFERROR(__xludf.DUMMYFUNCTION("""COMPUTED_VALUE"""),250.08)</f>
        <v>250.08</v>
      </c>
      <c r="C2078" s="1">
        <f ca="1">IFERROR(__xludf.DUMMYFUNCTION("""COMPUTED_VALUE"""),251.25)</f>
        <v>251.25</v>
      </c>
      <c r="D2078" s="1">
        <f ca="1">IFERROR(__xludf.DUMMYFUNCTION("""COMPUTED_VALUE"""),244.41)</f>
        <v>244.41</v>
      </c>
      <c r="E2078" s="1">
        <f ca="1">IFERROR(__xludf.DUMMYFUNCTION("""COMPUTED_VALUE"""),248.42)</f>
        <v>248.42</v>
      </c>
      <c r="F2078" s="1">
        <f ca="1">IFERROR(__xludf.DUMMYFUNCTION("""COMPUTED_VALUE"""),104654163)</f>
        <v>104654163</v>
      </c>
    </row>
    <row r="2079" spans="1:6" x14ac:dyDescent="0.2">
      <c r="A2079" s="2">
        <f ca="1">IFERROR(__xludf.DUMMYFUNCTION("""COMPUTED_VALUE"""),45294.6666666666)</f>
        <v>45294.666666666599</v>
      </c>
      <c r="B2079" s="1">
        <f ca="1">IFERROR(__xludf.DUMMYFUNCTION("""COMPUTED_VALUE"""),244.98)</f>
        <v>244.98</v>
      </c>
      <c r="C2079" s="1">
        <f ca="1">IFERROR(__xludf.DUMMYFUNCTION("""COMPUTED_VALUE"""),245.68)</f>
        <v>245.68</v>
      </c>
      <c r="D2079" s="1">
        <f ca="1">IFERROR(__xludf.DUMMYFUNCTION("""COMPUTED_VALUE"""),236.32)</f>
        <v>236.32</v>
      </c>
      <c r="E2079" s="1">
        <f ca="1">IFERROR(__xludf.DUMMYFUNCTION("""COMPUTED_VALUE"""),238.45)</f>
        <v>238.45</v>
      </c>
      <c r="F2079" s="1">
        <f ca="1">IFERROR(__xludf.DUMMYFUNCTION("""COMPUTED_VALUE"""),121082599)</f>
        <v>121082599</v>
      </c>
    </row>
    <row r="2080" spans="1:6" x14ac:dyDescent="0.2">
      <c r="A2080" s="2">
        <f ca="1">IFERROR(__xludf.DUMMYFUNCTION("""COMPUTED_VALUE"""),45295.6666666666)</f>
        <v>45295.666666666599</v>
      </c>
      <c r="B2080" s="1">
        <f ca="1">IFERROR(__xludf.DUMMYFUNCTION("""COMPUTED_VALUE"""),239.25)</f>
        <v>239.25</v>
      </c>
      <c r="C2080" s="1">
        <f ca="1">IFERROR(__xludf.DUMMYFUNCTION("""COMPUTED_VALUE"""),242.7)</f>
        <v>242.7</v>
      </c>
      <c r="D2080" s="1">
        <f ca="1">IFERROR(__xludf.DUMMYFUNCTION("""COMPUTED_VALUE"""),237.73)</f>
        <v>237.73</v>
      </c>
      <c r="E2080" s="1">
        <f ca="1">IFERROR(__xludf.DUMMYFUNCTION("""COMPUTED_VALUE"""),237.93)</f>
        <v>237.93</v>
      </c>
      <c r="F2080" s="1">
        <f ca="1">IFERROR(__xludf.DUMMYFUNCTION("""COMPUTED_VALUE"""),102629283)</f>
        <v>102629283</v>
      </c>
    </row>
    <row r="2081" spans="1:6" x14ac:dyDescent="0.2">
      <c r="A2081" s="2">
        <f ca="1">IFERROR(__xludf.DUMMYFUNCTION("""COMPUTED_VALUE"""),45296.6666666666)</f>
        <v>45296.666666666599</v>
      </c>
      <c r="B2081" s="1">
        <f ca="1">IFERROR(__xludf.DUMMYFUNCTION("""COMPUTED_VALUE"""),236.86)</f>
        <v>236.86</v>
      </c>
      <c r="C2081" s="1">
        <f ca="1">IFERROR(__xludf.DUMMYFUNCTION("""COMPUTED_VALUE"""),240.12)</f>
        <v>240.12</v>
      </c>
      <c r="D2081" s="1">
        <f ca="1">IFERROR(__xludf.DUMMYFUNCTION("""COMPUTED_VALUE"""),234.9)</f>
        <v>234.9</v>
      </c>
      <c r="E2081" s="1">
        <f ca="1">IFERROR(__xludf.DUMMYFUNCTION("""COMPUTED_VALUE"""),237.49)</f>
        <v>237.49</v>
      </c>
      <c r="F2081" s="1">
        <f ca="1">IFERROR(__xludf.DUMMYFUNCTION("""COMPUTED_VALUE"""),92488939)</f>
        <v>92488939</v>
      </c>
    </row>
    <row r="2082" spans="1:6" x14ac:dyDescent="0.2">
      <c r="A2082" s="2">
        <f ca="1">IFERROR(__xludf.DUMMYFUNCTION("""COMPUTED_VALUE"""),45299.6666666666)</f>
        <v>45299.666666666599</v>
      </c>
      <c r="B2082" s="1">
        <f ca="1">IFERROR(__xludf.DUMMYFUNCTION("""COMPUTED_VALUE"""),236.14)</f>
        <v>236.14</v>
      </c>
      <c r="C2082" s="1">
        <f ca="1">IFERROR(__xludf.DUMMYFUNCTION("""COMPUTED_VALUE"""),241.25)</f>
        <v>241.25</v>
      </c>
      <c r="D2082" s="1">
        <f ca="1">IFERROR(__xludf.DUMMYFUNCTION("""COMPUTED_VALUE"""),235.3)</f>
        <v>235.3</v>
      </c>
      <c r="E2082" s="1">
        <f ca="1">IFERROR(__xludf.DUMMYFUNCTION("""COMPUTED_VALUE"""),240.45)</f>
        <v>240.45</v>
      </c>
      <c r="F2082" s="1">
        <f ca="1">IFERROR(__xludf.DUMMYFUNCTION("""COMPUTED_VALUE"""),85166580)</f>
        <v>85166580</v>
      </c>
    </row>
    <row r="2083" spans="1:6" x14ac:dyDescent="0.2">
      <c r="A2083" s="2">
        <f ca="1">IFERROR(__xludf.DUMMYFUNCTION("""COMPUTED_VALUE"""),45300.6666666666)</f>
        <v>45300.666666666599</v>
      </c>
      <c r="B2083" s="1">
        <f ca="1">IFERROR(__xludf.DUMMYFUNCTION("""COMPUTED_VALUE"""),238.11)</f>
        <v>238.11</v>
      </c>
      <c r="C2083" s="1">
        <f ca="1">IFERROR(__xludf.DUMMYFUNCTION("""COMPUTED_VALUE"""),238.96)</f>
        <v>238.96</v>
      </c>
      <c r="D2083" s="1">
        <f ca="1">IFERROR(__xludf.DUMMYFUNCTION("""COMPUTED_VALUE"""),232.04)</f>
        <v>232.04</v>
      </c>
      <c r="E2083" s="1">
        <f ca="1">IFERROR(__xludf.DUMMYFUNCTION("""COMPUTED_VALUE"""),234.96)</f>
        <v>234.96</v>
      </c>
      <c r="F2083" s="1">
        <f ca="1">IFERROR(__xludf.DUMMYFUNCTION("""COMPUTED_VALUE"""),96705664)</f>
        <v>96705664</v>
      </c>
    </row>
    <row r="2084" spans="1:6" x14ac:dyDescent="0.2">
      <c r="A2084" s="2">
        <f ca="1">IFERROR(__xludf.DUMMYFUNCTION("""COMPUTED_VALUE"""),45301.6666666666)</f>
        <v>45301.666666666599</v>
      </c>
      <c r="B2084" s="1">
        <f ca="1">IFERROR(__xludf.DUMMYFUNCTION("""COMPUTED_VALUE"""),235.1)</f>
        <v>235.1</v>
      </c>
      <c r="C2084" s="1">
        <f ca="1">IFERROR(__xludf.DUMMYFUNCTION("""COMPUTED_VALUE"""),235.5)</f>
        <v>235.5</v>
      </c>
      <c r="D2084" s="1">
        <f ca="1">IFERROR(__xludf.DUMMYFUNCTION("""COMPUTED_VALUE"""),231.29)</f>
        <v>231.29</v>
      </c>
      <c r="E2084" s="1">
        <f ca="1">IFERROR(__xludf.DUMMYFUNCTION("""COMPUTED_VALUE"""),233.94)</f>
        <v>233.94</v>
      </c>
      <c r="F2084" s="1">
        <f ca="1">IFERROR(__xludf.DUMMYFUNCTION("""COMPUTED_VALUE"""),91628502)</f>
        <v>91628502</v>
      </c>
    </row>
    <row r="2085" spans="1:6" x14ac:dyDescent="0.2">
      <c r="A2085" s="2">
        <f ca="1">IFERROR(__xludf.DUMMYFUNCTION("""COMPUTED_VALUE"""),45302.6666666666)</f>
        <v>45302.666666666599</v>
      </c>
      <c r="B2085" s="1">
        <f ca="1">IFERROR(__xludf.DUMMYFUNCTION("""COMPUTED_VALUE"""),230.57)</f>
        <v>230.57</v>
      </c>
      <c r="C2085" s="1">
        <f ca="1">IFERROR(__xludf.DUMMYFUNCTION("""COMPUTED_VALUE"""),230.93)</f>
        <v>230.93</v>
      </c>
      <c r="D2085" s="1">
        <f ca="1">IFERROR(__xludf.DUMMYFUNCTION("""COMPUTED_VALUE"""),225.37)</f>
        <v>225.37</v>
      </c>
      <c r="E2085" s="1">
        <f ca="1">IFERROR(__xludf.DUMMYFUNCTION("""COMPUTED_VALUE"""),227.22)</f>
        <v>227.22</v>
      </c>
      <c r="F2085" s="1">
        <f ca="1">IFERROR(__xludf.DUMMYFUNCTION("""COMPUTED_VALUE"""),105873612)</f>
        <v>105873612</v>
      </c>
    </row>
    <row r="2086" spans="1:6" x14ac:dyDescent="0.2">
      <c r="A2086" s="2">
        <f ca="1">IFERROR(__xludf.DUMMYFUNCTION("""COMPUTED_VALUE"""),45303.6666666666)</f>
        <v>45303.666666666599</v>
      </c>
      <c r="B2086" s="1">
        <f ca="1">IFERROR(__xludf.DUMMYFUNCTION("""COMPUTED_VALUE"""),220.08)</f>
        <v>220.08</v>
      </c>
      <c r="C2086" s="1">
        <f ca="1">IFERROR(__xludf.DUMMYFUNCTION("""COMPUTED_VALUE"""),225.34)</f>
        <v>225.34</v>
      </c>
      <c r="D2086" s="1">
        <f ca="1">IFERROR(__xludf.DUMMYFUNCTION("""COMPUTED_VALUE"""),217.15)</f>
        <v>217.15</v>
      </c>
      <c r="E2086" s="1">
        <f ca="1">IFERROR(__xludf.DUMMYFUNCTION("""COMPUTED_VALUE"""),218.89)</f>
        <v>218.89</v>
      </c>
      <c r="F2086" s="1">
        <f ca="1">IFERROR(__xludf.DUMMYFUNCTION("""COMPUTED_VALUE"""),123043812)</f>
        <v>123043812</v>
      </c>
    </row>
    <row r="2087" spans="1:6" x14ac:dyDescent="0.2">
      <c r="A2087" s="2">
        <f ca="1">IFERROR(__xludf.DUMMYFUNCTION("""COMPUTED_VALUE"""),45307.6666666666)</f>
        <v>45307.666666666599</v>
      </c>
      <c r="B2087" s="1">
        <f ca="1">IFERROR(__xludf.DUMMYFUNCTION("""COMPUTED_VALUE"""),215.1)</f>
        <v>215.1</v>
      </c>
      <c r="C2087" s="1">
        <f ca="1">IFERROR(__xludf.DUMMYFUNCTION("""COMPUTED_VALUE"""),223.49)</f>
        <v>223.49</v>
      </c>
      <c r="D2087" s="1">
        <f ca="1">IFERROR(__xludf.DUMMYFUNCTION("""COMPUTED_VALUE"""),212.18)</f>
        <v>212.18</v>
      </c>
      <c r="E2087" s="1">
        <f ca="1">IFERROR(__xludf.DUMMYFUNCTION("""COMPUTED_VALUE"""),219.91)</f>
        <v>219.91</v>
      </c>
      <c r="F2087" s="1">
        <f ca="1">IFERROR(__xludf.DUMMYFUNCTION("""COMPUTED_VALUE"""),115355046)</f>
        <v>115355046</v>
      </c>
    </row>
    <row r="2088" spans="1:6" x14ac:dyDescent="0.2">
      <c r="A2088" s="2">
        <f ca="1">IFERROR(__xludf.DUMMYFUNCTION("""COMPUTED_VALUE"""),45308.6666666666)</f>
        <v>45308.666666666599</v>
      </c>
      <c r="B2088" s="1">
        <f ca="1">IFERROR(__xludf.DUMMYFUNCTION("""COMPUTED_VALUE"""),214.86)</f>
        <v>214.86</v>
      </c>
      <c r="C2088" s="1">
        <f ca="1">IFERROR(__xludf.DUMMYFUNCTION("""COMPUTED_VALUE"""),215.67)</f>
        <v>215.67</v>
      </c>
      <c r="D2088" s="1">
        <f ca="1">IFERROR(__xludf.DUMMYFUNCTION("""COMPUTED_VALUE"""),212.01)</f>
        <v>212.01</v>
      </c>
      <c r="E2088" s="1">
        <f ca="1">IFERROR(__xludf.DUMMYFUNCTION("""COMPUTED_VALUE"""),215.55)</f>
        <v>215.55</v>
      </c>
      <c r="F2088" s="1">
        <f ca="1">IFERROR(__xludf.DUMMYFUNCTION("""COMPUTED_VALUE"""),103164400)</f>
        <v>103164400</v>
      </c>
    </row>
    <row r="2089" spans="1:6" x14ac:dyDescent="0.2">
      <c r="A2089" s="2">
        <f ca="1">IFERROR(__xludf.DUMMYFUNCTION("""COMPUTED_VALUE"""),45309.6666666666)</f>
        <v>45309.666666666599</v>
      </c>
      <c r="B2089" s="1">
        <f ca="1">IFERROR(__xludf.DUMMYFUNCTION("""COMPUTED_VALUE"""),216.88)</f>
        <v>216.88</v>
      </c>
      <c r="C2089" s="1">
        <f ca="1">IFERROR(__xludf.DUMMYFUNCTION("""COMPUTED_VALUE"""),217.45)</f>
        <v>217.45</v>
      </c>
      <c r="D2089" s="1">
        <f ca="1">IFERROR(__xludf.DUMMYFUNCTION("""COMPUTED_VALUE"""),208.74)</f>
        <v>208.74</v>
      </c>
      <c r="E2089" s="1">
        <f ca="1">IFERROR(__xludf.DUMMYFUNCTION("""COMPUTED_VALUE"""),211.88)</f>
        <v>211.88</v>
      </c>
      <c r="F2089" s="1">
        <f ca="1">IFERROR(__xludf.DUMMYFUNCTION("""COMPUTED_VALUE"""),108595431)</f>
        <v>108595431</v>
      </c>
    </row>
    <row r="2090" spans="1:6" x14ac:dyDescent="0.2">
      <c r="A2090" s="2">
        <f ca="1">IFERROR(__xludf.DUMMYFUNCTION("""COMPUTED_VALUE"""),45310.6666666666)</f>
        <v>45310.666666666599</v>
      </c>
      <c r="B2090" s="1">
        <f ca="1">IFERROR(__xludf.DUMMYFUNCTION("""COMPUTED_VALUE"""),209.99)</f>
        <v>209.99</v>
      </c>
      <c r="C2090" s="1">
        <f ca="1">IFERROR(__xludf.DUMMYFUNCTION("""COMPUTED_VALUE"""),213.19)</f>
        <v>213.19</v>
      </c>
      <c r="D2090" s="1">
        <f ca="1">IFERROR(__xludf.DUMMYFUNCTION("""COMPUTED_VALUE"""),207.56)</f>
        <v>207.56</v>
      </c>
      <c r="E2090" s="1">
        <f ca="1">IFERROR(__xludf.DUMMYFUNCTION("""COMPUTED_VALUE"""),212.19)</f>
        <v>212.19</v>
      </c>
      <c r="F2090" s="1">
        <f ca="1">IFERROR(__xludf.DUMMYFUNCTION("""COMPUTED_VALUE"""),102260343)</f>
        <v>102260343</v>
      </c>
    </row>
    <row r="2091" spans="1:6" x14ac:dyDescent="0.2">
      <c r="A2091" s="2">
        <f ca="1">IFERROR(__xludf.DUMMYFUNCTION("""COMPUTED_VALUE"""),45313.6666666666)</f>
        <v>45313.666666666599</v>
      </c>
      <c r="B2091" s="1">
        <f ca="1">IFERROR(__xludf.DUMMYFUNCTION("""COMPUTED_VALUE"""),212.26)</f>
        <v>212.26</v>
      </c>
      <c r="C2091" s="1">
        <f ca="1">IFERROR(__xludf.DUMMYFUNCTION("""COMPUTED_VALUE"""),217.8)</f>
        <v>217.8</v>
      </c>
      <c r="D2091" s="1">
        <f ca="1">IFERROR(__xludf.DUMMYFUNCTION("""COMPUTED_VALUE"""),206.27)</f>
        <v>206.27</v>
      </c>
      <c r="E2091" s="1">
        <f ca="1">IFERROR(__xludf.DUMMYFUNCTION("""COMPUTED_VALUE"""),208.8)</f>
        <v>208.8</v>
      </c>
      <c r="F2091" s="1">
        <f ca="1">IFERROR(__xludf.DUMMYFUNCTION("""COMPUTED_VALUE"""),117952527)</f>
        <v>117952527</v>
      </c>
    </row>
    <row r="2092" spans="1:6" x14ac:dyDescent="0.2">
      <c r="A2092" s="2">
        <f ca="1">IFERROR(__xludf.DUMMYFUNCTION("""COMPUTED_VALUE"""),45314.6666666666)</f>
        <v>45314.666666666599</v>
      </c>
      <c r="B2092" s="1">
        <f ca="1">IFERROR(__xludf.DUMMYFUNCTION("""COMPUTED_VALUE"""),211.3)</f>
        <v>211.3</v>
      </c>
      <c r="C2092" s="1">
        <f ca="1">IFERROR(__xludf.DUMMYFUNCTION("""COMPUTED_VALUE"""),215.65)</f>
        <v>215.65</v>
      </c>
      <c r="D2092" s="1">
        <f ca="1">IFERROR(__xludf.DUMMYFUNCTION("""COMPUTED_VALUE"""),207.75)</f>
        <v>207.75</v>
      </c>
      <c r="E2092" s="1">
        <f ca="1">IFERROR(__xludf.DUMMYFUNCTION("""COMPUTED_VALUE"""),209.14)</f>
        <v>209.14</v>
      </c>
      <c r="F2092" s="1">
        <f ca="1">IFERROR(__xludf.DUMMYFUNCTION("""COMPUTED_VALUE"""),106605946)</f>
        <v>106605946</v>
      </c>
    </row>
    <row r="2093" spans="1:6" x14ac:dyDescent="0.2">
      <c r="A2093" s="2">
        <f ca="1">IFERROR(__xludf.DUMMYFUNCTION("""COMPUTED_VALUE"""),45315.6666666666)</f>
        <v>45315.666666666599</v>
      </c>
      <c r="B2093" s="1">
        <f ca="1">IFERROR(__xludf.DUMMYFUNCTION("""COMPUTED_VALUE"""),211.88)</f>
        <v>211.88</v>
      </c>
      <c r="C2093" s="1">
        <f ca="1">IFERROR(__xludf.DUMMYFUNCTION("""COMPUTED_VALUE"""),212.73)</f>
        <v>212.73</v>
      </c>
      <c r="D2093" s="1">
        <f ca="1">IFERROR(__xludf.DUMMYFUNCTION("""COMPUTED_VALUE"""),206.77)</f>
        <v>206.77</v>
      </c>
      <c r="E2093" s="1">
        <f ca="1">IFERROR(__xludf.DUMMYFUNCTION("""COMPUTED_VALUE"""),207.83)</f>
        <v>207.83</v>
      </c>
      <c r="F2093" s="1">
        <f ca="1">IFERROR(__xludf.DUMMYFUNCTION("""COMPUTED_VALUE"""),123369932)</f>
        <v>123369932</v>
      </c>
    </row>
    <row r="2094" spans="1:6" x14ac:dyDescent="0.2">
      <c r="A2094" s="2">
        <f ca="1">IFERROR(__xludf.DUMMYFUNCTION("""COMPUTED_VALUE"""),45316.6666666666)</f>
        <v>45316.666666666599</v>
      </c>
      <c r="B2094" s="1">
        <f ca="1">IFERROR(__xludf.DUMMYFUNCTION("""COMPUTED_VALUE"""),189.7)</f>
        <v>189.7</v>
      </c>
      <c r="C2094" s="1">
        <f ca="1">IFERROR(__xludf.DUMMYFUNCTION("""COMPUTED_VALUE"""),193)</f>
        <v>193</v>
      </c>
      <c r="D2094" s="1">
        <f ca="1">IFERROR(__xludf.DUMMYFUNCTION("""COMPUTED_VALUE"""),180.06)</f>
        <v>180.06</v>
      </c>
      <c r="E2094" s="1">
        <f ca="1">IFERROR(__xludf.DUMMYFUNCTION("""COMPUTED_VALUE"""),182.63)</f>
        <v>182.63</v>
      </c>
      <c r="F2094" s="1">
        <f ca="1">IFERROR(__xludf.DUMMYFUNCTION("""COMPUTED_VALUE"""),198076787)</f>
        <v>198076787</v>
      </c>
    </row>
    <row r="2095" spans="1:6" x14ac:dyDescent="0.2">
      <c r="A2095" s="2">
        <f ca="1">IFERROR(__xludf.DUMMYFUNCTION("""COMPUTED_VALUE"""),45317.6666666666)</f>
        <v>45317.666666666599</v>
      </c>
      <c r="B2095" s="1">
        <f ca="1">IFERROR(__xludf.DUMMYFUNCTION("""COMPUTED_VALUE"""),185.5)</f>
        <v>185.5</v>
      </c>
      <c r="C2095" s="1">
        <f ca="1">IFERROR(__xludf.DUMMYFUNCTION("""COMPUTED_VALUE"""),186.78)</f>
        <v>186.78</v>
      </c>
      <c r="D2095" s="1">
        <f ca="1">IFERROR(__xludf.DUMMYFUNCTION("""COMPUTED_VALUE"""),182.1)</f>
        <v>182.1</v>
      </c>
      <c r="E2095" s="1">
        <f ca="1">IFERROR(__xludf.DUMMYFUNCTION("""COMPUTED_VALUE"""),183.25)</f>
        <v>183.25</v>
      </c>
      <c r="F2095" s="1">
        <f ca="1">IFERROR(__xludf.DUMMYFUNCTION("""COMPUTED_VALUE"""),107343231)</f>
        <v>107343231</v>
      </c>
    </row>
    <row r="2096" spans="1:6" x14ac:dyDescent="0.2">
      <c r="A2096" s="2">
        <f ca="1">IFERROR(__xludf.DUMMYFUNCTION("""COMPUTED_VALUE"""),45320.6666666666)</f>
        <v>45320.666666666599</v>
      </c>
      <c r="B2096" s="1">
        <f ca="1">IFERROR(__xludf.DUMMYFUNCTION("""COMPUTED_VALUE"""),185.63)</f>
        <v>185.63</v>
      </c>
      <c r="C2096" s="1">
        <f ca="1">IFERROR(__xludf.DUMMYFUNCTION("""COMPUTED_VALUE"""),191.48)</f>
        <v>191.48</v>
      </c>
      <c r="D2096" s="1">
        <f ca="1">IFERROR(__xludf.DUMMYFUNCTION("""COMPUTED_VALUE"""),183.67)</f>
        <v>183.67</v>
      </c>
      <c r="E2096" s="1">
        <f ca="1">IFERROR(__xludf.DUMMYFUNCTION("""COMPUTED_VALUE"""),190.93)</f>
        <v>190.93</v>
      </c>
      <c r="F2096" s="1">
        <f ca="1">IFERROR(__xludf.DUMMYFUNCTION("""COMPUTED_VALUE"""),125013148)</f>
        <v>125013148</v>
      </c>
    </row>
    <row r="2097" spans="1:6" x14ac:dyDescent="0.2">
      <c r="A2097" s="2">
        <f ca="1">IFERROR(__xludf.DUMMYFUNCTION("""COMPUTED_VALUE"""),45321.6666666666)</f>
        <v>45321.666666666599</v>
      </c>
      <c r="B2097" s="1">
        <f ca="1">IFERROR(__xludf.DUMMYFUNCTION("""COMPUTED_VALUE"""),195.33)</f>
        <v>195.33</v>
      </c>
      <c r="C2097" s="1">
        <f ca="1">IFERROR(__xludf.DUMMYFUNCTION("""COMPUTED_VALUE"""),196.36)</f>
        <v>196.36</v>
      </c>
      <c r="D2097" s="1">
        <f ca="1">IFERROR(__xludf.DUMMYFUNCTION("""COMPUTED_VALUE"""),190.61)</f>
        <v>190.61</v>
      </c>
      <c r="E2097" s="1">
        <f ca="1">IFERROR(__xludf.DUMMYFUNCTION("""COMPUTED_VALUE"""),191.59)</f>
        <v>191.59</v>
      </c>
      <c r="F2097" s="1">
        <f ca="1">IFERROR(__xludf.DUMMYFUNCTION("""COMPUTED_VALUE"""),109982327)</f>
        <v>109982327</v>
      </c>
    </row>
    <row r="2098" spans="1:6" x14ac:dyDescent="0.2">
      <c r="A2098" s="2">
        <f ca="1">IFERROR(__xludf.DUMMYFUNCTION("""COMPUTED_VALUE"""),45322.6666666666)</f>
        <v>45322.666666666599</v>
      </c>
      <c r="B2098" s="1">
        <f ca="1">IFERROR(__xludf.DUMMYFUNCTION("""COMPUTED_VALUE"""),187)</f>
        <v>187</v>
      </c>
      <c r="C2098" s="1">
        <f ca="1">IFERROR(__xludf.DUMMYFUNCTION("""COMPUTED_VALUE"""),193.97)</f>
        <v>193.97</v>
      </c>
      <c r="D2098" s="1">
        <f ca="1">IFERROR(__xludf.DUMMYFUNCTION("""COMPUTED_VALUE"""),185.85)</f>
        <v>185.85</v>
      </c>
      <c r="E2098" s="1">
        <f ca="1">IFERROR(__xludf.DUMMYFUNCTION("""COMPUTED_VALUE"""),187.29)</f>
        <v>187.29</v>
      </c>
      <c r="F2098" s="1">
        <f ca="1">IFERROR(__xludf.DUMMYFUNCTION("""COMPUTED_VALUE"""),103221430)</f>
        <v>103221430</v>
      </c>
    </row>
    <row r="2099" spans="1:6" x14ac:dyDescent="0.2">
      <c r="A2099" s="2">
        <f ca="1">IFERROR(__xludf.DUMMYFUNCTION("""COMPUTED_VALUE"""),45323.6666666666)</f>
        <v>45323.666666666599</v>
      </c>
      <c r="B2099" s="1">
        <f ca="1">IFERROR(__xludf.DUMMYFUNCTION("""COMPUTED_VALUE"""),188.5)</f>
        <v>188.5</v>
      </c>
      <c r="C2099" s="1">
        <f ca="1">IFERROR(__xludf.DUMMYFUNCTION("""COMPUTED_VALUE"""),189.88)</f>
        <v>189.88</v>
      </c>
      <c r="D2099" s="1">
        <f ca="1">IFERROR(__xludf.DUMMYFUNCTION("""COMPUTED_VALUE"""),184.28)</f>
        <v>184.28</v>
      </c>
      <c r="E2099" s="1">
        <f ca="1">IFERROR(__xludf.DUMMYFUNCTION("""COMPUTED_VALUE"""),188.86)</f>
        <v>188.86</v>
      </c>
      <c r="F2099" s="1">
        <f ca="1">IFERROR(__xludf.DUMMYFUNCTION("""COMPUTED_VALUE"""),91843275)</f>
        <v>91843275</v>
      </c>
    </row>
    <row r="2100" spans="1:6" x14ac:dyDescent="0.2">
      <c r="A2100" s="2">
        <f ca="1">IFERROR(__xludf.DUMMYFUNCTION("""COMPUTED_VALUE"""),45324.6666666666)</f>
        <v>45324.666666666599</v>
      </c>
      <c r="B2100" s="1">
        <f ca="1">IFERROR(__xludf.DUMMYFUNCTION("""COMPUTED_VALUE"""),185.04)</f>
        <v>185.04</v>
      </c>
      <c r="C2100" s="1">
        <f ca="1">IFERROR(__xludf.DUMMYFUNCTION("""COMPUTED_VALUE"""),188.69)</f>
        <v>188.69</v>
      </c>
      <c r="D2100" s="1">
        <f ca="1">IFERROR(__xludf.DUMMYFUNCTION("""COMPUTED_VALUE"""),182)</f>
        <v>182</v>
      </c>
      <c r="E2100" s="1">
        <f ca="1">IFERROR(__xludf.DUMMYFUNCTION("""COMPUTED_VALUE"""),187.91)</f>
        <v>187.91</v>
      </c>
      <c r="F2100" s="1">
        <f ca="1">IFERROR(__xludf.DUMMYFUNCTION("""COMPUTED_VALUE"""),110612672)</f>
        <v>110612672</v>
      </c>
    </row>
    <row r="2101" spans="1:6" x14ac:dyDescent="0.2">
      <c r="A2101" s="2">
        <f ca="1">IFERROR(__xludf.DUMMYFUNCTION("""COMPUTED_VALUE"""),45327.6666666666)</f>
        <v>45327.666666666599</v>
      </c>
      <c r="B2101" s="1">
        <f ca="1">IFERROR(__xludf.DUMMYFUNCTION("""COMPUTED_VALUE"""),184.26)</f>
        <v>184.26</v>
      </c>
      <c r="C2101" s="1">
        <f ca="1">IFERROR(__xludf.DUMMYFUNCTION("""COMPUTED_VALUE"""),184.68)</f>
        <v>184.68</v>
      </c>
      <c r="D2101" s="1">
        <f ca="1">IFERROR(__xludf.DUMMYFUNCTION("""COMPUTED_VALUE"""),175.01)</f>
        <v>175.01</v>
      </c>
      <c r="E2101" s="1">
        <f ca="1">IFERROR(__xludf.DUMMYFUNCTION("""COMPUTED_VALUE"""),181.06)</f>
        <v>181.06</v>
      </c>
      <c r="F2101" s="1">
        <f ca="1">IFERROR(__xludf.DUMMYFUNCTION("""COMPUTED_VALUE"""),134294447)</f>
        <v>134294447</v>
      </c>
    </row>
    <row r="2102" spans="1:6" x14ac:dyDescent="0.2">
      <c r="A2102" s="2">
        <f ca="1">IFERROR(__xludf.DUMMYFUNCTION("""COMPUTED_VALUE"""),45328.6666666666)</f>
        <v>45328.666666666599</v>
      </c>
      <c r="B2102" s="1">
        <f ca="1">IFERROR(__xludf.DUMMYFUNCTION("""COMPUTED_VALUE"""),177.21)</f>
        <v>177.21</v>
      </c>
      <c r="C2102" s="1">
        <f ca="1">IFERROR(__xludf.DUMMYFUNCTION("""COMPUTED_VALUE"""),186.49)</f>
        <v>186.49</v>
      </c>
      <c r="D2102" s="1">
        <f ca="1">IFERROR(__xludf.DUMMYFUNCTION("""COMPUTED_VALUE"""),177.11)</f>
        <v>177.11</v>
      </c>
      <c r="E2102" s="1">
        <f ca="1">IFERROR(__xludf.DUMMYFUNCTION("""COMPUTED_VALUE"""),185.1)</f>
        <v>185.1</v>
      </c>
      <c r="F2102" s="1">
        <f ca="1">IFERROR(__xludf.DUMMYFUNCTION("""COMPUTED_VALUE"""),122675954)</f>
        <v>122675954</v>
      </c>
    </row>
    <row r="2103" spans="1:6" x14ac:dyDescent="0.2">
      <c r="A2103" s="2">
        <f ca="1">IFERROR(__xludf.DUMMYFUNCTION("""COMPUTED_VALUE"""),45329.6666666666)</f>
        <v>45329.666666666599</v>
      </c>
      <c r="B2103" s="1">
        <f ca="1">IFERROR(__xludf.DUMMYFUNCTION("""COMPUTED_VALUE"""),188.18)</f>
        <v>188.18</v>
      </c>
      <c r="C2103" s="1">
        <f ca="1">IFERROR(__xludf.DUMMYFUNCTION("""COMPUTED_VALUE"""),189.79)</f>
        <v>189.79</v>
      </c>
      <c r="D2103" s="1">
        <f ca="1">IFERROR(__xludf.DUMMYFUNCTION("""COMPUTED_VALUE"""),182.68)</f>
        <v>182.68</v>
      </c>
      <c r="E2103" s="1">
        <f ca="1">IFERROR(__xludf.DUMMYFUNCTION("""COMPUTED_VALUE"""),187.58)</f>
        <v>187.58</v>
      </c>
      <c r="F2103" s="1">
        <f ca="1">IFERROR(__xludf.DUMMYFUNCTION("""COMPUTED_VALUE"""),111535217)</f>
        <v>111535217</v>
      </c>
    </row>
    <row r="2104" spans="1:6" x14ac:dyDescent="0.2">
      <c r="A2104" s="2">
        <f ca="1">IFERROR(__xludf.DUMMYFUNCTION("""COMPUTED_VALUE"""),45330.6666666666)</f>
        <v>45330.666666666599</v>
      </c>
      <c r="B2104" s="1">
        <f ca="1">IFERROR(__xludf.DUMMYFUNCTION("""COMPUTED_VALUE"""),189)</f>
        <v>189</v>
      </c>
      <c r="C2104" s="1">
        <f ca="1">IFERROR(__xludf.DUMMYFUNCTION("""COMPUTED_VALUE"""),191.62)</f>
        <v>191.62</v>
      </c>
      <c r="D2104" s="1">
        <f ca="1">IFERROR(__xludf.DUMMYFUNCTION("""COMPUTED_VALUE"""),185.58)</f>
        <v>185.58</v>
      </c>
      <c r="E2104" s="1">
        <f ca="1">IFERROR(__xludf.DUMMYFUNCTION("""COMPUTED_VALUE"""),189.56)</f>
        <v>189.56</v>
      </c>
      <c r="F2104" s="1">
        <f ca="1">IFERROR(__xludf.DUMMYFUNCTION("""COMPUTED_VALUE"""),83034043)</f>
        <v>83034043</v>
      </c>
    </row>
    <row r="2105" spans="1:6" x14ac:dyDescent="0.2">
      <c r="A2105" s="2">
        <f ca="1">IFERROR(__xludf.DUMMYFUNCTION("""COMPUTED_VALUE"""),45331.6666666666)</f>
        <v>45331.666666666599</v>
      </c>
      <c r="B2105" s="1">
        <f ca="1">IFERROR(__xludf.DUMMYFUNCTION("""COMPUTED_VALUE"""),190.18)</f>
        <v>190.18</v>
      </c>
      <c r="C2105" s="1">
        <f ca="1">IFERROR(__xludf.DUMMYFUNCTION("""COMPUTED_VALUE"""),194.12)</f>
        <v>194.12</v>
      </c>
      <c r="D2105" s="1">
        <f ca="1">IFERROR(__xludf.DUMMYFUNCTION("""COMPUTED_VALUE"""),189.48)</f>
        <v>189.48</v>
      </c>
      <c r="E2105" s="1">
        <f ca="1">IFERROR(__xludf.DUMMYFUNCTION("""COMPUTED_VALUE"""),193.57)</f>
        <v>193.57</v>
      </c>
      <c r="F2105" s="1">
        <f ca="1">IFERROR(__xludf.DUMMYFUNCTION("""COMPUTED_VALUE"""),84476347)</f>
        <v>84476347</v>
      </c>
    </row>
    <row r="2106" spans="1:6" x14ac:dyDescent="0.2">
      <c r="A2106" s="2">
        <f ca="1">IFERROR(__xludf.DUMMYFUNCTION("""COMPUTED_VALUE"""),45334.6666666666)</f>
        <v>45334.666666666599</v>
      </c>
      <c r="B2106" s="1">
        <f ca="1">IFERROR(__xludf.DUMMYFUNCTION("""COMPUTED_VALUE"""),192.11)</f>
        <v>192.11</v>
      </c>
      <c r="C2106" s="1">
        <f ca="1">IFERROR(__xludf.DUMMYFUNCTION("""COMPUTED_VALUE"""),194.73)</f>
        <v>194.73</v>
      </c>
      <c r="D2106" s="1">
        <f ca="1">IFERROR(__xludf.DUMMYFUNCTION("""COMPUTED_VALUE"""),187.28)</f>
        <v>187.28</v>
      </c>
      <c r="E2106" s="1">
        <f ca="1">IFERROR(__xludf.DUMMYFUNCTION("""COMPUTED_VALUE"""),188.13)</f>
        <v>188.13</v>
      </c>
      <c r="F2106" s="1">
        <f ca="1">IFERROR(__xludf.DUMMYFUNCTION("""COMPUTED_VALUE"""),95498597)</f>
        <v>95498597</v>
      </c>
    </row>
    <row r="2107" spans="1:6" x14ac:dyDescent="0.2">
      <c r="A2107" s="2">
        <f ca="1">IFERROR(__xludf.DUMMYFUNCTION("""COMPUTED_VALUE"""),45335.6666666666)</f>
        <v>45335.666666666599</v>
      </c>
      <c r="B2107" s="1">
        <f ca="1">IFERROR(__xludf.DUMMYFUNCTION("""COMPUTED_VALUE"""),183.99)</f>
        <v>183.99</v>
      </c>
      <c r="C2107" s="1">
        <f ca="1">IFERROR(__xludf.DUMMYFUNCTION("""COMPUTED_VALUE"""),187.26)</f>
        <v>187.26</v>
      </c>
      <c r="D2107" s="1">
        <f ca="1">IFERROR(__xludf.DUMMYFUNCTION("""COMPUTED_VALUE"""),182.11)</f>
        <v>182.11</v>
      </c>
      <c r="E2107" s="1">
        <f ca="1">IFERROR(__xludf.DUMMYFUNCTION("""COMPUTED_VALUE"""),184.02)</f>
        <v>184.02</v>
      </c>
      <c r="F2107" s="1">
        <f ca="1">IFERROR(__xludf.DUMMYFUNCTION("""COMPUTED_VALUE"""),86759478)</f>
        <v>86759478</v>
      </c>
    </row>
    <row r="2108" spans="1:6" x14ac:dyDescent="0.2">
      <c r="A2108" s="2">
        <f ca="1">IFERROR(__xludf.DUMMYFUNCTION("""COMPUTED_VALUE"""),45336.6666666666)</f>
        <v>45336.666666666599</v>
      </c>
      <c r="B2108" s="1">
        <f ca="1">IFERROR(__xludf.DUMMYFUNCTION("""COMPUTED_VALUE"""),185.3)</f>
        <v>185.3</v>
      </c>
      <c r="C2108" s="1">
        <f ca="1">IFERROR(__xludf.DUMMYFUNCTION("""COMPUTED_VALUE"""),188.89)</f>
        <v>188.89</v>
      </c>
      <c r="D2108" s="1">
        <f ca="1">IFERROR(__xludf.DUMMYFUNCTION("""COMPUTED_VALUE"""),183.35)</f>
        <v>183.35</v>
      </c>
      <c r="E2108" s="1">
        <f ca="1">IFERROR(__xludf.DUMMYFUNCTION("""COMPUTED_VALUE"""),188.71)</f>
        <v>188.71</v>
      </c>
      <c r="F2108" s="1">
        <f ca="1">IFERROR(__xludf.DUMMYFUNCTION("""COMPUTED_VALUE"""),81202987)</f>
        <v>81202987</v>
      </c>
    </row>
    <row r="2109" spans="1:6" x14ac:dyDescent="0.2">
      <c r="A2109" s="2">
        <f ca="1">IFERROR(__xludf.DUMMYFUNCTION("""COMPUTED_VALUE"""),45337.6666666666)</f>
        <v>45337.666666666599</v>
      </c>
      <c r="B2109" s="1">
        <f ca="1">IFERROR(__xludf.DUMMYFUNCTION("""COMPUTED_VALUE"""),189.16)</f>
        <v>189.16</v>
      </c>
      <c r="C2109" s="1">
        <f ca="1">IFERROR(__xludf.DUMMYFUNCTION("""COMPUTED_VALUE"""),200.88)</f>
        <v>200.88</v>
      </c>
      <c r="D2109" s="1">
        <f ca="1">IFERROR(__xludf.DUMMYFUNCTION("""COMPUTED_VALUE"""),188.86)</f>
        <v>188.86</v>
      </c>
      <c r="E2109" s="1">
        <f ca="1">IFERROR(__xludf.DUMMYFUNCTION("""COMPUTED_VALUE"""),200.45)</f>
        <v>200.45</v>
      </c>
      <c r="F2109" s="1">
        <f ca="1">IFERROR(__xludf.DUMMYFUNCTION("""COMPUTED_VALUE"""),120831762)</f>
        <v>120831762</v>
      </c>
    </row>
    <row r="2110" spans="1:6" x14ac:dyDescent="0.2">
      <c r="A2110" s="2">
        <f ca="1">IFERROR(__xludf.DUMMYFUNCTION("""COMPUTED_VALUE"""),45338.6666666666)</f>
        <v>45338.666666666599</v>
      </c>
      <c r="B2110" s="1">
        <f ca="1">IFERROR(__xludf.DUMMYFUNCTION("""COMPUTED_VALUE"""),202.06)</f>
        <v>202.06</v>
      </c>
      <c r="C2110" s="1">
        <f ca="1">IFERROR(__xludf.DUMMYFUNCTION("""COMPUTED_VALUE"""),203.17)</f>
        <v>203.17</v>
      </c>
      <c r="D2110" s="1">
        <f ca="1">IFERROR(__xludf.DUMMYFUNCTION("""COMPUTED_VALUE"""),197.4)</f>
        <v>197.4</v>
      </c>
      <c r="E2110" s="1">
        <f ca="1">IFERROR(__xludf.DUMMYFUNCTION("""COMPUTED_VALUE"""),199.95)</f>
        <v>199.95</v>
      </c>
      <c r="F2110" s="1">
        <f ca="1">IFERROR(__xludf.DUMMYFUNCTION("""COMPUTED_VALUE"""),111346705)</f>
        <v>111346705</v>
      </c>
    </row>
    <row r="2111" spans="1:6" x14ac:dyDescent="0.2">
      <c r="A2111" s="2">
        <f ca="1">IFERROR(__xludf.DUMMYFUNCTION("""COMPUTED_VALUE"""),45342.6666666666)</f>
        <v>45342.666666666599</v>
      </c>
      <c r="B2111" s="1">
        <f ca="1">IFERROR(__xludf.DUMMYFUNCTION("""COMPUTED_VALUE"""),196.13)</f>
        <v>196.13</v>
      </c>
      <c r="C2111" s="1">
        <f ca="1">IFERROR(__xludf.DUMMYFUNCTION("""COMPUTED_VALUE"""),198.6)</f>
        <v>198.6</v>
      </c>
      <c r="D2111" s="1">
        <f ca="1">IFERROR(__xludf.DUMMYFUNCTION("""COMPUTED_VALUE"""),189.13)</f>
        <v>189.13</v>
      </c>
      <c r="E2111" s="1">
        <f ca="1">IFERROR(__xludf.DUMMYFUNCTION("""COMPUTED_VALUE"""),193.76)</f>
        <v>193.76</v>
      </c>
      <c r="F2111" s="1">
        <f ca="1">IFERROR(__xludf.DUMMYFUNCTION("""COMPUTED_VALUE"""),104545762)</f>
        <v>104545762</v>
      </c>
    </row>
    <row r="2112" spans="1:6" x14ac:dyDescent="0.2">
      <c r="A2112" s="2">
        <f ca="1">IFERROR(__xludf.DUMMYFUNCTION("""COMPUTED_VALUE"""),45343.6666666666)</f>
        <v>45343.666666666599</v>
      </c>
      <c r="B2112" s="1">
        <f ca="1">IFERROR(__xludf.DUMMYFUNCTION("""COMPUTED_VALUE"""),193.36)</f>
        <v>193.36</v>
      </c>
      <c r="C2112" s="1">
        <f ca="1">IFERROR(__xludf.DUMMYFUNCTION("""COMPUTED_VALUE"""),199.44)</f>
        <v>199.44</v>
      </c>
      <c r="D2112" s="1">
        <f ca="1">IFERROR(__xludf.DUMMYFUNCTION("""COMPUTED_VALUE"""),191.95)</f>
        <v>191.95</v>
      </c>
      <c r="E2112" s="1">
        <f ca="1">IFERROR(__xludf.DUMMYFUNCTION("""COMPUTED_VALUE"""),194.77)</f>
        <v>194.77</v>
      </c>
      <c r="F2112" s="1">
        <f ca="1">IFERROR(__xludf.DUMMYFUNCTION("""COMPUTED_VALUE"""),103844008)</f>
        <v>103844008</v>
      </c>
    </row>
    <row r="2113" spans="1:6" x14ac:dyDescent="0.2">
      <c r="A2113" s="2">
        <f ca="1">IFERROR(__xludf.DUMMYFUNCTION("""COMPUTED_VALUE"""),45344.6666666666)</f>
        <v>45344.666666666599</v>
      </c>
      <c r="B2113" s="1">
        <f ca="1">IFERROR(__xludf.DUMMYFUNCTION("""COMPUTED_VALUE"""),194)</f>
        <v>194</v>
      </c>
      <c r="C2113" s="1">
        <f ca="1">IFERROR(__xludf.DUMMYFUNCTION("""COMPUTED_VALUE"""),198.32)</f>
        <v>198.32</v>
      </c>
      <c r="D2113" s="1">
        <f ca="1">IFERROR(__xludf.DUMMYFUNCTION("""COMPUTED_VALUE"""),191.36)</f>
        <v>191.36</v>
      </c>
      <c r="E2113" s="1">
        <f ca="1">IFERROR(__xludf.DUMMYFUNCTION("""COMPUTED_VALUE"""),197.41)</f>
        <v>197.41</v>
      </c>
      <c r="F2113" s="1">
        <f ca="1">IFERROR(__xludf.DUMMYFUNCTION("""COMPUTED_VALUE"""),92739461)</f>
        <v>92739461</v>
      </c>
    </row>
    <row r="2114" spans="1:6" x14ac:dyDescent="0.2">
      <c r="A2114" s="2">
        <f ca="1">IFERROR(__xludf.DUMMYFUNCTION("""COMPUTED_VALUE"""),45345.6666666666)</f>
        <v>45345.666666666599</v>
      </c>
      <c r="B2114" s="1">
        <f ca="1">IFERROR(__xludf.DUMMYFUNCTION("""COMPUTED_VALUE"""),195.31)</f>
        <v>195.31</v>
      </c>
      <c r="C2114" s="1">
        <f ca="1">IFERROR(__xludf.DUMMYFUNCTION("""COMPUTED_VALUE"""),197.57)</f>
        <v>197.57</v>
      </c>
      <c r="D2114" s="1">
        <f ca="1">IFERROR(__xludf.DUMMYFUNCTION("""COMPUTED_VALUE"""),191.5)</f>
        <v>191.5</v>
      </c>
      <c r="E2114" s="1">
        <f ca="1">IFERROR(__xludf.DUMMYFUNCTION("""COMPUTED_VALUE"""),191.97)</f>
        <v>191.97</v>
      </c>
      <c r="F2114" s="1">
        <f ca="1">IFERROR(__xludf.DUMMYFUNCTION("""COMPUTED_VALUE"""),78841917)</f>
        <v>78841917</v>
      </c>
    </row>
    <row r="2115" spans="1:6" x14ac:dyDescent="0.2">
      <c r="A2115" s="2">
        <f ca="1">IFERROR(__xludf.DUMMYFUNCTION("""COMPUTED_VALUE"""),45348.6666666666)</f>
        <v>45348.666666666599</v>
      </c>
      <c r="B2115" s="1">
        <f ca="1">IFERROR(__xludf.DUMMYFUNCTION("""COMPUTED_VALUE"""),192.29)</f>
        <v>192.29</v>
      </c>
      <c r="C2115" s="1">
        <f ca="1">IFERROR(__xludf.DUMMYFUNCTION("""COMPUTED_VALUE"""),201.78)</f>
        <v>201.78</v>
      </c>
      <c r="D2115" s="1">
        <f ca="1">IFERROR(__xludf.DUMMYFUNCTION("""COMPUTED_VALUE"""),192)</f>
        <v>192</v>
      </c>
      <c r="E2115" s="1">
        <f ca="1">IFERROR(__xludf.DUMMYFUNCTION("""COMPUTED_VALUE"""),199.4)</f>
        <v>199.4</v>
      </c>
      <c r="F2115" s="1">
        <f ca="1">IFERROR(__xludf.DUMMYFUNCTION("""COMPUTED_VALUE"""),111747116)</f>
        <v>111747116</v>
      </c>
    </row>
    <row r="2116" spans="1:6" x14ac:dyDescent="0.2">
      <c r="A2116" s="2">
        <f ca="1">IFERROR(__xludf.DUMMYFUNCTION("""COMPUTED_VALUE"""),45349.6666666666)</f>
        <v>45349.666666666599</v>
      </c>
      <c r="B2116" s="1">
        <f ca="1">IFERROR(__xludf.DUMMYFUNCTION("""COMPUTED_VALUE"""),204.04)</f>
        <v>204.04</v>
      </c>
      <c r="C2116" s="1">
        <f ca="1">IFERROR(__xludf.DUMMYFUNCTION("""COMPUTED_VALUE"""),205.6)</f>
        <v>205.6</v>
      </c>
      <c r="D2116" s="1">
        <f ca="1">IFERROR(__xludf.DUMMYFUNCTION("""COMPUTED_VALUE"""),198.26)</f>
        <v>198.26</v>
      </c>
      <c r="E2116" s="1">
        <f ca="1">IFERROR(__xludf.DUMMYFUNCTION("""COMPUTED_VALUE"""),199.73)</f>
        <v>199.73</v>
      </c>
      <c r="F2116" s="1">
        <f ca="1">IFERROR(__xludf.DUMMYFUNCTION("""COMPUTED_VALUE"""),108645412)</f>
        <v>108645412</v>
      </c>
    </row>
    <row r="2117" spans="1:6" x14ac:dyDescent="0.2">
      <c r="A2117" s="2">
        <f ca="1">IFERROR(__xludf.DUMMYFUNCTION("""COMPUTED_VALUE"""),45350.6666666666)</f>
        <v>45350.666666666599</v>
      </c>
      <c r="B2117" s="1">
        <f ca="1">IFERROR(__xludf.DUMMYFUNCTION("""COMPUTED_VALUE"""),200.42)</f>
        <v>200.42</v>
      </c>
      <c r="C2117" s="1">
        <f ca="1">IFERROR(__xludf.DUMMYFUNCTION("""COMPUTED_VALUE"""),205.3)</f>
        <v>205.3</v>
      </c>
      <c r="D2117" s="1">
        <f ca="1">IFERROR(__xludf.DUMMYFUNCTION("""COMPUTED_VALUE"""),198.44)</f>
        <v>198.44</v>
      </c>
      <c r="E2117" s="1">
        <f ca="1">IFERROR(__xludf.DUMMYFUNCTION("""COMPUTED_VALUE"""),202.04)</f>
        <v>202.04</v>
      </c>
      <c r="F2117" s="1">
        <f ca="1">IFERROR(__xludf.DUMMYFUNCTION("""COMPUTED_VALUE"""),99806173)</f>
        <v>99806173</v>
      </c>
    </row>
    <row r="2118" spans="1:6" x14ac:dyDescent="0.2">
      <c r="A2118" s="2">
        <f ca="1">IFERROR(__xludf.DUMMYFUNCTION("""COMPUTED_VALUE"""),45351.6666666666)</f>
        <v>45351.666666666599</v>
      </c>
      <c r="B2118" s="1">
        <f ca="1">IFERROR(__xludf.DUMMYFUNCTION("""COMPUTED_VALUE"""),204.18)</f>
        <v>204.18</v>
      </c>
      <c r="C2118" s="1">
        <f ca="1">IFERROR(__xludf.DUMMYFUNCTION("""COMPUTED_VALUE"""),205.28)</f>
        <v>205.28</v>
      </c>
      <c r="D2118" s="1">
        <f ca="1">IFERROR(__xludf.DUMMYFUNCTION("""COMPUTED_VALUE"""),198.45)</f>
        <v>198.45</v>
      </c>
      <c r="E2118" s="1">
        <f ca="1">IFERROR(__xludf.DUMMYFUNCTION("""COMPUTED_VALUE"""),201.88)</f>
        <v>201.88</v>
      </c>
      <c r="F2118" s="1">
        <f ca="1">IFERROR(__xludf.DUMMYFUNCTION("""COMPUTED_VALUE"""),85906974)</f>
        <v>85906974</v>
      </c>
    </row>
    <row r="2119" spans="1:6" x14ac:dyDescent="0.2">
      <c r="A2119" s="2">
        <f ca="1">IFERROR(__xludf.DUMMYFUNCTION("""COMPUTED_VALUE"""),45352.6666666666)</f>
        <v>45352.666666666599</v>
      </c>
      <c r="B2119" s="1">
        <f ca="1">IFERROR(__xludf.DUMMYFUNCTION("""COMPUTED_VALUE"""),200.52)</f>
        <v>200.52</v>
      </c>
      <c r="C2119" s="1">
        <f ca="1">IFERROR(__xludf.DUMMYFUNCTION("""COMPUTED_VALUE"""),204.52)</f>
        <v>204.52</v>
      </c>
      <c r="D2119" s="1">
        <f ca="1">IFERROR(__xludf.DUMMYFUNCTION("""COMPUTED_VALUE"""),198.5)</f>
        <v>198.5</v>
      </c>
      <c r="E2119" s="1">
        <f ca="1">IFERROR(__xludf.DUMMYFUNCTION("""COMPUTED_VALUE"""),202.64)</f>
        <v>202.64</v>
      </c>
      <c r="F2119" s="1">
        <f ca="1">IFERROR(__xludf.DUMMYFUNCTION("""COMPUTED_VALUE"""),82243119)</f>
        <v>82243119</v>
      </c>
    </row>
    <row r="2120" spans="1:6" x14ac:dyDescent="0.2">
      <c r="A2120" s="2">
        <f ca="1">IFERROR(__xludf.DUMMYFUNCTION("""COMPUTED_VALUE"""),45355.6666666666)</f>
        <v>45355.666666666599</v>
      </c>
      <c r="B2120" s="1">
        <f ca="1">IFERROR(__xludf.DUMMYFUNCTION("""COMPUTED_VALUE"""),198.73)</f>
        <v>198.73</v>
      </c>
      <c r="C2120" s="1">
        <f ca="1">IFERROR(__xludf.DUMMYFUNCTION("""COMPUTED_VALUE"""),199.75)</f>
        <v>199.75</v>
      </c>
      <c r="D2120" s="1">
        <f ca="1">IFERROR(__xludf.DUMMYFUNCTION("""COMPUTED_VALUE"""),186.72)</f>
        <v>186.72</v>
      </c>
      <c r="E2120" s="1">
        <f ca="1">IFERROR(__xludf.DUMMYFUNCTION("""COMPUTED_VALUE"""),188.14)</f>
        <v>188.14</v>
      </c>
      <c r="F2120" s="1">
        <f ca="1">IFERROR(__xludf.DUMMYFUNCTION("""COMPUTED_VALUE"""),134334869)</f>
        <v>134334869</v>
      </c>
    </row>
    <row r="2121" spans="1:6" x14ac:dyDescent="0.2">
      <c r="A2121" s="2">
        <f ca="1">IFERROR(__xludf.DUMMYFUNCTION("""COMPUTED_VALUE"""),45356.6666666666)</f>
        <v>45356.666666666599</v>
      </c>
      <c r="B2121" s="1">
        <f ca="1">IFERROR(__xludf.DUMMYFUNCTION("""COMPUTED_VALUE"""),183.05)</f>
        <v>183.05</v>
      </c>
      <c r="C2121" s="1">
        <f ca="1">IFERROR(__xludf.DUMMYFUNCTION("""COMPUTED_VALUE"""),184.59)</f>
        <v>184.59</v>
      </c>
      <c r="D2121" s="1">
        <f ca="1">IFERROR(__xludf.DUMMYFUNCTION("""COMPUTED_VALUE"""),177.57)</f>
        <v>177.57</v>
      </c>
      <c r="E2121" s="1">
        <f ca="1">IFERROR(__xludf.DUMMYFUNCTION("""COMPUTED_VALUE"""),180.74)</f>
        <v>180.74</v>
      </c>
      <c r="F2121" s="1">
        <f ca="1">IFERROR(__xludf.DUMMYFUNCTION("""COMPUTED_VALUE"""),119660758)</f>
        <v>119660758</v>
      </c>
    </row>
    <row r="2122" spans="1:6" x14ac:dyDescent="0.2">
      <c r="A2122" s="2">
        <f ca="1">IFERROR(__xludf.DUMMYFUNCTION("""COMPUTED_VALUE"""),45357.6666666666)</f>
        <v>45357.666666666599</v>
      </c>
      <c r="B2122" s="1">
        <f ca="1">IFERROR(__xludf.DUMMYFUNCTION("""COMPUTED_VALUE"""),179.99)</f>
        <v>179.99</v>
      </c>
      <c r="C2122" s="1">
        <f ca="1">IFERROR(__xludf.DUMMYFUNCTION("""COMPUTED_VALUE"""),181.58)</f>
        <v>181.58</v>
      </c>
      <c r="D2122" s="1">
        <f ca="1">IFERROR(__xludf.DUMMYFUNCTION("""COMPUTED_VALUE"""),173.7)</f>
        <v>173.7</v>
      </c>
      <c r="E2122" s="1">
        <f ca="1">IFERROR(__xludf.DUMMYFUNCTION("""COMPUTED_VALUE"""),176.54)</f>
        <v>176.54</v>
      </c>
      <c r="F2122" s="1">
        <f ca="1">IFERROR(__xludf.DUMMYFUNCTION("""COMPUTED_VALUE"""),107920944)</f>
        <v>107920944</v>
      </c>
    </row>
    <row r="2123" spans="1:6" x14ac:dyDescent="0.2">
      <c r="A2123" s="2">
        <f ca="1">IFERROR(__xludf.DUMMYFUNCTION("""COMPUTED_VALUE"""),45358.6666666666)</f>
        <v>45358.666666666599</v>
      </c>
      <c r="B2123" s="1">
        <f ca="1">IFERROR(__xludf.DUMMYFUNCTION("""COMPUTED_VALUE"""),174.35)</f>
        <v>174.35</v>
      </c>
      <c r="C2123" s="1">
        <f ca="1">IFERROR(__xludf.DUMMYFUNCTION("""COMPUTED_VALUE"""),180.04)</f>
        <v>180.04</v>
      </c>
      <c r="D2123" s="1">
        <f ca="1">IFERROR(__xludf.DUMMYFUNCTION("""COMPUTED_VALUE"""),173.7)</f>
        <v>173.7</v>
      </c>
      <c r="E2123" s="1">
        <f ca="1">IFERROR(__xludf.DUMMYFUNCTION("""COMPUTED_VALUE"""),178.65)</f>
        <v>178.65</v>
      </c>
      <c r="F2123" s="1">
        <f ca="1">IFERROR(__xludf.DUMMYFUNCTION("""COMPUTED_VALUE"""),102129004)</f>
        <v>102129004</v>
      </c>
    </row>
    <row r="2124" spans="1:6" x14ac:dyDescent="0.2">
      <c r="A2124" s="2">
        <f ca="1">IFERROR(__xludf.DUMMYFUNCTION("""COMPUTED_VALUE"""),45359.6666666666)</f>
        <v>45359.666666666599</v>
      </c>
      <c r="B2124" s="1">
        <f ca="1">IFERROR(__xludf.DUMMYFUNCTION("""COMPUTED_VALUE"""),181.5)</f>
        <v>181.5</v>
      </c>
      <c r="C2124" s="1">
        <f ca="1">IFERROR(__xludf.DUMMYFUNCTION("""COMPUTED_VALUE"""),182.73)</f>
        <v>182.73</v>
      </c>
      <c r="D2124" s="1">
        <f ca="1">IFERROR(__xludf.DUMMYFUNCTION("""COMPUTED_VALUE"""),174.7)</f>
        <v>174.7</v>
      </c>
      <c r="E2124" s="1">
        <f ca="1">IFERROR(__xludf.DUMMYFUNCTION("""COMPUTED_VALUE"""),175.34)</f>
        <v>175.34</v>
      </c>
      <c r="F2124" s="1">
        <f ca="1">IFERROR(__xludf.DUMMYFUNCTION("""COMPUTED_VALUE"""),85544644)</f>
        <v>85544644</v>
      </c>
    </row>
    <row r="2125" spans="1:6" x14ac:dyDescent="0.2">
      <c r="A2125" s="2">
        <f ca="1">IFERROR(__xludf.DUMMYFUNCTION("""COMPUTED_VALUE"""),45362.6666666666)</f>
        <v>45362.666666666599</v>
      </c>
      <c r="B2125" s="1">
        <f ca="1">IFERROR(__xludf.DUMMYFUNCTION("""COMPUTED_VALUE"""),175.45)</f>
        <v>175.45</v>
      </c>
      <c r="C2125" s="1">
        <f ca="1">IFERROR(__xludf.DUMMYFUNCTION("""COMPUTED_VALUE"""),182.87)</f>
        <v>182.87</v>
      </c>
      <c r="D2125" s="1">
        <f ca="1">IFERROR(__xludf.DUMMYFUNCTION("""COMPUTED_VALUE"""),174.8)</f>
        <v>174.8</v>
      </c>
      <c r="E2125" s="1">
        <f ca="1">IFERROR(__xludf.DUMMYFUNCTION("""COMPUTED_VALUE"""),177.77)</f>
        <v>177.77</v>
      </c>
      <c r="F2125" s="1">
        <f ca="1">IFERROR(__xludf.DUMMYFUNCTION("""COMPUTED_VALUE"""),85391528)</f>
        <v>85391528</v>
      </c>
    </row>
    <row r="2126" spans="1:6" x14ac:dyDescent="0.2">
      <c r="A2126" s="2">
        <f ca="1">IFERROR(__xludf.DUMMYFUNCTION("""COMPUTED_VALUE"""),45363.6666666666)</f>
        <v>45363.666666666599</v>
      </c>
      <c r="B2126" s="1">
        <f ca="1">IFERROR(__xludf.DUMMYFUNCTION("""COMPUTED_VALUE"""),177.77)</f>
        <v>177.77</v>
      </c>
      <c r="C2126" s="1">
        <f ca="1">IFERROR(__xludf.DUMMYFUNCTION("""COMPUTED_VALUE"""),179.43)</f>
        <v>179.43</v>
      </c>
      <c r="D2126" s="1">
        <f ca="1">IFERROR(__xludf.DUMMYFUNCTION("""COMPUTED_VALUE"""),172.41)</f>
        <v>172.41</v>
      </c>
      <c r="E2126" s="1">
        <f ca="1">IFERROR(__xludf.DUMMYFUNCTION("""COMPUTED_VALUE"""),177.54)</f>
        <v>177.54</v>
      </c>
      <c r="F2126" s="1">
        <f ca="1">IFERROR(__xludf.DUMMYFUNCTION("""COMPUTED_VALUE"""),87391684)</f>
        <v>87391684</v>
      </c>
    </row>
    <row r="2127" spans="1:6" x14ac:dyDescent="0.2">
      <c r="A2127" s="2">
        <f ca="1">IFERROR(__xludf.DUMMYFUNCTION("""COMPUTED_VALUE"""),45364.6666666666)</f>
        <v>45364.666666666599</v>
      </c>
      <c r="B2127" s="1">
        <f ca="1">IFERROR(__xludf.DUMMYFUNCTION("""COMPUTED_VALUE"""),173.05)</f>
        <v>173.05</v>
      </c>
      <c r="C2127" s="1">
        <f ca="1">IFERROR(__xludf.DUMMYFUNCTION("""COMPUTED_VALUE"""),176.05)</f>
        <v>176.05</v>
      </c>
      <c r="D2127" s="1">
        <f ca="1">IFERROR(__xludf.DUMMYFUNCTION("""COMPUTED_VALUE"""),169.15)</f>
        <v>169.15</v>
      </c>
      <c r="E2127" s="1">
        <f ca="1">IFERROR(__xludf.DUMMYFUNCTION("""COMPUTED_VALUE"""),169.48)</f>
        <v>169.48</v>
      </c>
      <c r="F2127" s="1">
        <f ca="1">IFERROR(__xludf.DUMMYFUNCTION("""COMPUTED_VALUE"""),106524518)</f>
        <v>106524518</v>
      </c>
    </row>
    <row r="2128" spans="1:6" x14ac:dyDescent="0.2">
      <c r="A2128" s="2">
        <f ca="1">IFERROR(__xludf.DUMMYFUNCTION("""COMPUTED_VALUE"""),45365.6666666666)</f>
        <v>45365.666666666599</v>
      </c>
      <c r="B2128" s="1">
        <f ca="1">IFERROR(__xludf.DUMMYFUNCTION("""COMPUTED_VALUE"""),167.77)</f>
        <v>167.77</v>
      </c>
      <c r="C2128" s="1">
        <f ca="1">IFERROR(__xludf.DUMMYFUNCTION("""COMPUTED_VALUE"""),171.17)</f>
        <v>171.17</v>
      </c>
      <c r="D2128" s="1">
        <f ca="1">IFERROR(__xludf.DUMMYFUNCTION("""COMPUTED_VALUE"""),160.51)</f>
        <v>160.51</v>
      </c>
      <c r="E2128" s="1">
        <f ca="1">IFERROR(__xludf.DUMMYFUNCTION("""COMPUTED_VALUE"""),162.5)</f>
        <v>162.5</v>
      </c>
      <c r="F2128" s="1">
        <f ca="1">IFERROR(__xludf.DUMMYFUNCTION("""COMPUTED_VALUE"""),126325696)</f>
        <v>126325696</v>
      </c>
    </row>
    <row r="2129" spans="1:6" x14ac:dyDescent="0.2">
      <c r="A2129" s="2">
        <f ca="1">IFERROR(__xludf.DUMMYFUNCTION("""COMPUTED_VALUE"""),45366.6666666666)</f>
        <v>45366.666666666599</v>
      </c>
      <c r="B2129" s="1">
        <f ca="1">IFERROR(__xludf.DUMMYFUNCTION("""COMPUTED_VALUE"""),163.16)</f>
        <v>163.16</v>
      </c>
      <c r="C2129" s="1">
        <f ca="1">IFERROR(__xludf.DUMMYFUNCTION("""COMPUTED_VALUE"""),165.18)</f>
        <v>165.18</v>
      </c>
      <c r="D2129" s="1">
        <f ca="1">IFERROR(__xludf.DUMMYFUNCTION("""COMPUTED_VALUE"""),160.76)</f>
        <v>160.76</v>
      </c>
      <c r="E2129" s="1">
        <f ca="1">IFERROR(__xludf.DUMMYFUNCTION("""COMPUTED_VALUE"""),163.57)</f>
        <v>163.57</v>
      </c>
      <c r="F2129" s="1">
        <f ca="1">IFERROR(__xludf.DUMMYFUNCTION("""COMPUTED_VALUE"""),97146832)</f>
        <v>97146832</v>
      </c>
    </row>
    <row r="2130" spans="1:6" x14ac:dyDescent="0.2">
      <c r="A2130" s="2">
        <f ca="1">IFERROR(__xludf.DUMMYFUNCTION("""COMPUTED_VALUE"""),45369.6666666666)</f>
        <v>45369.666666666599</v>
      </c>
      <c r="B2130" s="1">
        <f ca="1">IFERROR(__xludf.DUMMYFUNCTION("""COMPUTED_VALUE"""),170.02)</f>
        <v>170.02</v>
      </c>
      <c r="C2130" s="1">
        <f ca="1">IFERROR(__xludf.DUMMYFUNCTION("""COMPUTED_VALUE"""),174.72)</f>
        <v>174.72</v>
      </c>
      <c r="D2130" s="1">
        <f ca="1">IFERROR(__xludf.DUMMYFUNCTION("""COMPUTED_VALUE"""),165.9)</f>
        <v>165.9</v>
      </c>
      <c r="E2130" s="1">
        <f ca="1">IFERROR(__xludf.DUMMYFUNCTION("""COMPUTED_VALUE"""),173.8)</f>
        <v>173.8</v>
      </c>
      <c r="F2130" s="1">
        <f ca="1">IFERROR(__xludf.DUMMYFUNCTION("""COMPUTED_VALUE"""),108214358)</f>
        <v>108214358</v>
      </c>
    </row>
    <row r="2131" spans="1:6" x14ac:dyDescent="0.2">
      <c r="A2131" s="2">
        <f ca="1">IFERROR(__xludf.DUMMYFUNCTION("""COMPUTED_VALUE"""),45370.6666666666)</f>
        <v>45370.666666666599</v>
      </c>
      <c r="B2131" s="1">
        <f ca="1">IFERROR(__xludf.DUMMYFUNCTION("""COMPUTED_VALUE"""),172.36)</f>
        <v>172.36</v>
      </c>
      <c r="C2131" s="1">
        <f ca="1">IFERROR(__xludf.DUMMYFUNCTION("""COMPUTED_VALUE"""),172.82)</f>
        <v>172.82</v>
      </c>
      <c r="D2131" s="1">
        <f ca="1">IFERROR(__xludf.DUMMYFUNCTION("""COMPUTED_VALUE"""),167.42)</f>
        <v>167.42</v>
      </c>
      <c r="E2131" s="1">
        <f ca="1">IFERROR(__xludf.DUMMYFUNCTION("""COMPUTED_VALUE"""),171.32)</f>
        <v>171.32</v>
      </c>
      <c r="F2131" s="1">
        <f ca="1">IFERROR(__xludf.DUMMYFUNCTION("""COMPUTED_VALUE"""),77271428)</f>
        <v>77271428</v>
      </c>
    </row>
    <row r="2132" spans="1:6" x14ac:dyDescent="0.2">
      <c r="A2132" s="2">
        <f ca="1">IFERROR(__xludf.DUMMYFUNCTION("""COMPUTED_VALUE"""),45371.6666666666)</f>
        <v>45371.666666666599</v>
      </c>
      <c r="B2132" s="1">
        <f ca="1">IFERROR(__xludf.DUMMYFUNCTION("""COMPUTED_VALUE"""),173)</f>
        <v>173</v>
      </c>
      <c r="C2132" s="1">
        <f ca="1">IFERROR(__xludf.DUMMYFUNCTION("""COMPUTED_VALUE"""),176.25)</f>
        <v>176.25</v>
      </c>
      <c r="D2132" s="1">
        <f ca="1">IFERROR(__xludf.DUMMYFUNCTION("""COMPUTED_VALUE"""),170.82)</f>
        <v>170.82</v>
      </c>
      <c r="E2132" s="1">
        <f ca="1">IFERROR(__xludf.DUMMYFUNCTION("""COMPUTED_VALUE"""),175.66)</f>
        <v>175.66</v>
      </c>
      <c r="F2132" s="1">
        <f ca="1">IFERROR(__xludf.DUMMYFUNCTION("""COMPUTED_VALUE"""),83846726)</f>
        <v>83846726</v>
      </c>
    </row>
    <row r="2133" spans="1:6" x14ac:dyDescent="0.2">
      <c r="A2133" s="2">
        <f ca="1">IFERROR(__xludf.DUMMYFUNCTION("""COMPUTED_VALUE"""),45372.6666666666)</f>
        <v>45372.666666666599</v>
      </c>
      <c r="B2133" s="1">
        <f ca="1">IFERROR(__xludf.DUMMYFUNCTION("""COMPUTED_VALUE"""),176.39)</f>
        <v>176.39</v>
      </c>
      <c r="C2133" s="1">
        <f ca="1">IFERROR(__xludf.DUMMYFUNCTION("""COMPUTED_VALUE"""),178.18)</f>
        <v>178.18</v>
      </c>
      <c r="D2133" s="1">
        <f ca="1">IFERROR(__xludf.DUMMYFUNCTION("""COMPUTED_VALUE"""),171.8)</f>
        <v>171.8</v>
      </c>
      <c r="E2133" s="1">
        <f ca="1">IFERROR(__xludf.DUMMYFUNCTION("""COMPUTED_VALUE"""),172.82)</f>
        <v>172.82</v>
      </c>
      <c r="F2133" s="1">
        <f ca="1">IFERROR(__xludf.DUMMYFUNCTION("""COMPUTED_VALUE"""),73178014)</f>
        <v>73178014</v>
      </c>
    </row>
    <row r="2134" spans="1:6" x14ac:dyDescent="0.2">
      <c r="A2134" s="2">
        <f ca="1">IFERROR(__xludf.DUMMYFUNCTION("""COMPUTED_VALUE"""),45373.6666666666)</f>
        <v>45373.666666666599</v>
      </c>
      <c r="B2134" s="1">
        <f ca="1">IFERROR(__xludf.DUMMYFUNCTION("""COMPUTED_VALUE"""),166.69)</f>
        <v>166.69</v>
      </c>
      <c r="C2134" s="1">
        <f ca="1">IFERROR(__xludf.DUMMYFUNCTION("""COMPUTED_VALUE"""),171.2)</f>
        <v>171.2</v>
      </c>
      <c r="D2134" s="1">
        <f ca="1">IFERROR(__xludf.DUMMYFUNCTION("""COMPUTED_VALUE"""),166.3)</f>
        <v>166.3</v>
      </c>
      <c r="E2134" s="1">
        <f ca="1">IFERROR(__xludf.DUMMYFUNCTION("""COMPUTED_VALUE"""),170.83)</f>
        <v>170.83</v>
      </c>
      <c r="F2134" s="1">
        <f ca="1">IFERROR(__xludf.DUMMYFUNCTION("""COMPUTED_VALUE"""),75580637)</f>
        <v>75580637</v>
      </c>
    </row>
    <row r="2135" spans="1:6" x14ac:dyDescent="0.2">
      <c r="A2135" s="2">
        <f ca="1">IFERROR(__xludf.DUMMYFUNCTION("""COMPUTED_VALUE"""),45376.6666666666)</f>
        <v>45376.666666666599</v>
      </c>
      <c r="B2135" s="1">
        <f ca="1">IFERROR(__xludf.DUMMYFUNCTION("""COMPUTED_VALUE"""),168.76)</f>
        <v>168.76</v>
      </c>
      <c r="C2135" s="1">
        <f ca="1">IFERROR(__xludf.DUMMYFUNCTION("""COMPUTED_VALUE"""),175.24)</f>
        <v>175.24</v>
      </c>
      <c r="D2135" s="1">
        <f ca="1">IFERROR(__xludf.DUMMYFUNCTION("""COMPUTED_VALUE"""),168.73)</f>
        <v>168.73</v>
      </c>
      <c r="E2135" s="1">
        <f ca="1">IFERROR(__xludf.DUMMYFUNCTION("""COMPUTED_VALUE"""),172.63)</f>
        <v>172.63</v>
      </c>
      <c r="F2135" s="1">
        <f ca="1">IFERROR(__xludf.DUMMYFUNCTION("""COMPUTED_VALUE"""),74228615)</f>
        <v>74228615</v>
      </c>
    </row>
    <row r="2136" spans="1:6" x14ac:dyDescent="0.2">
      <c r="A2136" s="2">
        <f ca="1">IFERROR(__xludf.DUMMYFUNCTION("""COMPUTED_VALUE"""),45377.6666666666)</f>
        <v>45377.666666666599</v>
      </c>
      <c r="B2136" s="1">
        <f ca="1">IFERROR(__xludf.DUMMYFUNCTION("""COMPUTED_VALUE"""),178.58)</f>
        <v>178.58</v>
      </c>
      <c r="C2136" s="1">
        <f ca="1">IFERROR(__xludf.DUMMYFUNCTION("""COMPUTED_VALUE"""),184.25)</f>
        <v>184.25</v>
      </c>
      <c r="D2136" s="1">
        <f ca="1">IFERROR(__xludf.DUMMYFUNCTION("""COMPUTED_VALUE"""),177.38)</f>
        <v>177.38</v>
      </c>
      <c r="E2136" s="1">
        <f ca="1">IFERROR(__xludf.DUMMYFUNCTION("""COMPUTED_VALUE"""),177.67)</f>
        <v>177.67</v>
      </c>
      <c r="F2136" s="1">
        <f ca="1">IFERROR(__xludf.DUMMYFUNCTION("""COMPUTED_VALUE"""),113186227)</f>
        <v>113186227</v>
      </c>
    </row>
    <row r="2137" spans="1:6" x14ac:dyDescent="0.2">
      <c r="A2137" s="2">
        <f ca="1">IFERROR(__xludf.DUMMYFUNCTION("""COMPUTED_VALUE"""),45378.6666666666)</f>
        <v>45378.666666666599</v>
      </c>
      <c r="B2137" s="1">
        <f ca="1">IFERROR(__xludf.DUMMYFUNCTION("""COMPUTED_VALUE"""),181.41)</f>
        <v>181.41</v>
      </c>
      <c r="C2137" s="1">
        <f ca="1">IFERROR(__xludf.DUMMYFUNCTION("""COMPUTED_VALUE"""),181.91)</f>
        <v>181.91</v>
      </c>
      <c r="D2137" s="1">
        <f ca="1">IFERROR(__xludf.DUMMYFUNCTION("""COMPUTED_VALUE"""),176)</f>
        <v>176</v>
      </c>
      <c r="E2137" s="1">
        <f ca="1">IFERROR(__xludf.DUMMYFUNCTION("""COMPUTED_VALUE"""),179.83)</f>
        <v>179.83</v>
      </c>
      <c r="F2137" s="1">
        <f ca="1">IFERROR(__xludf.DUMMYFUNCTION("""COMPUTED_VALUE"""),81804043)</f>
        <v>81804043</v>
      </c>
    </row>
    <row r="2138" spans="1:6" x14ac:dyDescent="0.2">
      <c r="A2138" s="2">
        <f ca="1">IFERROR(__xludf.DUMMYFUNCTION("""COMPUTED_VALUE"""),45379.6666666666)</f>
        <v>45379.666666666599</v>
      </c>
      <c r="B2138" s="1">
        <f ca="1">IFERROR(__xludf.DUMMYFUNCTION("""COMPUTED_VALUE"""),177.45)</f>
        <v>177.45</v>
      </c>
      <c r="C2138" s="1">
        <f ca="1">IFERROR(__xludf.DUMMYFUNCTION("""COMPUTED_VALUE"""),179.57)</f>
        <v>179.57</v>
      </c>
      <c r="D2138" s="1">
        <f ca="1">IFERROR(__xludf.DUMMYFUNCTION("""COMPUTED_VALUE"""),175.3)</f>
        <v>175.3</v>
      </c>
      <c r="E2138" s="1">
        <f ca="1">IFERROR(__xludf.DUMMYFUNCTION("""COMPUTED_VALUE"""),175.79)</f>
        <v>175.79</v>
      </c>
      <c r="F2138" s="1">
        <f ca="1">IFERROR(__xludf.DUMMYFUNCTION("""COMPUTED_VALUE"""),77654838)</f>
        <v>77654838</v>
      </c>
    </row>
    <row r="2139" spans="1:6" x14ac:dyDescent="0.2">
      <c r="A2139" s="2">
        <f ca="1">IFERROR(__xludf.DUMMYFUNCTION("""COMPUTED_VALUE"""),45383.6666666666)</f>
        <v>45383.666666666599</v>
      </c>
      <c r="B2139" s="1">
        <f ca="1">IFERROR(__xludf.DUMMYFUNCTION("""COMPUTED_VALUE"""),176.17)</f>
        <v>176.17</v>
      </c>
      <c r="C2139" s="1">
        <f ca="1">IFERROR(__xludf.DUMMYFUNCTION("""COMPUTED_VALUE"""),176.75)</f>
        <v>176.75</v>
      </c>
      <c r="D2139" s="1">
        <f ca="1">IFERROR(__xludf.DUMMYFUNCTION("""COMPUTED_VALUE"""),170.21)</f>
        <v>170.21</v>
      </c>
      <c r="E2139" s="1">
        <f ca="1">IFERROR(__xludf.DUMMYFUNCTION("""COMPUTED_VALUE"""),175.22)</f>
        <v>175.22</v>
      </c>
      <c r="F2139" s="1">
        <f ca="1">IFERROR(__xludf.DUMMYFUNCTION("""COMPUTED_VALUE"""),81562127)</f>
        <v>81562127</v>
      </c>
    </row>
    <row r="2140" spans="1:6" x14ac:dyDescent="0.2">
      <c r="A2140" s="2">
        <f ca="1">IFERROR(__xludf.DUMMYFUNCTION("""COMPUTED_VALUE"""),45384.6666666666)</f>
        <v>45384.666666666599</v>
      </c>
      <c r="B2140" s="1">
        <f ca="1">IFERROR(__xludf.DUMMYFUNCTION("""COMPUTED_VALUE"""),164.75)</f>
        <v>164.75</v>
      </c>
      <c r="C2140" s="1">
        <f ca="1">IFERROR(__xludf.DUMMYFUNCTION("""COMPUTED_VALUE"""),167.69)</f>
        <v>167.69</v>
      </c>
      <c r="D2140" s="1">
        <f ca="1">IFERROR(__xludf.DUMMYFUNCTION("""COMPUTED_VALUE"""),163.43)</f>
        <v>163.43</v>
      </c>
      <c r="E2140" s="1">
        <f ca="1">IFERROR(__xludf.DUMMYFUNCTION("""COMPUTED_VALUE"""),166.63)</f>
        <v>166.63</v>
      </c>
      <c r="F2140" s="1">
        <f ca="1">IFERROR(__xludf.DUMMYFUNCTION("""COMPUTED_VALUE"""),116650594)</f>
        <v>116650594</v>
      </c>
    </row>
    <row r="2141" spans="1:6" x14ac:dyDescent="0.2">
      <c r="A2141" s="2">
        <f ca="1">IFERROR(__xludf.DUMMYFUNCTION("""COMPUTED_VALUE"""),45385.6666666666)</f>
        <v>45385.666666666599</v>
      </c>
      <c r="B2141" s="1">
        <f ca="1">IFERROR(__xludf.DUMMYFUNCTION("""COMPUTED_VALUE"""),164.02)</f>
        <v>164.02</v>
      </c>
      <c r="C2141" s="1">
        <f ca="1">IFERROR(__xludf.DUMMYFUNCTION("""COMPUTED_VALUE"""),168.82)</f>
        <v>168.82</v>
      </c>
      <c r="D2141" s="1">
        <f ca="1">IFERROR(__xludf.DUMMYFUNCTION("""COMPUTED_VALUE"""),163.28)</f>
        <v>163.28</v>
      </c>
      <c r="E2141" s="1">
        <f ca="1">IFERROR(__xludf.DUMMYFUNCTION("""COMPUTED_VALUE"""),168.38)</f>
        <v>168.38</v>
      </c>
      <c r="F2141" s="1">
        <f ca="1">IFERROR(__xludf.DUMMYFUNCTION("""COMPUTED_VALUE"""),82950141)</f>
        <v>82950141</v>
      </c>
    </row>
    <row r="2142" spans="1:6" x14ac:dyDescent="0.2">
      <c r="A2142" s="2">
        <f ca="1">IFERROR(__xludf.DUMMYFUNCTION("""COMPUTED_VALUE"""),45386.6666666666)</f>
        <v>45386.666666666599</v>
      </c>
      <c r="B2142" s="1">
        <f ca="1">IFERROR(__xludf.DUMMYFUNCTION("""COMPUTED_VALUE"""),170.07)</f>
        <v>170.07</v>
      </c>
      <c r="C2142" s="1">
        <f ca="1">IFERROR(__xludf.DUMMYFUNCTION("""COMPUTED_VALUE"""),177.19)</f>
        <v>177.19</v>
      </c>
      <c r="D2142" s="1">
        <f ca="1">IFERROR(__xludf.DUMMYFUNCTION("""COMPUTED_VALUE"""),168.01)</f>
        <v>168.01</v>
      </c>
      <c r="E2142" s="1">
        <f ca="1">IFERROR(__xludf.DUMMYFUNCTION("""COMPUTED_VALUE"""),171.11)</f>
        <v>171.11</v>
      </c>
      <c r="F2142" s="1">
        <f ca="1">IFERROR(__xludf.DUMMYFUNCTION("""COMPUTED_VALUE"""),123161960)</f>
        <v>123161960</v>
      </c>
    </row>
    <row r="2143" spans="1:6" x14ac:dyDescent="0.2">
      <c r="A2143" s="2">
        <f ca="1">IFERROR(__xludf.DUMMYFUNCTION("""COMPUTED_VALUE"""),45387.6666666666)</f>
        <v>45387.666666666599</v>
      </c>
      <c r="B2143" s="1">
        <f ca="1">IFERROR(__xludf.DUMMYFUNCTION("""COMPUTED_VALUE"""),169.08)</f>
        <v>169.08</v>
      </c>
      <c r="C2143" s="1">
        <f ca="1">IFERROR(__xludf.DUMMYFUNCTION("""COMPUTED_VALUE"""),170.86)</f>
        <v>170.86</v>
      </c>
      <c r="D2143" s="1">
        <f ca="1">IFERROR(__xludf.DUMMYFUNCTION("""COMPUTED_VALUE"""),160.51)</f>
        <v>160.51</v>
      </c>
      <c r="E2143" s="1">
        <f ca="1">IFERROR(__xludf.DUMMYFUNCTION("""COMPUTED_VALUE"""),164.9)</f>
        <v>164.9</v>
      </c>
      <c r="F2143" s="1">
        <f ca="1">IFERROR(__xludf.DUMMYFUNCTION("""COMPUTED_VALUE"""),143157603)</f>
        <v>143157603</v>
      </c>
    </row>
    <row r="2144" spans="1:6" x14ac:dyDescent="0.2">
      <c r="A2144" s="2">
        <f ca="1">IFERROR(__xludf.DUMMYFUNCTION("""COMPUTED_VALUE"""),45390.6666666666)</f>
        <v>45390.666666666599</v>
      </c>
      <c r="B2144" s="1">
        <f ca="1">IFERROR(__xludf.DUMMYFUNCTION("""COMPUTED_VALUE"""),169.34)</f>
        <v>169.34</v>
      </c>
      <c r="C2144" s="1">
        <f ca="1">IFERROR(__xludf.DUMMYFUNCTION("""COMPUTED_VALUE"""),174.5)</f>
        <v>174.5</v>
      </c>
      <c r="D2144" s="1">
        <f ca="1">IFERROR(__xludf.DUMMYFUNCTION("""COMPUTED_VALUE"""),167.79)</f>
        <v>167.79</v>
      </c>
      <c r="E2144" s="1">
        <f ca="1">IFERROR(__xludf.DUMMYFUNCTION("""COMPUTED_VALUE"""),172.98)</f>
        <v>172.98</v>
      </c>
      <c r="F2144" s="1">
        <f ca="1">IFERROR(__xludf.DUMMYFUNCTION("""COMPUTED_VALUE"""),104423320)</f>
        <v>104423320</v>
      </c>
    </row>
    <row r="2145" spans="1:6" x14ac:dyDescent="0.2">
      <c r="A2145" s="2">
        <f ca="1">IFERROR(__xludf.DUMMYFUNCTION("""COMPUTED_VALUE"""),45391.6666666666)</f>
        <v>45391.666666666599</v>
      </c>
      <c r="B2145" s="1">
        <f ca="1">IFERROR(__xludf.DUMMYFUNCTION("""COMPUTED_VALUE"""),172.91)</f>
        <v>172.91</v>
      </c>
      <c r="C2145" s="1">
        <f ca="1">IFERROR(__xludf.DUMMYFUNCTION("""COMPUTED_VALUE"""),179.22)</f>
        <v>179.22</v>
      </c>
      <c r="D2145" s="1">
        <f ca="1">IFERROR(__xludf.DUMMYFUNCTION("""COMPUTED_VALUE"""),171.92)</f>
        <v>171.92</v>
      </c>
      <c r="E2145" s="1">
        <f ca="1">IFERROR(__xludf.DUMMYFUNCTION("""COMPUTED_VALUE"""),176.88)</f>
        <v>176.88</v>
      </c>
      <c r="F2145" s="1">
        <f ca="1">IFERROR(__xludf.DUMMYFUNCTION("""COMPUTED_VALUE"""),103232675)</f>
        <v>103232675</v>
      </c>
    </row>
    <row r="2146" spans="1:6" x14ac:dyDescent="0.2">
      <c r="A2146" s="2">
        <f ca="1">IFERROR(__xludf.DUMMYFUNCTION("""COMPUTED_VALUE"""),45392.6666666666)</f>
        <v>45392.666666666599</v>
      </c>
      <c r="B2146" s="1">
        <f ca="1">IFERROR(__xludf.DUMMYFUNCTION("""COMPUTED_VALUE"""),173.04)</f>
        <v>173.04</v>
      </c>
      <c r="C2146" s="1">
        <f ca="1">IFERROR(__xludf.DUMMYFUNCTION("""COMPUTED_VALUE"""),174.93)</f>
        <v>174.93</v>
      </c>
      <c r="D2146" s="1">
        <f ca="1">IFERROR(__xludf.DUMMYFUNCTION("""COMPUTED_VALUE"""),170.01)</f>
        <v>170.01</v>
      </c>
      <c r="E2146" s="1">
        <f ca="1">IFERROR(__xludf.DUMMYFUNCTION("""COMPUTED_VALUE"""),171.76)</f>
        <v>171.76</v>
      </c>
      <c r="F2146" s="1">
        <f ca="1">IFERROR(__xludf.DUMMYFUNCTION("""COMPUTED_VALUE"""),84532407)</f>
        <v>84532407</v>
      </c>
    </row>
    <row r="2147" spans="1:6" x14ac:dyDescent="0.2">
      <c r="A2147" s="2">
        <f ca="1">IFERROR(__xludf.DUMMYFUNCTION("""COMPUTED_VALUE"""),45393.6666666666)</f>
        <v>45393.666666666599</v>
      </c>
      <c r="B2147" s="1">
        <f ca="1">IFERROR(__xludf.DUMMYFUNCTION("""COMPUTED_VALUE"""),172.55)</f>
        <v>172.55</v>
      </c>
      <c r="C2147" s="1">
        <f ca="1">IFERROR(__xludf.DUMMYFUNCTION("""COMPUTED_VALUE"""),175.88)</f>
        <v>175.88</v>
      </c>
      <c r="D2147" s="1">
        <f ca="1">IFERROR(__xludf.DUMMYFUNCTION("""COMPUTED_VALUE"""),168.51)</f>
        <v>168.51</v>
      </c>
      <c r="E2147" s="1">
        <f ca="1">IFERROR(__xludf.DUMMYFUNCTION("""COMPUTED_VALUE"""),174.6)</f>
        <v>174.6</v>
      </c>
      <c r="F2147" s="1">
        <f ca="1">IFERROR(__xludf.DUMMYFUNCTION("""COMPUTED_VALUE"""),94515987)</f>
        <v>94515987</v>
      </c>
    </row>
    <row r="2148" spans="1:6" x14ac:dyDescent="0.2">
      <c r="A2148" s="2">
        <f ca="1">IFERROR(__xludf.DUMMYFUNCTION("""COMPUTED_VALUE"""),45394.6666666666)</f>
        <v>45394.666666666599</v>
      </c>
      <c r="B2148" s="1">
        <f ca="1">IFERROR(__xludf.DUMMYFUNCTION("""COMPUTED_VALUE"""),172.34)</f>
        <v>172.34</v>
      </c>
      <c r="C2148" s="1">
        <f ca="1">IFERROR(__xludf.DUMMYFUNCTION("""COMPUTED_VALUE"""),173.81)</f>
        <v>173.81</v>
      </c>
      <c r="D2148" s="1">
        <f ca="1">IFERROR(__xludf.DUMMYFUNCTION("""COMPUTED_VALUE"""),170.36)</f>
        <v>170.36</v>
      </c>
      <c r="E2148" s="1">
        <f ca="1">IFERROR(__xludf.DUMMYFUNCTION("""COMPUTED_VALUE"""),171.05)</f>
        <v>171.05</v>
      </c>
      <c r="F2148" s="1">
        <f ca="1">IFERROR(__xludf.DUMMYFUNCTION("""COMPUTED_VALUE"""),64722669)</f>
        <v>64722669</v>
      </c>
    </row>
    <row r="2149" spans="1:6" x14ac:dyDescent="0.2">
      <c r="A2149" s="2">
        <f ca="1">IFERROR(__xludf.DUMMYFUNCTION("""COMPUTED_VALUE"""),45397.6666666666)</f>
        <v>45397.666666666599</v>
      </c>
      <c r="B2149" s="1">
        <f ca="1">IFERROR(__xludf.DUMMYFUNCTION("""COMPUTED_VALUE"""),170.24)</f>
        <v>170.24</v>
      </c>
      <c r="C2149" s="1">
        <f ca="1">IFERROR(__xludf.DUMMYFUNCTION("""COMPUTED_VALUE"""),170.69)</f>
        <v>170.69</v>
      </c>
      <c r="D2149" s="1">
        <f ca="1">IFERROR(__xludf.DUMMYFUNCTION("""COMPUTED_VALUE"""),161.38)</f>
        <v>161.38</v>
      </c>
      <c r="E2149" s="1">
        <f ca="1">IFERROR(__xludf.DUMMYFUNCTION("""COMPUTED_VALUE"""),161.48)</f>
        <v>161.47999999999999</v>
      </c>
      <c r="F2149" s="1">
        <f ca="1">IFERROR(__xludf.DUMMYFUNCTION("""COMPUTED_VALUE"""),100245310)</f>
        <v>100245310</v>
      </c>
    </row>
    <row r="2150" spans="1:6" x14ac:dyDescent="0.2">
      <c r="A2150" s="2">
        <f ca="1">IFERROR(__xludf.DUMMYFUNCTION("""COMPUTED_VALUE"""),45398.6666666666)</f>
        <v>45398.666666666599</v>
      </c>
      <c r="B2150" s="1">
        <f ca="1">IFERROR(__xludf.DUMMYFUNCTION("""COMPUTED_VALUE"""),156.74)</f>
        <v>156.74</v>
      </c>
      <c r="C2150" s="1">
        <f ca="1">IFERROR(__xludf.DUMMYFUNCTION("""COMPUTED_VALUE"""),158.19)</f>
        <v>158.19</v>
      </c>
      <c r="D2150" s="1">
        <f ca="1">IFERROR(__xludf.DUMMYFUNCTION("""COMPUTED_VALUE"""),153.75)</f>
        <v>153.75</v>
      </c>
      <c r="E2150" s="1">
        <f ca="1">IFERROR(__xludf.DUMMYFUNCTION("""COMPUTED_VALUE"""),157.11)</f>
        <v>157.11000000000001</v>
      </c>
      <c r="F2150" s="1">
        <f ca="1">IFERROR(__xludf.DUMMYFUNCTION("""COMPUTED_VALUE"""),96999956)</f>
        <v>96999956</v>
      </c>
    </row>
    <row r="2151" spans="1:6" x14ac:dyDescent="0.2">
      <c r="A2151" s="2">
        <f ca="1">IFERROR(__xludf.DUMMYFUNCTION("""COMPUTED_VALUE"""),45399.6666666666)</f>
        <v>45399.666666666599</v>
      </c>
      <c r="B2151" s="1">
        <f ca="1">IFERROR(__xludf.DUMMYFUNCTION("""COMPUTED_VALUE"""),157.64)</f>
        <v>157.63999999999999</v>
      </c>
      <c r="C2151" s="1">
        <f ca="1">IFERROR(__xludf.DUMMYFUNCTION("""COMPUTED_VALUE"""),158.33)</f>
        <v>158.33000000000001</v>
      </c>
      <c r="D2151" s="1">
        <f ca="1">IFERROR(__xludf.DUMMYFUNCTION("""COMPUTED_VALUE"""),153.78)</f>
        <v>153.78</v>
      </c>
      <c r="E2151" s="1">
        <f ca="1">IFERROR(__xludf.DUMMYFUNCTION("""COMPUTED_VALUE"""),155.45)</f>
        <v>155.44999999999999</v>
      </c>
      <c r="F2151" s="1">
        <f ca="1">IFERROR(__xludf.DUMMYFUNCTION("""COMPUTED_VALUE"""),82439718)</f>
        <v>82439718</v>
      </c>
    </row>
    <row r="2152" spans="1:6" x14ac:dyDescent="0.2">
      <c r="A2152" s="2">
        <f ca="1">IFERROR(__xludf.DUMMYFUNCTION("""COMPUTED_VALUE"""),45400.6666666666)</f>
        <v>45400.666666666599</v>
      </c>
      <c r="B2152" s="1">
        <f ca="1">IFERROR(__xludf.DUMMYFUNCTION("""COMPUTED_VALUE"""),151.25)</f>
        <v>151.25</v>
      </c>
      <c r="C2152" s="1">
        <f ca="1">IFERROR(__xludf.DUMMYFUNCTION("""COMPUTED_VALUE"""),152.2)</f>
        <v>152.19999999999999</v>
      </c>
      <c r="D2152" s="1">
        <f ca="1">IFERROR(__xludf.DUMMYFUNCTION("""COMPUTED_VALUE"""),148.7)</f>
        <v>148.69999999999999</v>
      </c>
      <c r="E2152" s="1">
        <f ca="1">IFERROR(__xludf.DUMMYFUNCTION("""COMPUTED_VALUE"""),149.93)</f>
        <v>149.93</v>
      </c>
      <c r="F2152" s="1">
        <f ca="1">IFERROR(__xludf.DUMMYFUNCTION("""COMPUTED_VALUE"""),96098830)</f>
        <v>96098830</v>
      </c>
    </row>
    <row r="2153" spans="1:6" x14ac:dyDescent="0.2">
      <c r="A2153" s="2">
        <f ca="1">IFERROR(__xludf.DUMMYFUNCTION("""COMPUTED_VALUE"""),45401.6666666666)</f>
        <v>45401.666666666599</v>
      </c>
      <c r="B2153" s="1">
        <f ca="1">IFERROR(__xludf.DUMMYFUNCTION("""COMPUTED_VALUE"""),148.97)</f>
        <v>148.97</v>
      </c>
      <c r="C2153" s="1">
        <f ca="1">IFERROR(__xludf.DUMMYFUNCTION("""COMPUTED_VALUE"""),150.94)</f>
        <v>150.94</v>
      </c>
      <c r="D2153" s="1">
        <f ca="1">IFERROR(__xludf.DUMMYFUNCTION("""COMPUTED_VALUE"""),146.22)</f>
        <v>146.22</v>
      </c>
      <c r="E2153" s="1">
        <f ca="1">IFERROR(__xludf.DUMMYFUNCTION("""COMPUTED_VALUE"""),147.05)</f>
        <v>147.05000000000001</v>
      </c>
      <c r="F2153" s="1">
        <f ca="1">IFERROR(__xludf.DUMMYFUNCTION("""COMPUTED_VALUE"""),87074500)</f>
        <v>87074500</v>
      </c>
    </row>
    <row r="2154" spans="1:6" x14ac:dyDescent="0.2">
      <c r="A2154" s="2">
        <f ca="1">IFERROR(__xludf.DUMMYFUNCTION("""COMPUTED_VALUE"""),45404.6666666666)</f>
        <v>45404.666666666599</v>
      </c>
      <c r="B2154" s="1">
        <f ca="1">IFERROR(__xludf.DUMMYFUNCTION("""COMPUTED_VALUE"""),140.56)</f>
        <v>140.56</v>
      </c>
      <c r="C2154" s="1">
        <f ca="1">IFERROR(__xludf.DUMMYFUNCTION("""COMPUTED_VALUE"""),144.44)</f>
        <v>144.44</v>
      </c>
      <c r="D2154" s="1">
        <f ca="1">IFERROR(__xludf.DUMMYFUNCTION("""COMPUTED_VALUE"""),138.8)</f>
        <v>138.80000000000001</v>
      </c>
      <c r="E2154" s="1">
        <f ca="1">IFERROR(__xludf.DUMMYFUNCTION("""COMPUTED_VALUE"""),142.05)</f>
        <v>142.05000000000001</v>
      </c>
      <c r="F2154" s="1">
        <f ca="1">IFERROR(__xludf.DUMMYFUNCTION("""COMPUTED_VALUE"""),107097564)</f>
        <v>107097564</v>
      </c>
    </row>
    <row r="2155" spans="1:6" x14ac:dyDescent="0.2">
      <c r="A2155" s="2">
        <f ca="1">IFERROR(__xludf.DUMMYFUNCTION("""COMPUTED_VALUE"""),45405.6666666666)</f>
        <v>45405.666666666599</v>
      </c>
      <c r="B2155" s="1">
        <f ca="1">IFERROR(__xludf.DUMMYFUNCTION("""COMPUTED_VALUE"""),143.33)</f>
        <v>143.33000000000001</v>
      </c>
      <c r="C2155" s="1">
        <f ca="1">IFERROR(__xludf.DUMMYFUNCTION("""COMPUTED_VALUE"""),147.26)</f>
        <v>147.26</v>
      </c>
      <c r="D2155" s="1">
        <f ca="1">IFERROR(__xludf.DUMMYFUNCTION("""COMPUTED_VALUE"""),141.11)</f>
        <v>141.11000000000001</v>
      </c>
      <c r="E2155" s="1">
        <f ca="1">IFERROR(__xludf.DUMMYFUNCTION("""COMPUTED_VALUE"""),144.68)</f>
        <v>144.68</v>
      </c>
      <c r="F2155" s="1">
        <f ca="1">IFERROR(__xludf.DUMMYFUNCTION("""COMPUTED_VALUE"""),124545104)</f>
        <v>124545104</v>
      </c>
    </row>
    <row r="2156" spans="1:6" x14ac:dyDescent="0.2">
      <c r="A2156" s="2">
        <f ca="1">IFERROR(__xludf.DUMMYFUNCTION("""COMPUTED_VALUE"""),45406.6666666666)</f>
        <v>45406.666666666599</v>
      </c>
      <c r="B2156" s="1">
        <f ca="1">IFERROR(__xludf.DUMMYFUNCTION("""COMPUTED_VALUE"""),162.84)</f>
        <v>162.84</v>
      </c>
      <c r="C2156" s="1">
        <f ca="1">IFERROR(__xludf.DUMMYFUNCTION("""COMPUTED_VALUE"""),167.97)</f>
        <v>167.97</v>
      </c>
      <c r="D2156" s="1">
        <f ca="1">IFERROR(__xludf.DUMMYFUNCTION("""COMPUTED_VALUE"""),157.51)</f>
        <v>157.51</v>
      </c>
      <c r="E2156" s="1">
        <f ca="1">IFERROR(__xludf.DUMMYFUNCTION("""COMPUTED_VALUE"""),162.13)</f>
        <v>162.13</v>
      </c>
      <c r="F2156" s="1">
        <f ca="1">IFERROR(__xludf.DUMMYFUNCTION("""COMPUTED_VALUE"""),181178020)</f>
        <v>181178020</v>
      </c>
    </row>
    <row r="2157" spans="1:6" x14ac:dyDescent="0.2">
      <c r="A2157" s="2">
        <f ca="1">IFERROR(__xludf.DUMMYFUNCTION("""COMPUTED_VALUE"""),45407.6666666666)</f>
        <v>45407.666666666599</v>
      </c>
      <c r="B2157" s="1">
        <f ca="1">IFERROR(__xludf.DUMMYFUNCTION("""COMPUTED_VALUE"""),158.96)</f>
        <v>158.96</v>
      </c>
      <c r="C2157" s="1">
        <f ca="1">IFERROR(__xludf.DUMMYFUNCTION("""COMPUTED_VALUE"""),170.88)</f>
        <v>170.88</v>
      </c>
      <c r="D2157" s="1">
        <f ca="1">IFERROR(__xludf.DUMMYFUNCTION("""COMPUTED_VALUE"""),158.36)</f>
        <v>158.36000000000001</v>
      </c>
      <c r="E2157" s="1">
        <f ca="1">IFERROR(__xludf.DUMMYFUNCTION("""COMPUTED_VALUE"""),170.18)</f>
        <v>170.18</v>
      </c>
      <c r="F2157" s="1">
        <f ca="1">IFERROR(__xludf.DUMMYFUNCTION("""COMPUTED_VALUE"""),126427521)</f>
        <v>126427521</v>
      </c>
    </row>
    <row r="2158" spans="1:6" x14ac:dyDescent="0.2">
      <c r="A2158" s="2">
        <f ca="1">IFERROR(__xludf.DUMMYFUNCTION("""COMPUTED_VALUE"""),45408.6666666666)</f>
        <v>45408.666666666599</v>
      </c>
      <c r="B2158" s="1">
        <f ca="1">IFERROR(__xludf.DUMMYFUNCTION("""COMPUTED_VALUE"""),168.85)</f>
        <v>168.85</v>
      </c>
      <c r="C2158" s="1">
        <f ca="1">IFERROR(__xludf.DUMMYFUNCTION("""COMPUTED_VALUE"""),172.12)</f>
        <v>172.12</v>
      </c>
      <c r="D2158" s="1">
        <f ca="1">IFERROR(__xludf.DUMMYFUNCTION("""COMPUTED_VALUE"""),166.37)</f>
        <v>166.37</v>
      </c>
      <c r="E2158" s="1">
        <f ca="1">IFERROR(__xludf.DUMMYFUNCTION("""COMPUTED_VALUE"""),168.29)</f>
        <v>168.29</v>
      </c>
      <c r="F2158" s="1">
        <f ca="1">IFERROR(__xludf.DUMMYFUNCTION("""COMPUTED_VALUE"""),109815725)</f>
        <v>109815725</v>
      </c>
    </row>
    <row r="2159" spans="1:6" x14ac:dyDescent="0.2">
      <c r="A2159" s="2">
        <f ca="1">IFERROR(__xludf.DUMMYFUNCTION("""COMPUTED_VALUE"""),45411.6666666666)</f>
        <v>45411.666666666599</v>
      </c>
      <c r="B2159" s="1">
        <f ca="1">IFERROR(__xludf.DUMMYFUNCTION("""COMPUTED_VALUE"""),188.42)</f>
        <v>188.42</v>
      </c>
      <c r="C2159" s="1">
        <f ca="1">IFERROR(__xludf.DUMMYFUNCTION("""COMPUTED_VALUE"""),198.87)</f>
        <v>198.87</v>
      </c>
      <c r="D2159" s="1">
        <f ca="1">IFERROR(__xludf.DUMMYFUNCTION("""COMPUTED_VALUE"""),184.54)</f>
        <v>184.54</v>
      </c>
      <c r="E2159" s="1">
        <f ca="1">IFERROR(__xludf.DUMMYFUNCTION("""COMPUTED_VALUE"""),194.05)</f>
        <v>194.05</v>
      </c>
      <c r="F2159" s="1">
        <f ca="1">IFERROR(__xludf.DUMMYFUNCTION("""COMPUTED_VALUE"""),243869678)</f>
        <v>243869678</v>
      </c>
    </row>
    <row r="2160" spans="1:6" x14ac:dyDescent="0.2">
      <c r="A2160" s="2">
        <f ca="1">IFERROR(__xludf.DUMMYFUNCTION("""COMPUTED_VALUE"""),45412.6666666666)</f>
        <v>45412.666666666599</v>
      </c>
      <c r="B2160" s="1">
        <f ca="1">IFERROR(__xludf.DUMMYFUNCTION("""COMPUTED_VALUE"""),186.98)</f>
        <v>186.98</v>
      </c>
      <c r="C2160" s="1">
        <f ca="1">IFERROR(__xludf.DUMMYFUNCTION("""COMPUTED_VALUE"""),190.95)</f>
        <v>190.95</v>
      </c>
      <c r="D2160" s="1">
        <f ca="1">IFERROR(__xludf.DUMMYFUNCTION("""COMPUTED_VALUE"""),182.84)</f>
        <v>182.84</v>
      </c>
      <c r="E2160" s="1">
        <f ca="1">IFERROR(__xludf.DUMMYFUNCTION("""COMPUTED_VALUE"""),183.28)</f>
        <v>183.28</v>
      </c>
      <c r="F2160" s="1">
        <f ca="1">IFERROR(__xludf.DUMMYFUNCTION("""COMPUTED_VALUE"""),127031787)</f>
        <v>127031787</v>
      </c>
    </row>
    <row r="2161" spans="1:6" x14ac:dyDescent="0.2">
      <c r="A2161" s="2">
        <f ca="1">IFERROR(__xludf.DUMMYFUNCTION("""COMPUTED_VALUE"""),45413.6666666666)</f>
        <v>45413.666666666599</v>
      </c>
      <c r="B2161" s="1">
        <f ca="1">IFERROR(__xludf.DUMMYFUNCTION("""COMPUTED_VALUE"""),182)</f>
        <v>182</v>
      </c>
      <c r="C2161" s="1">
        <f ca="1">IFERROR(__xludf.DUMMYFUNCTION("""COMPUTED_VALUE"""),185.86)</f>
        <v>185.86</v>
      </c>
      <c r="D2161" s="1">
        <f ca="1">IFERROR(__xludf.DUMMYFUNCTION("""COMPUTED_VALUE"""),179.01)</f>
        <v>179.01</v>
      </c>
      <c r="E2161" s="1">
        <f ca="1">IFERROR(__xludf.DUMMYFUNCTION("""COMPUTED_VALUE"""),179.99)</f>
        <v>179.99</v>
      </c>
      <c r="F2161" s="1">
        <f ca="1">IFERROR(__xludf.DUMMYFUNCTION("""COMPUTED_VALUE"""),92829719)</f>
        <v>92829719</v>
      </c>
    </row>
    <row r="2162" spans="1:6" x14ac:dyDescent="0.2">
      <c r="A2162" s="2">
        <f ca="1">IFERROR(__xludf.DUMMYFUNCTION("""COMPUTED_VALUE"""),45414.6666666666)</f>
        <v>45414.666666666599</v>
      </c>
      <c r="B2162" s="1">
        <f ca="1">IFERROR(__xludf.DUMMYFUNCTION("""COMPUTED_VALUE"""),182.86)</f>
        <v>182.86</v>
      </c>
      <c r="C2162" s="1">
        <f ca="1">IFERROR(__xludf.DUMMYFUNCTION("""COMPUTED_VALUE"""),184.6)</f>
        <v>184.6</v>
      </c>
      <c r="D2162" s="1">
        <f ca="1">IFERROR(__xludf.DUMMYFUNCTION("""COMPUTED_VALUE"""),176.02)</f>
        <v>176.02</v>
      </c>
      <c r="E2162" s="1">
        <f ca="1">IFERROR(__xludf.DUMMYFUNCTION("""COMPUTED_VALUE"""),180.01)</f>
        <v>180.01</v>
      </c>
      <c r="F2162" s="1">
        <f ca="1">IFERROR(__xludf.DUMMYFUNCTION("""COMPUTED_VALUE"""),89148041)</f>
        <v>89148041</v>
      </c>
    </row>
    <row r="2163" spans="1:6" x14ac:dyDescent="0.2">
      <c r="A2163" s="2">
        <f ca="1">IFERROR(__xludf.DUMMYFUNCTION("""COMPUTED_VALUE"""),45415.6666666666)</f>
        <v>45415.666666666599</v>
      </c>
      <c r="B2163" s="1">
        <f ca="1">IFERROR(__xludf.DUMMYFUNCTION("""COMPUTED_VALUE"""),182.1)</f>
        <v>182.1</v>
      </c>
      <c r="C2163" s="1">
        <f ca="1">IFERROR(__xludf.DUMMYFUNCTION("""COMPUTED_VALUE"""),184.78)</f>
        <v>184.78</v>
      </c>
      <c r="D2163" s="1">
        <f ca="1">IFERROR(__xludf.DUMMYFUNCTION("""COMPUTED_VALUE"""),178.42)</f>
        <v>178.42</v>
      </c>
      <c r="E2163" s="1">
        <f ca="1">IFERROR(__xludf.DUMMYFUNCTION("""COMPUTED_VALUE"""),181.19)</f>
        <v>181.19</v>
      </c>
      <c r="F2163" s="1">
        <f ca="1">IFERROR(__xludf.DUMMYFUNCTION("""COMPUTED_VALUE"""),75491539)</f>
        <v>75491539</v>
      </c>
    </row>
    <row r="2164" spans="1:6" x14ac:dyDescent="0.2">
      <c r="A2164" s="2">
        <f ca="1">IFERROR(__xludf.DUMMYFUNCTION("""COMPUTED_VALUE"""),45418.6666666666)</f>
        <v>45418.666666666599</v>
      </c>
      <c r="B2164" s="1">
        <f ca="1">IFERROR(__xludf.DUMMYFUNCTION("""COMPUTED_VALUE"""),183.8)</f>
        <v>183.8</v>
      </c>
      <c r="C2164" s="1">
        <f ca="1">IFERROR(__xludf.DUMMYFUNCTION("""COMPUTED_VALUE"""),187.56)</f>
        <v>187.56</v>
      </c>
      <c r="D2164" s="1">
        <f ca="1">IFERROR(__xludf.DUMMYFUNCTION("""COMPUTED_VALUE"""),182.2)</f>
        <v>182.2</v>
      </c>
      <c r="E2164" s="1">
        <f ca="1">IFERROR(__xludf.DUMMYFUNCTION("""COMPUTED_VALUE"""),184.76)</f>
        <v>184.76</v>
      </c>
      <c r="F2164" s="1">
        <f ca="1">IFERROR(__xludf.DUMMYFUNCTION("""COMPUTED_VALUE"""),84390253)</f>
        <v>84390253</v>
      </c>
    </row>
    <row r="2165" spans="1:6" x14ac:dyDescent="0.2">
      <c r="A2165" s="2">
        <f ca="1">IFERROR(__xludf.DUMMYFUNCTION("""COMPUTED_VALUE"""),45419.6666666666)</f>
        <v>45419.666666666599</v>
      </c>
      <c r="B2165" s="1">
        <f ca="1">IFERROR(__xludf.DUMMYFUNCTION("""COMPUTED_VALUE"""),182.4)</f>
        <v>182.4</v>
      </c>
      <c r="C2165" s="1">
        <f ca="1">IFERROR(__xludf.DUMMYFUNCTION("""COMPUTED_VALUE"""),183.26)</f>
        <v>183.26</v>
      </c>
      <c r="D2165" s="1">
        <f ca="1">IFERROR(__xludf.DUMMYFUNCTION("""COMPUTED_VALUE"""),177.4)</f>
        <v>177.4</v>
      </c>
      <c r="E2165" s="1">
        <f ca="1">IFERROR(__xludf.DUMMYFUNCTION("""COMPUTED_VALUE"""),177.81)</f>
        <v>177.81</v>
      </c>
      <c r="F2165" s="1">
        <f ca="1">IFERROR(__xludf.DUMMYFUNCTION("""COMPUTED_VALUE"""),75045854)</f>
        <v>75045854</v>
      </c>
    </row>
    <row r="2166" spans="1:6" x14ac:dyDescent="0.2">
      <c r="A2166" s="2">
        <f ca="1">IFERROR(__xludf.DUMMYFUNCTION("""COMPUTED_VALUE"""),45420.6666666666)</f>
        <v>45420.666666666599</v>
      </c>
      <c r="B2166" s="1">
        <f ca="1">IFERROR(__xludf.DUMMYFUNCTION("""COMPUTED_VALUE"""),171.59)</f>
        <v>171.59</v>
      </c>
      <c r="C2166" s="1">
        <f ca="1">IFERROR(__xludf.DUMMYFUNCTION("""COMPUTED_VALUE"""),176.06)</f>
        <v>176.06</v>
      </c>
      <c r="D2166" s="1">
        <f ca="1">IFERROR(__xludf.DUMMYFUNCTION("""COMPUTED_VALUE"""),170.15)</f>
        <v>170.15</v>
      </c>
      <c r="E2166" s="1">
        <f ca="1">IFERROR(__xludf.DUMMYFUNCTION("""COMPUTED_VALUE"""),174.72)</f>
        <v>174.72</v>
      </c>
      <c r="F2166" s="1">
        <f ca="1">IFERROR(__xludf.DUMMYFUNCTION("""COMPUTED_VALUE"""),79969488)</f>
        <v>79969488</v>
      </c>
    </row>
    <row r="2167" spans="1:6" x14ac:dyDescent="0.2">
      <c r="A2167" s="2">
        <f ca="1">IFERROR(__xludf.DUMMYFUNCTION("""COMPUTED_VALUE"""),45421.6666666666)</f>
        <v>45421.666666666599</v>
      </c>
      <c r="B2167" s="1">
        <f ca="1">IFERROR(__xludf.DUMMYFUNCTION("""COMPUTED_VALUE"""),175.01)</f>
        <v>175.01</v>
      </c>
      <c r="C2167" s="1">
        <f ca="1">IFERROR(__xludf.DUMMYFUNCTION("""COMPUTED_VALUE"""),175.62)</f>
        <v>175.62</v>
      </c>
      <c r="D2167" s="1">
        <f ca="1">IFERROR(__xludf.DUMMYFUNCTION("""COMPUTED_VALUE"""),171.37)</f>
        <v>171.37</v>
      </c>
      <c r="E2167" s="1">
        <f ca="1">IFERROR(__xludf.DUMMYFUNCTION("""COMPUTED_VALUE"""),171.97)</f>
        <v>171.97</v>
      </c>
      <c r="F2167" s="1">
        <f ca="1">IFERROR(__xludf.DUMMYFUNCTION("""COMPUTED_VALUE"""),65950292)</f>
        <v>65950292</v>
      </c>
    </row>
    <row r="2168" spans="1:6" x14ac:dyDescent="0.2">
      <c r="A2168" s="2">
        <f ca="1">IFERROR(__xludf.DUMMYFUNCTION("""COMPUTED_VALUE"""),45422.6666666666)</f>
        <v>45422.666666666599</v>
      </c>
      <c r="B2168" s="1">
        <f ca="1">IFERROR(__xludf.DUMMYFUNCTION("""COMPUTED_VALUE"""),173.05)</f>
        <v>173.05</v>
      </c>
      <c r="C2168" s="1">
        <f ca="1">IFERROR(__xludf.DUMMYFUNCTION("""COMPUTED_VALUE"""),173.06)</f>
        <v>173.06</v>
      </c>
      <c r="D2168" s="1">
        <f ca="1">IFERROR(__xludf.DUMMYFUNCTION("""COMPUTED_VALUE"""),167.75)</f>
        <v>167.75</v>
      </c>
      <c r="E2168" s="1">
        <f ca="1">IFERROR(__xludf.DUMMYFUNCTION("""COMPUTED_VALUE"""),168.47)</f>
        <v>168.47</v>
      </c>
      <c r="F2168" s="1">
        <f ca="1">IFERROR(__xludf.DUMMYFUNCTION("""COMPUTED_VALUE"""),72627178)</f>
        <v>72627178</v>
      </c>
    </row>
    <row r="2169" spans="1:6" x14ac:dyDescent="0.2">
      <c r="A2169" s="2">
        <f ca="1">IFERROR(__xludf.DUMMYFUNCTION("""COMPUTED_VALUE"""),45425.6666666666)</f>
        <v>45425.666666666599</v>
      </c>
      <c r="B2169" s="1">
        <f ca="1">IFERROR(__xludf.DUMMYFUNCTION("""COMPUTED_VALUE"""),170)</f>
        <v>170</v>
      </c>
      <c r="C2169" s="1">
        <f ca="1">IFERROR(__xludf.DUMMYFUNCTION("""COMPUTED_VALUE"""),175.4)</f>
        <v>175.4</v>
      </c>
      <c r="D2169" s="1">
        <f ca="1">IFERROR(__xludf.DUMMYFUNCTION("""COMPUTED_VALUE"""),169)</f>
        <v>169</v>
      </c>
      <c r="E2169" s="1">
        <f ca="1">IFERROR(__xludf.DUMMYFUNCTION("""COMPUTED_VALUE"""),171.89)</f>
        <v>171.89</v>
      </c>
      <c r="F2169" s="1">
        <f ca="1">IFERROR(__xludf.DUMMYFUNCTION("""COMPUTED_VALUE"""),67018903)</f>
        <v>67018903</v>
      </c>
    </row>
    <row r="2170" spans="1:6" x14ac:dyDescent="0.2">
      <c r="A2170" s="2">
        <f ca="1">IFERROR(__xludf.DUMMYFUNCTION("""COMPUTED_VALUE"""),45426.6666666666)</f>
        <v>45426.666666666599</v>
      </c>
      <c r="B2170" s="1">
        <f ca="1">IFERROR(__xludf.DUMMYFUNCTION("""COMPUTED_VALUE"""),174.5)</f>
        <v>174.5</v>
      </c>
      <c r="C2170" s="1">
        <f ca="1">IFERROR(__xludf.DUMMYFUNCTION("""COMPUTED_VALUE"""),179.49)</f>
        <v>179.49</v>
      </c>
      <c r="D2170" s="1">
        <f ca="1">IFERROR(__xludf.DUMMYFUNCTION("""COMPUTED_VALUE"""),174.07)</f>
        <v>174.07</v>
      </c>
      <c r="E2170" s="1">
        <f ca="1">IFERROR(__xludf.DUMMYFUNCTION("""COMPUTED_VALUE"""),177.55)</f>
        <v>177.55</v>
      </c>
      <c r="F2170" s="1">
        <f ca="1">IFERROR(__xludf.DUMMYFUNCTION("""COMPUTED_VALUE"""),86407422)</f>
        <v>86407422</v>
      </c>
    </row>
    <row r="2171" spans="1:6" x14ac:dyDescent="0.2">
      <c r="A2171" s="2">
        <f ca="1">IFERROR(__xludf.DUMMYFUNCTION("""COMPUTED_VALUE"""),45427.6666666666)</f>
        <v>45427.666666666599</v>
      </c>
      <c r="B2171" s="1">
        <f ca="1">IFERROR(__xludf.DUMMYFUNCTION("""COMPUTED_VALUE"""),179.9)</f>
        <v>179.9</v>
      </c>
      <c r="C2171" s="1">
        <f ca="1">IFERROR(__xludf.DUMMYFUNCTION("""COMPUTED_VALUE"""),180)</f>
        <v>180</v>
      </c>
      <c r="D2171" s="1">
        <f ca="1">IFERROR(__xludf.DUMMYFUNCTION("""COMPUTED_VALUE"""),173.11)</f>
        <v>173.11</v>
      </c>
      <c r="E2171" s="1">
        <f ca="1">IFERROR(__xludf.DUMMYFUNCTION("""COMPUTED_VALUE"""),173.99)</f>
        <v>173.99</v>
      </c>
      <c r="F2171" s="1">
        <f ca="1">IFERROR(__xludf.DUMMYFUNCTION("""COMPUTED_VALUE"""),79662993)</f>
        <v>79662993</v>
      </c>
    </row>
    <row r="2172" spans="1:6" x14ac:dyDescent="0.2">
      <c r="A2172" s="2">
        <f ca="1">IFERROR(__xludf.DUMMYFUNCTION("""COMPUTED_VALUE"""),45428.6666666666)</f>
        <v>45428.666666666599</v>
      </c>
      <c r="B2172" s="1">
        <f ca="1">IFERROR(__xludf.DUMMYFUNCTION("""COMPUTED_VALUE"""),174.1)</f>
        <v>174.1</v>
      </c>
      <c r="C2172" s="1">
        <f ca="1">IFERROR(__xludf.DUMMYFUNCTION("""COMPUTED_VALUE"""),175.79)</f>
        <v>175.79</v>
      </c>
      <c r="D2172" s="1">
        <f ca="1">IFERROR(__xludf.DUMMYFUNCTION("""COMPUTED_VALUE"""),171.43)</f>
        <v>171.43</v>
      </c>
      <c r="E2172" s="1">
        <f ca="1">IFERROR(__xludf.DUMMYFUNCTION("""COMPUTED_VALUE"""),174.84)</f>
        <v>174.84</v>
      </c>
      <c r="F2172" s="1">
        <f ca="1">IFERROR(__xludf.DUMMYFUNCTION("""COMPUTED_VALUE"""),59812220)</f>
        <v>59812220</v>
      </c>
    </row>
    <row r="2173" spans="1:6" x14ac:dyDescent="0.2">
      <c r="A2173" s="2">
        <f ca="1">IFERROR(__xludf.DUMMYFUNCTION("""COMPUTED_VALUE"""),45429.6666666666)</f>
        <v>45429.666666666599</v>
      </c>
      <c r="B2173" s="1">
        <f ca="1">IFERROR(__xludf.DUMMYFUNCTION("""COMPUTED_VALUE"""),173.55)</f>
        <v>173.55</v>
      </c>
      <c r="C2173" s="1">
        <f ca="1">IFERROR(__xludf.DUMMYFUNCTION("""COMPUTED_VALUE"""),179.63)</f>
        <v>179.63</v>
      </c>
      <c r="D2173" s="1">
        <f ca="1">IFERROR(__xludf.DUMMYFUNCTION("""COMPUTED_VALUE"""),172.75)</f>
        <v>172.75</v>
      </c>
      <c r="E2173" s="1">
        <f ca="1">IFERROR(__xludf.DUMMYFUNCTION("""COMPUTED_VALUE"""),177.46)</f>
        <v>177.46</v>
      </c>
      <c r="F2173" s="1">
        <f ca="1">IFERROR(__xludf.DUMMYFUNCTION("""COMPUTED_VALUE"""),77445845)</f>
        <v>77445845</v>
      </c>
    </row>
    <row r="2174" spans="1:6" x14ac:dyDescent="0.2">
      <c r="A2174" s="2">
        <f ca="1">IFERROR(__xludf.DUMMYFUNCTION("""COMPUTED_VALUE"""),45432.6666666666)</f>
        <v>45432.666666666599</v>
      </c>
      <c r="B2174" s="1">
        <f ca="1">IFERROR(__xludf.DUMMYFUNCTION("""COMPUTED_VALUE"""),177.56)</f>
        <v>177.56</v>
      </c>
      <c r="C2174" s="1">
        <f ca="1">IFERROR(__xludf.DUMMYFUNCTION("""COMPUTED_VALUE"""),177.75)</f>
        <v>177.75</v>
      </c>
      <c r="D2174" s="1">
        <f ca="1">IFERROR(__xludf.DUMMYFUNCTION("""COMPUTED_VALUE"""),173.52)</f>
        <v>173.52</v>
      </c>
      <c r="E2174" s="1">
        <f ca="1">IFERROR(__xludf.DUMMYFUNCTION("""COMPUTED_VALUE"""),174.95)</f>
        <v>174.95</v>
      </c>
      <c r="F2174" s="1">
        <f ca="1">IFERROR(__xludf.DUMMYFUNCTION("""COMPUTED_VALUE"""),61727425)</f>
        <v>61727425</v>
      </c>
    </row>
    <row r="2175" spans="1:6" x14ac:dyDescent="0.2">
      <c r="A2175" s="2">
        <f ca="1">IFERROR(__xludf.DUMMYFUNCTION("""COMPUTED_VALUE"""),45433.6666666666)</f>
        <v>45433.666666666599</v>
      </c>
      <c r="B2175" s="1">
        <f ca="1">IFERROR(__xludf.DUMMYFUNCTION("""COMPUTED_VALUE"""),175.51)</f>
        <v>175.51</v>
      </c>
      <c r="C2175" s="1">
        <f ca="1">IFERROR(__xludf.DUMMYFUNCTION("""COMPUTED_VALUE"""),186.88)</f>
        <v>186.88</v>
      </c>
      <c r="D2175" s="1">
        <f ca="1">IFERROR(__xludf.DUMMYFUNCTION("""COMPUTED_VALUE"""),174.71)</f>
        <v>174.71</v>
      </c>
      <c r="E2175" s="1">
        <f ca="1">IFERROR(__xludf.DUMMYFUNCTION("""COMPUTED_VALUE"""),186.6)</f>
        <v>186.6</v>
      </c>
      <c r="F2175" s="1">
        <f ca="1">IFERROR(__xludf.DUMMYFUNCTION("""COMPUTED_VALUE"""),115266512)</f>
        <v>115266512</v>
      </c>
    </row>
    <row r="2176" spans="1:6" x14ac:dyDescent="0.2">
      <c r="A2176" s="2">
        <f ca="1">IFERROR(__xludf.DUMMYFUNCTION("""COMPUTED_VALUE"""),45434.6666666666)</f>
        <v>45434.666666666599</v>
      </c>
      <c r="B2176" s="1">
        <f ca="1">IFERROR(__xludf.DUMMYFUNCTION("""COMPUTED_VALUE"""),182.85)</f>
        <v>182.85</v>
      </c>
      <c r="C2176" s="1">
        <f ca="1">IFERROR(__xludf.DUMMYFUNCTION("""COMPUTED_VALUE"""),183.8)</f>
        <v>183.8</v>
      </c>
      <c r="D2176" s="1">
        <f ca="1">IFERROR(__xludf.DUMMYFUNCTION("""COMPUTED_VALUE"""),178.12)</f>
        <v>178.12</v>
      </c>
      <c r="E2176" s="1">
        <f ca="1">IFERROR(__xludf.DUMMYFUNCTION("""COMPUTED_VALUE"""),180.11)</f>
        <v>180.11</v>
      </c>
      <c r="F2176" s="1">
        <f ca="1">IFERROR(__xludf.DUMMYFUNCTION("""COMPUTED_VALUE"""),88313477)</f>
        <v>88313477</v>
      </c>
    </row>
    <row r="2177" spans="1:6" x14ac:dyDescent="0.2">
      <c r="A2177" s="2">
        <f ca="1">IFERROR(__xludf.DUMMYFUNCTION("""COMPUTED_VALUE"""),45435.6666666666)</f>
        <v>45435.666666666599</v>
      </c>
      <c r="B2177" s="1">
        <f ca="1">IFERROR(__xludf.DUMMYFUNCTION("""COMPUTED_VALUE"""),181.8)</f>
        <v>181.8</v>
      </c>
      <c r="C2177" s="1">
        <f ca="1">IFERROR(__xludf.DUMMYFUNCTION("""COMPUTED_VALUE"""),181.9)</f>
        <v>181.9</v>
      </c>
      <c r="D2177" s="1">
        <f ca="1">IFERROR(__xludf.DUMMYFUNCTION("""COMPUTED_VALUE"""),173.26)</f>
        <v>173.26</v>
      </c>
      <c r="E2177" s="1">
        <f ca="1">IFERROR(__xludf.DUMMYFUNCTION("""COMPUTED_VALUE"""),173.74)</f>
        <v>173.74</v>
      </c>
      <c r="F2177" s="1">
        <f ca="1">IFERROR(__xludf.DUMMYFUNCTION("""COMPUTED_VALUE"""),71975496)</f>
        <v>71975496</v>
      </c>
    </row>
    <row r="2178" spans="1:6" x14ac:dyDescent="0.2">
      <c r="A2178" s="2">
        <f ca="1">IFERROR(__xludf.DUMMYFUNCTION("""COMPUTED_VALUE"""),45436.6666666666)</f>
        <v>45436.666666666599</v>
      </c>
      <c r="B2178" s="1">
        <f ca="1">IFERROR(__xludf.DUMMYFUNCTION("""COMPUTED_VALUE"""),174.84)</f>
        <v>174.84</v>
      </c>
      <c r="C2178" s="1">
        <f ca="1">IFERROR(__xludf.DUMMYFUNCTION("""COMPUTED_VALUE"""),180.08)</f>
        <v>180.08</v>
      </c>
      <c r="D2178" s="1">
        <f ca="1">IFERROR(__xludf.DUMMYFUNCTION("""COMPUTED_VALUE"""),173.73)</f>
        <v>173.73</v>
      </c>
      <c r="E2178" s="1">
        <f ca="1">IFERROR(__xludf.DUMMYFUNCTION("""COMPUTED_VALUE"""),179.24)</f>
        <v>179.24</v>
      </c>
      <c r="F2178" s="1">
        <f ca="1">IFERROR(__xludf.DUMMYFUNCTION("""COMPUTED_VALUE"""),65584478)</f>
        <v>65584478</v>
      </c>
    </row>
    <row r="2179" spans="1:6" x14ac:dyDescent="0.2">
      <c r="A2179" s="2">
        <f ca="1">IFERROR(__xludf.DUMMYFUNCTION("""COMPUTED_VALUE"""),45440.6666666666)</f>
        <v>45440.666666666599</v>
      </c>
      <c r="B2179" s="1">
        <f ca="1">IFERROR(__xludf.DUMMYFUNCTION("""COMPUTED_VALUE"""),176.4)</f>
        <v>176.4</v>
      </c>
      <c r="C2179" s="1">
        <f ca="1">IFERROR(__xludf.DUMMYFUNCTION("""COMPUTED_VALUE"""),178.25)</f>
        <v>178.25</v>
      </c>
      <c r="D2179" s="1">
        <f ca="1">IFERROR(__xludf.DUMMYFUNCTION("""COMPUTED_VALUE"""),173.16)</f>
        <v>173.16</v>
      </c>
      <c r="E2179" s="1">
        <f ca="1">IFERROR(__xludf.DUMMYFUNCTION("""COMPUTED_VALUE"""),176.75)</f>
        <v>176.75</v>
      </c>
      <c r="F2179" s="1">
        <f ca="1">IFERROR(__xludf.DUMMYFUNCTION("""COMPUTED_VALUE"""),59736620)</f>
        <v>59736620</v>
      </c>
    </row>
    <row r="2180" spans="1:6" x14ac:dyDescent="0.2">
      <c r="A2180" s="2">
        <f ca="1">IFERROR(__xludf.DUMMYFUNCTION("""COMPUTED_VALUE"""),45441.6666666666)</f>
        <v>45441.666666666599</v>
      </c>
      <c r="B2180" s="1">
        <f ca="1">IFERROR(__xludf.DUMMYFUNCTION("""COMPUTED_VALUE"""),174.19)</f>
        <v>174.19</v>
      </c>
      <c r="C2180" s="1">
        <f ca="1">IFERROR(__xludf.DUMMYFUNCTION("""COMPUTED_VALUE"""),178.15)</f>
        <v>178.15</v>
      </c>
      <c r="D2180" s="1">
        <f ca="1">IFERROR(__xludf.DUMMYFUNCTION("""COMPUTED_VALUE"""),173.93)</f>
        <v>173.93</v>
      </c>
      <c r="E2180" s="1">
        <f ca="1">IFERROR(__xludf.DUMMYFUNCTION("""COMPUTED_VALUE"""),176.19)</f>
        <v>176.19</v>
      </c>
      <c r="F2180" s="1">
        <f ca="1">IFERROR(__xludf.DUMMYFUNCTION("""COMPUTED_VALUE"""),54782649)</f>
        <v>54782649</v>
      </c>
    </row>
    <row r="2181" spans="1:6" x14ac:dyDescent="0.2">
      <c r="A2181" s="2">
        <f ca="1">IFERROR(__xludf.DUMMYFUNCTION("""COMPUTED_VALUE"""),45442.6666666666)</f>
        <v>45442.666666666599</v>
      </c>
      <c r="B2181" s="1">
        <f ca="1">IFERROR(__xludf.DUMMYFUNCTION("""COMPUTED_VALUE"""),178.58)</f>
        <v>178.58</v>
      </c>
      <c r="C2181" s="1">
        <f ca="1">IFERROR(__xludf.DUMMYFUNCTION("""COMPUTED_VALUE"""),182.67)</f>
        <v>182.67</v>
      </c>
      <c r="D2181" s="1">
        <f ca="1">IFERROR(__xludf.DUMMYFUNCTION("""COMPUTED_VALUE"""),175.38)</f>
        <v>175.38</v>
      </c>
      <c r="E2181" s="1">
        <f ca="1">IFERROR(__xludf.DUMMYFUNCTION("""COMPUTED_VALUE"""),178.79)</f>
        <v>178.79</v>
      </c>
      <c r="F2181" s="1">
        <f ca="1">IFERROR(__xludf.DUMMYFUNCTION("""COMPUTED_VALUE"""),77784755)</f>
        <v>77784755</v>
      </c>
    </row>
    <row r="2182" spans="1:6" x14ac:dyDescent="0.2">
      <c r="A2182" s="2">
        <f ca="1">IFERROR(__xludf.DUMMYFUNCTION("""COMPUTED_VALUE"""),45443.6666666666)</f>
        <v>45443.666666666599</v>
      </c>
      <c r="B2182" s="1">
        <f ca="1">IFERROR(__xludf.DUMMYFUNCTION("""COMPUTED_VALUE"""),178.5)</f>
        <v>178.5</v>
      </c>
      <c r="C2182" s="1">
        <f ca="1">IFERROR(__xludf.DUMMYFUNCTION("""COMPUTED_VALUE"""),180.32)</f>
        <v>180.32</v>
      </c>
      <c r="D2182" s="1">
        <f ca="1">IFERROR(__xludf.DUMMYFUNCTION("""COMPUTED_VALUE"""),173.82)</f>
        <v>173.82</v>
      </c>
      <c r="E2182" s="1">
        <f ca="1">IFERROR(__xludf.DUMMYFUNCTION("""COMPUTED_VALUE"""),178.08)</f>
        <v>178.08</v>
      </c>
      <c r="F2182" s="1">
        <f ca="1">IFERROR(__xludf.DUMMYFUNCTION("""COMPUTED_VALUE"""),67314602)</f>
        <v>67314602</v>
      </c>
    </row>
    <row r="2183" spans="1:6" x14ac:dyDescent="0.2">
      <c r="A2183" s="2">
        <f ca="1">IFERROR(__xludf.DUMMYFUNCTION("""COMPUTED_VALUE"""),45446.6666666666)</f>
        <v>45446.666666666599</v>
      </c>
      <c r="B2183" s="1">
        <f ca="1">IFERROR(__xludf.DUMMYFUNCTION("""COMPUTED_VALUE"""),178.13)</f>
        <v>178.13</v>
      </c>
      <c r="C2183" s="1">
        <f ca="1">IFERROR(__xludf.DUMMYFUNCTION("""COMPUTED_VALUE"""),182.64)</f>
        <v>182.64</v>
      </c>
      <c r="D2183" s="1">
        <f ca="1">IFERROR(__xludf.DUMMYFUNCTION("""COMPUTED_VALUE"""),174.49)</f>
        <v>174.49</v>
      </c>
      <c r="E2183" s="1">
        <f ca="1">IFERROR(__xludf.DUMMYFUNCTION("""COMPUTED_VALUE"""),176.29)</f>
        <v>176.29</v>
      </c>
      <c r="F2183" s="1">
        <f ca="1">IFERROR(__xludf.DUMMYFUNCTION("""COMPUTED_VALUE"""),68568920)</f>
        <v>68568920</v>
      </c>
    </row>
    <row r="2184" spans="1:6" x14ac:dyDescent="0.2">
      <c r="A2184" s="2">
        <f ca="1">IFERROR(__xludf.DUMMYFUNCTION("""COMPUTED_VALUE"""),45447.6666666666)</f>
        <v>45447.666666666599</v>
      </c>
      <c r="B2184" s="1">
        <f ca="1">IFERROR(__xludf.DUMMYFUNCTION("""COMPUTED_VALUE"""),174.78)</f>
        <v>174.78</v>
      </c>
      <c r="C2184" s="1">
        <f ca="1">IFERROR(__xludf.DUMMYFUNCTION("""COMPUTED_VALUE"""),177.76)</f>
        <v>177.76</v>
      </c>
      <c r="D2184" s="1">
        <f ca="1">IFERROR(__xludf.DUMMYFUNCTION("""COMPUTED_VALUE"""),174)</f>
        <v>174</v>
      </c>
      <c r="E2184" s="1">
        <f ca="1">IFERROR(__xludf.DUMMYFUNCTION("""COMPUTED_VALUE"""),174.77)</f>
        <v>174.77</v>
      </c>
      <c r="F2184" s="1">
        <f ca="1">IFERROR(__xludf.DUMMYFUNCTION("""COMPUTED_VALUE"""),60056340)</f>
        <v>60056340</v>
      </c>
    </row>
    <row r="2185" spans="1:6" x14ac:dyDescent="0.2">
      <c r="A2185" s="2">
        <f ca="1">IFERROR(__xludf.DUMMYFUNCTION("""COMPUTED_VALUE"""),45448.6666666666)</f>
        <v>45448.666666666599</v>
      </c>
      <c r="B2185" s="1">
        <f ca="1">IFERROR(__xludf.DUMMYFUNCTION("""COMPUTED_VALUE"""),175.35)</f>
        <v>175.35</v>
      </c>
      <c r="C2185" s="1">
        <f ca="1">IFERROR(__xludf.DUMMYFUNCTION("""COMPUTED_VALUE"""),176.15)</f>
        <v>176.15</v>
      </c>
      <c r="D2185" s="1">
        <f ca="1">IFERROR(__xludf.DUMMYFUNCTION("""COMPUTED_VALUE"""),172.13)</f>
        <v>172.13</v>
      </c>
      <c r="E2185" s="1">
        <f ca="1">IFERROR(__xludf.DUMMYFUNCTION("""COMPUTED_VALUE"""),175)</f>
        <v>175</v>
      </c>
      <c r="F2185" s="1">
        <f ca="1">IFERROR(__xludf.DUMMYFUNCTION("""COMPUTED_VALUE"""),57953756)</f>
        <v>57953756</v>
      </c>
    </row>
    <row r="2186" spans="1:6" x14ac:dyDescent="0.2">
      <c r="A2186" s="2">
        <f ca="1">IFERROR(__xludf.DUMMYFUNCTION("""COMPUTED_VALUE"""),45449.6666666666)</f>
        <v>45449.666666666599</v>
      </c>
      <c r="B2186" s="1">
        <f ca="1">IFERROR(__xludf.DUMMYFUNCTION("""COMPUTED_VALUE"""),174.6)</f>
        <v>174.6</v>
      </c>
      <c r="C2186" s="1">
        <f ca="1">IFERROR(__xludf.DUMMYFUNCTION("""COMPUTED_VALUE"""),179.73)</f>
        <v>179.73</v>
      </c>
      <c r="D2186" s="1">
        <f ca="1">IFERROR(__xludf.DUMMYFUNCTION("""COMPUTED_VALUE"""),172.73)</f>
        <v>172.73</v>
      </c>
      <c r="E2186" s="1">
        <f ca="1">IFERROR(__xludf.DUMMYFUNCTION("""COMPUTED_VALUE"""),177.94)</f>
        <v>177.94</v>
      </c>
      <c r="F2186" s="1">
        <f ca="1">IFERROR(__xludf.DUMMYFUNCTION("""COMPUTED_VALUE"""),69887024)</f>
        <v>69887024</v>
      </c>
    </row>
    <row r="2187" spans="1:6" x14ac:dyDescent="0.2">
      <c r="A2187" s="2">
        <f ca="1">IFERROR(__xludf.DUMMYFUNCTION("""COMPUTED_VALUE"""),45450.6666666666)</f>
        <v>45450.666666666599</v>
      </c>
      <c r="B2187" s="1">
        <f ca="1">IFERROR(__xludf.DUMMYFUNCTION("""COMPUTED_VALUE"""),176.13)</f>
        <v>176.13</v>
      </c>
      <c r="C2187" s="1">
        <f ca="1">IFERROR(__xludf.DUMMYFUNCTION("""COMPUTED_VALUE"""),179.35)</f>
        <v>179.35</v>
      </c>
      <c r="D2187" s="1">
        <f ca="1">IFERROR(__xludf.DUMMYFUNCTION("""COMPUTED_VALUE"""),175.58)</f>
        <v>175.58</v>
      </c>
      <c r="E2187" s="1">
        <f ca="1">IFERROR(__xludf.DUMMYFUNCTION("""COMPUTED_VALUE"""),177.48)</f>
        <v>177.48</v>
      </c>
      <c r="F2187" s="1">
        <f ca="1">IFERROR(__xludf.DUMMYFUNCTION("""COMPUTED_VALUE"""),56244932)</f>
        <v>56244932</v>
      </c>
    </row>
    <row r="2188" spans="1:6" x14ac:dyDescent="0.2">
      <c r="A2188" s="2">
        <f ca="1">IFERROR(__xludf.DUMMYFUNCTION("""COMPUTED_VALUE"""),45453.6666666666)</f>
        <v>45453.666666666599</v>
      </c>
      <c r="B2188" s="1">
        <f ca="1">IFERROR(__xludf.DUMMYFUNCTION("""COMPUTED_VALUE"""),176.06)</f>
        <v>176.06</v>
      </c>
      <c r="C2188" s="1">
        <f ca="1">IFERROR(__xludf.DUMMYFUNCTION("""COMPUTED_VALUE"""),178.57)</f>
        <v>178.57</v>
      </c>
      <c r="D2188" s="1">
        <f ca="1">IFERROR(__xludf.DUMMYFUNCTION("""COMPUTED_VALUE"""),173.17)</f>
        <v>173.17</v>
      </c>
      <c r="E2188" s="1">
        <f ca="1">IFERROR(__xludf.DUMMYFUNCTION("""COMPUTED_VALUE"""),173.79)</f>
        <v>173.79</v>
      </c>
      <c r="F2188" s="1">
        <f ca="1">IFERROR(__xludf.DUMMYFUNCTION("""COMPUTED_VALUE"""),50869682)</f>
        <v>50869682</v>
      </c>
    </row>
    <row r="2189" spans="1:6" x14ac:dyDescent="0.2">
      <c r="A2189" s="2">
        <f ca="1">IFERROR(__xludf.DUMMYFUNCTION("""COMPUTED_VALUE"""),45454.6666666666)</f>
        <v>45454.666666666599</v>
      </c>
      <c r="B2189" s="1">
        <f ca="1">IFERROR(__xludf.DUMMYFUNCTION("""COMPUTED_VALUE"""),173.92)</f>
        <v>173.92</v>
      </c>
      <c r="C2189" s="1">
        <f ca="1">IFERROR(__xludf.DUMMYFUNCTION("""COMPUTED_VALUE"""),174.75)</f>
        <v>174.75</v>
      </c>
      <c r="D2189" s="1">
        <f ca="1">IFERROR(__xludf.DUMMYFUNCTION("""COMPUTED_VALUE"""),167.41)</f>
        <v>167.41</v>
      </c>
      <c r="E2189" s="1">
        <f ca="1">IFERROR(__xludf.DUMMYFUNCTION("""COMPUTED_VALUE"""),170.66)</f>
        <v>170.66</v>
      </c>
      <c r="F2189" s="1">
        <f ca="1">IFERROR(__xludf.DUMMYFUNCTION("""COMPUTED_VALUE"""),64761928)</f>
        <v>64761928</v>
      </c>
    </row>
    <row r="2190" spans="1:6" x14ac:dyDescent="0.2">
      <c r="A2190" s="2">
        <f ca="1">IFERROR(__xludf.DUMMYFUNCTION("""COMPUTED_VALUE"""),45455.6666666666)</f>
        <v>45455.666666666599</v>
      </c>
      <c r="B2190" s="1">
        <f ca="1">IFERROR(__xludf.DUMMYFUNCTION("""COMPUTED_VALUE"""),171.12)</f>
        <v>171.12</v>
      </c>
      <c r="C2190" s="1">
        <f ca="1">IFERROR(__xludf.DUMMYFUNCTION("""COMPUTED_VALUE"""),180.55)</f>
        <v>180.55</v>
      </c>
      <c r="D2190" s="1">
        <f ca="1">IFERROR(__xludf.DUMMYFUNCTION("""COMPUTED_VALUE"""),169.8)</f>
        <v>169.8</v>
      </c>
      <c r="E2190" s="1">
        <f ca="1">IFERROR(__xludf.DUMMYFUNCTION("""COMPUTED_VALUE"""),177.29)</f>
        <v>177.29</v>
      </c>
      <c r="F2190" s="1">
        <f ca="1">IFERROR(__xludf.DUMMYFUNCTION("""COMPUTED_VALUE"""),90389446)</f>
        <v>90389446</v>
      </c>
    </row>
    <row r="2191" spans="1:6" x14ac:dyDescent="0.2">
      <c r="A2191" s="2">
        <f ca="1">IFERROR(__xludf.DUMMYFUNCTION("""COMPUTED_VALUE"""),45456.6666666666)</f>
        <v>45456.666666666599</v>
      </c>
      <c r="B2191" s="1">
        <f ca="1">IFERROR(__xludf.DUMMYFUNCTION("""COMPUTED_VALUE"""),188.39)</f>
        <v>188.39</v>
      </c>
      <c r="C2191" s="1">
        <f ca="1">IFERROR(__xludf.DUMMYFUNCTION("""COMPUTED_VALUE"""),191.08)</f>
        <v>191.08</v>
      </c>
      <c r="D2191" s="1">
        <f ca="1">IFERROR(__xludf.DUMMYFUNCTION("""COMPUTED_VALUE"""),181.23)</f>
        <v>181.23</v>
      </c>
      <c r="E2191" s="1">
        <f ca="1">IFERROR(__xludf.DUMMYFUNCTION("""COMPUTED_VALUE"""),182.47)</f>
        <v>182.47</v>
      </c>
      <c r="F2191" s="1">
        <f ca="1">IFERROR(__xludf.DUMMYFUNCTION("""COMPUTED_VALUE"""),118984122)</f>
        <v>118984122</v>
      </c>
    </row>
    <row r="2192" spans="1:6" x14ac:dyDescent="0.2">
      <c r="A2192" s="2">
        <f ca="1">IFERROR(__xludf.DUMMYFUNCTION("""COMPUTED_VALUE"""),45457.6666666666)</f>
        <v>45457.666666666599</v>
      </c>
      <c r="B2192" s="1">
        <f ca="1">IFERROR(__xludf.DUMMYFUNCTION("""COMPUTED_VALUE"""),185.8)</f>
        <v>185.8</v>
      </c>
      <c r="C2192" s="1">
        <f ca="1">IFERROR(__xludf.DUMMYFUNCTION("""COMPUTED_VALUE"""),186)</f>
        <v>186</v>
      </c>
      <c r="D2192" s="1">
        <f ca="1">IFERROR(__xludf.DUMMYFUNCTION("""COMPUTED_VALUE"""),176.92)</f>
        <v>176.92</v>
      </c>
      <c r="E2192" s="1">
        <f ca="1">IFERROR(__xludf.DUMMYFUNCTION("""COMPUTED_VALUE"""),178.01)</f>
        <v>178.01</v>
      </c>
      <c r="F2192" s="1">
        <f ca="1">IFERROR(__xludf.DUMMYFUNCTION("""COMPUTED_VALUE"""),82038194)</f>
        <v>82038194</v>
      </c>
    </row>
    <row r="2193" spans="1:6" x14ac:dyDescent="0.2">
      <c r="A2193" s="2">
        <f ca="1">IFERROR(__xludf.DUMMYFUNCTION("""COMPUTED_VALUE"""),45460.6666666666)</f>
        <v>45460.666666666599</v>
      </c>
      <c r="B2193" s="1">
        <f ca="1">IFERROR(__xludf.DUMMYFUNCTION("""COMPUTED_VALUE"""),177.92)</f>
        <v>177.92</v>
      </c>
      <c r="C2193" s="1">
        <f ca="1">IFERROR(__xludf.DUMMYFUNCTION("""COMPUTED_VALUE"""),188.81)</f>
        <v>188.81</v>
      </c>
      <c r="D2193" s="1">
        <f ca="1">IFERROR(__xludf.DUMMYFUNCTION("""COMPUTED_VALUE"""),177)</f>
        <v>177</v>
      </c>
      <c r="E2193" s="1">
        <f ca="1">IFERROR(__xludf.DUMMYFUNCTION("""COMPUTED_VALUE"""),187.44)</f>
        <v>187.44</v>
      </c>
      <c r="F2193" s="1">
        <f ca="1">IFERROR(__xludf.DUMMYFUNCTION("""COMPUTED_VALUE"""),109786083)</f>
        <v>109786083</v>
      </c>
    </row>
    <row r="2194" spans="1:6" x14ac:dyDescent="0.2">
      <c r="A2194" s="2">
        <f ca="1">IFERROR(__xludf.DUMMYFUNCTION("""COMPUTED_VALUE"""),45461.6666666666)</f>
        <v>45461.666666666599</v>
      </c>
      <c r="B2194" s="1">
        <f ca="1">IFERROR(__xludf.DUMMYFUNCTION("""COMPUTED_VALUE"""),186.56)</f>
        <v>186.56</v>
      </c>
      <c r="C2194" s="1">
        <f ca="1">IFERROR(__xludf.DUMMYFUNCTION("""COMPUTED_VALUE"""),187.2)</f>
        <v>187.2</v>
      </c>
      <c r="D2194" s="1">
        <f ca="1">IFERROR(__xludf.DUMMYFUNCTION("""COMPUTED_VALUE"""),182.37)</f>
        <v>182.37</v>
      </c>
      <c r="E2194" s="1">
        <f ca="1">IFERROR(__xludf.DUMMYFUNCTION("""COMPUTED_VALUE"""),184.86)</f>
        <v>184.86</v>
      </c>
      <c r="F2194" s="1">
        <f ca="1">IFERROR(__xludf.DUMMYFUNCTION("""COMPUTED_VALUE"""),68982265)</f>
        <v>68982265</v>
      </c>
    </row>
    <row r="2195" spans="1:6" x14ac:dyDescent="0.2">
      <c r="A2195" s="2">
        <f ca="1">IFERROR(__xludf.DUMMYFUNCTION("""COMPUTED_VALUE"""),45463.6666666666)</f>
        <v>45463.666666666599</v>
      </c>
      <c r="B2195" s="1">
        <f ca="1">IFERROR(__xludf.DUMMYFUNCTION("""COMPUTED_VALUE"""),184.68)</f>
        <v>184.68</v>
      </c>
      <c r="C2195" s="1">
        <f ca="1">IFERROR(__xludf.DUMMYFUNCTION("""COMPUTED_VALUE"""),185.21)</f>
        <v>185.21</v>
      </c>
      <c r="D2195" s="1">
        <f ca="1">IFERROR(__xludf.DUMMYFUNCTION("""COMPUTED_VALUE"""),179.66)</f>
        <v>179.66</v>
      </c>
      <c r="E2195" s="1">
        <f ca="1">IFERROR(__xludf.DUMMYFUNCTION("""COMPUTED_VALUE"""),181.57)</f>
        <v>181.57</v>
      </c>
      <c r="F2195" s="1">
        <f ca="1">IFERROR(__xludf.DUMMYFUNCTION("""COMPUTED_VALUE"""),55893139)</f>
        <v>55893139</v>
      </c>
    </row>
    <row r="2196" spans="1:6" x14ac:dyDescent="0.2">
      <c r="A2196" s="2">
        <f ca="1">IFERROR(__xludf.DUMMYFUNCTION("""COMPUTED_VALUE"""),45464.6666666666)</f>
        <v>45464.666666666599</v>
      </c>
      <c r="B2196" s="1">
        <f ca="1">IFERROR(__xludf.DUMMYFUNCTION("""COMPUTED_VALUE"""),182.3)</f>
        <v>182.3</v>
      </c>
      <c r="C2196" s="1">
        <f ca="1">IFERROR(__xludf.DUMMYFUNCTION("""COMPUTED_VALUE"""),183.95)</f>
        <v>183.95</v>
      </c>
      <c r="D2196" s="1">
        <f ca="1">IFERROR(__xludf.DUMMYFUNCTION("""COMPUTED_VALUE"""),180.69)</f>
        <v>180.69</v>
      </c>
      <c r="E2196" s="1">
        <f ca="1">IFERROR(__xludf.DUMMYFUNCTION("""COMPUTED_VALUE"""),183.01)</f>
        <v>183.01</v>
      </c>
      <c r="F2196" s="1">
        <f ca="1">IFERROR(__xludf.DUMMYFUNCTION("""COMPUTED_VALUE"""),63029482)</f>
        <v>63029482</v>
      </c>
    </row>
    <row r="2197" spans="1:6" x14ac:dyDescent="0.2">
      <c r="A2197" s="2">
        <f ca="1">IFERROR(__xludf.DUMMYFUNCTION("""COMPUTED_VALUE"""),45467.6666666666)</f>
        <v>45467.666666666599</v>
      </c>
      <c r="B2197" s="1">
        <f ca="1">IFERROR(__xludf.DUMMYFUNCTION("""COMPUTED_VALUE"""),184.97)</f>
        <v>184.97</v>
      </c>
      <c r="C2197" s="1">
        <f ca="1">IFERROR(__xludf.DUMMYFUNCTION("""COMPUTED_VALUE"""),188.8)</f>
        <v>188.8</v>
      </c>
      <c r="D2197" s="1">
        <f ca="1">IFERROR(__xludf.DUMMYFUNCTION("""COMPUTED_VALUE"""),182.55)</f>
        <v>182.55</v>
      </c>
      <c r="E2197" s="1">
        <f ca="1">IFERROR(__xludf.DUMMYFUNCTION("""COMPUTED_VALUE"""),182.58)</f>
        <v>182.58</v>
      </c>
      <c r="F2197" s="1">
        <f ca="1">IFERROR(__xludf.DUMMYFUNCTION("""COMPUTED_VALUE"""),61992070)</f>
        <v>61992070</v>
      </c>
    </row>
    <row r="2198" spans="1:6" x14ac:dyDescent="0.2">
      <c r="A2198" s="2">
        <f ca="1">IFERROR(__xludf.DUMMYFUNCTION("""COMPUTED_VALUE"""),45468.6666666666)</f>
        <v>45468.666666666599</v>
      </c>
      <c r="B2198" s="1">
        <f ca="1">IFERROR(__xludf.DUMMYFUNCTION("""COMPUTED_VALUE"""),184.4)</f>
        <v>184.4</v>
      </c>
      <c r="C2198" s="1">
        <f ca="1">IFERROR(__xludf.DUMMYFUNCTION("""COMPUTED_VALUE"""),187.97)</f>
        <v>187.97</v>
      </c>
      <c r="D2198" s="1">
        <f ca="1">IFERROR(__xludf.DUMMYFUNCTION("""COMPUTED_VALUE"""),182.01)</f>
        <v>182.01</v>
      </c>
      <c r="E2198" s="1">
        <f ca="1">IFERROR(__xludf.DUMMYFUNCTION("""COMPUTED_VALUE"""),187.35)</f>
        <v>187.35</v>
      </c>
      <c r="F2198" s="1">
        <f ca="1">IFERROR(__xludf.DUMMYFUNCTION("""COMPUTED_VALUE"""),63678265)</f>
        <v>63678265</v>
      </c>
    </row>
    <row r="2199" spans="1:6" x14ac:dyDescent="0.2">
      <c r="A2199" s="2">
        <f ca="1">IFERROR(__xludf.DUMMYFUNCTION("""COMPUTED_VALUE"""),45469.6666666666)</f>
        <v>45469.666666666599</v>
      </c>
      <c r="B2199" s="1">
        <f ca="1">IFERROR(__xludf.DUMMYFUNCTION("""COMPUTED_VALUE"""),186.54)</f>
        <v>186.54</v>
      </c>
      <c r="C2199" s="1">
        <f ca="1">IFERROR(__xludf.DUMMYFUNCTION("""COMPUTED_VALUE"""),197.76)</f>
        <v>197.76</v>
      </c>
      <c r="D2199" s="1">
        <f ca="1">IFERROR(__xludf.DUMMYFUNCTION("""COMPUTED_VALUE"""),186.36)</f>
        <v>186.36</v>
      </c>
      <c r="E2199" s="1">
        <f ca="1">IFERROR(__xludf.DUMMYFUNCTION("""COMPUTED_VALUE"""),196.37)</f>
        <v>196.37</v>
      </c>
      <c r="F2199" s="1">
        <f ca="1">IFERROR(__xludf.DUMMYFUNCTION("""COMPUTED_VALUE"""),95737066)</f>
        <v>95737066</v>
      </c>
    </row>
    <row r="2200" spans="1:6" x14ac:dyDescent="0.2">
      <c r="A2200" s="2">
        <f ca="1">IFERROR(__xludf.DUMMYFUNCTION("""COMPUTED_VALUE"""),45470.6666666666)</f>
        <v>45470.666666666599</v>
      </c>
      <c r="B2200" s="1">
        <f ca="1">IFERROR(__xludf.DUMMYFUNCTION("""COMPUTED_VALUE"""),195.17)</f>
        <v>195.17</v>
      </c>
      <c r="C2200" s="1">
        <f ca="1">IFERROR(__xludf.DUMMYFUNCTION("""COMPUTED_VALUE"""),198.72)</f>
        <v>198.72</v>
      </c>
      <c r="D2200" s="1">
        <f ca="1">IFERROR(__xludf.DUMMYFUNCTION("""COMPUTED_VALUE"""),194.05)</f>
        <v>194.05</v>
      </c>
      <c r="E2200" s="1">
        <f ca="1">IFERROR(__xludf.DUMMYFUNCTION("""COMPUTED_VALUE"""),197.42)</f>
        <v>197.42</v>
      </c>
      <c r="F2200" s="1">
        <f ca="1">IFERROR(__xludf.DUMMYFUNCTION("""COMPUTED_VALUE"""),72746521)</f>
        <v>72746521</v>
      </c>
    </row>
    <row r="2201" spans="1:6" x14ac:dyDescent="0.2">
      <c r="A2201" s="2">
        <f ca="1">IFERROR(__xludf.DUMMYFUNCTION("""COMPUTED_VALUE"""),45471.6666666666)</f>
        <v>45471.666666666599</v>
      </c>
      <c r="B2201" s="1">
        <f ca="1">IFERROR(__xludf.DUMMYFUNCTION("""COMPUTED_VALUE"""),199.55)</f>
        <v>199.55</v>
      </c>
      <c r="C2201" s="1">
        <f ca="1">IFERROR(__xludf.DUMMYFUNCTION("""COMPUTED_VALUE"""),203.2)</f>
        <v>203.2</v>
      </c>
      <c r="D2201" s="1">
        <f ca="1">IFERROR(__xludf.DUMMYFUNCTION("""COMPUTED_VALUE"""),195.26)</f>
        <v>195.26</v>
      </c>
      <c r="E2201" s="1">
        <f ca="1">IFERROR(__xludf.DUMMYFUNCTION("""COMPUTED_VALUE"""),197.88)</f>
        <v>197.88</v>
      </c>
      <c r="F2201" s="1">
        <f ca="1">IFERROR(__xludf.DUMMYFUNCTION("""COMPUTED_VALUE"""),95438068)</f>
        <v>95438068</v>
      </c>
    </row>
    <row r="2202" spans="1:6" x14ac:dyDescent="0.2">
      <c r="A2202" s="2">
        <f ca="1">IFERROR(__xludf.DUMMYFUNCTION("""COMPUTED_VALUE"""),45474.6666666666)</f>
        <v>45474.666666666599</v>
      </c>
      <c r="B2202" s="1">
        <f ca="1">IFERROR(__xludf.DUMMYFUNCTION("""COMPUTED_VALUE"""),201.02)</f>
        <v>201.02</v>
      </c>
      <c r="C2202" s="1">
        <f ca="1">IFERROR(__xludf.DUMMYFUNCTION("""COMPUTED_VALUE"""),213.23)</f>
        <v>213.23</v>
      </c>
      <c r="D2202" s="1">
        <f ca="1">IFERROR(__xludf.DUMMYFUNCTION("""COMPUTED_VALUE"""),200.85)</f>
        <v>200.85</v>
      </c>
      <c r="E2202" s="1">
        <f ca="1">IFERROR(__xludf.DUMMYFUNCTION("""COMPUTED_VALUE"""),209.86)</f>
        <v>209.86</v>
      </c>
      <c r="F2202" s="1">
        <f ca="1">IFERROR(__xludf.DUMMYFUNCTION("""COMPUTED_VALUE"""),135691395)</f>
        <v>135691395</v>
      </c>
    </row>
    <row r="2203" spans="1:6" x14ac:dyDescent="0.2">
      <c r="A2203" s="2">
        <f ca="1">IFERROR(__xludf.DUMMYFUNCTION("""COMPUTED_VALUE"""),45475.6666666666)</f>
        <v>45475.666666666599</v>
      </c>
      <c r="B2203" s="1">
        <f ca="1">IFERROR(__xludf.DUMMYFUNCTION("""COMPUTED_VALUE"""),218.89)</f>
        <v>218.89</v>
      </c>
      <c r="C2203" s="1">
        <f ca="1">IFERROR(__xludf.DUMMYFUNCTION("""COMPUTED_VALUE"""),231.3)</f>
        <v>231.3</v>
      </c>
      <c r="D2203" s="1">
        <f ca="1">IFERROR(__xludf.DUMMYFUNCTION("""COMPUTED_VALUE"""),218.06)</f>
        <v>218.06</v>
      </c>
      <c r="E2203" s="1">
        <f ca="1">IFERROR(__xludf.DUMMYFUNCTION("""COMPUTED_VALUE"""),231.26)</f>
        <v>231.26</v>
      </c>
      <c r="F2203" s="1">
        <f ca="1">IFERROR(__xludf.DUMMYFUNCTION("""COMPUTED_VALUE"""),205047920)</f>
        <v>205047920</v>
      </c>
    </row>
    <row r="2204" spans="1:6" x14ac:dyDescent="0.2">
      <c r="A2204" s="2">
        <f ca="1">IFERROR(__xludf.DUMMYFUNCTION("""COMPUTED_VALUE"""),45476.5451388888)</f>
        <v>45476.545138888803</v>
      </c>
      <c r="B2204" s="1">
        <f ca="1">IFERROR(__xludf.DUMMYFUNCTION("""COMPUTED_VALUE"""),234.56)</f>
        <v>234.56</v>
      </c>
      <c r="C2204" s="1">
        <f ca="1">IFERROR(__xludf.DUMMYFUNCTION("""COMPUTED_VALUE"""),248.35)</f>
        <v>248.35</v>
      </c>
      <c r="D2204" s="1">
        <f ca="1">IFERROR(__xludf.DUMMYFUNCTION("""COMPUTED_VALUE"""),234.25)</f>
        <v>234.25</v>
      </c>
      <c r="E2204" s="1">
        <f ca="1">IFERROR(__xludf.DUMMYFUNCTION("""COMPUTED_VALUE"""),246.39)</f>
        <v>246.39</v>
      </c>
      <c r="F2204" s="1">
        <f ca="1">IFERROR(__xludf.DUMMYFUNCTION("""COMPUTED_VALUE"""),166561471)</f>
        <v>166561471</v>
      </c>
    </row>
    <row r="2205" spans="1:6" x14ac:dyDescent="0.2">
      <c r="A2205" s="2">
        <f ca="1">IFERROR(__xludf.DUMMYFUNCTION("""COMPUTED_VALUE"""),45478.6666666666)</f>
        <v>45478.666666666599</v>
      </c>
      <c r="B2205" s="1">
        <f ca="1">IFERROR(__xludf.DUMMYFUNCTION("""COMPUTED_VALUE"""),249.81)</f>
        <v>249.81</v>
      </c>
      <c r="C2205" s="1">
        <f ca="1">IFERROR(__xludf.DUMMYFUNCTION("""COMPUTED_VALUE"""),252.37)</f>
        <v>252.37</v>
      </c>
      <c r="D2205" s="1">
        <f ca="1">IFERROR(__xludf.DUMMYFUNCTION("""COMPUTED_VALUE"""),242.46)</f>
        <v>242.46</v>
      </c>
      <c r="E2205" s="1">
        <f ca="1">IFERROR(__xludf.DUMMYFUNCTION("""COMPUTED_VALUE"""),251.52)</f>
        <v>251.52</v>
      </c>
      <c r="F2205" s="1">
        <f ca="1">IFERROR(__xludf.DUMMYFUNCTION("""COMPUTED_VALUE"""),154501152)</f>
        <v>154501152</v>
      </c>
    </row>
    <row r="2206" spans="1:6" x14ac:dyDescent="0.2">
      <c r="A2206" s="2">
        <f ca="1">IFERROR(__xludf.DUMMYFUNCTION("""COMPUTED_VALUE"""),45481.6666666666)</f>
        <v>45481.666666666599</v>
      </c>
      <c r="B2206" s="1">
        <f ca="1">IFERROR(__xludf.DUMMYFUNCTION("""COMPUTED_VALUE"""),247.71)</f>
        <v>247.71</v>
      </c>
      <c r="C2206" s="1">
        <f ca="1">IFERROR(__xludf.DUMMYFUNCTION("""COMPUTED_VALUE"""),259.44)</f>
        <v>259.44</v>
      </c>
      <c r="D2206" s="1">
        <f ca="1">IFERROR(__xludf.DUMMYFUNCTION("""COMPUTED_VALUE"""),244.57)</f>
        <v>244.57</v>
      </c>
      <c r="E2206" s="1">
        <f ca="1">IFERROR(__xludf.DUMMYFUNCTION("""COMPUTED_VALUE"""),252.94)</f>
        <v>252.94</v>
      </c>
      <c r="F2206" s="1">
        <f ca="1">IFERROR(__xludf.DUMMYFUNCTION("""COMPUTED_VALUE"""),157219580)</f>
        <v>157219580</v>
      </c>
    </row>
    <row r="2207" spans="1:6" x14ac:dyDescent="0.2">
      <c r="A2207" s="2">
        <f ca="1">IFERROR(__xludf.DUMMYFUNCTION("""COMPUTED_VALUE"""),45482.6666666666)</f>
        <v>45482.666666666599</v>
      </c>
      <c r="B2207" s="1">
        <f ca="1">IFERROR(__xludf.DUMMYFUNCTION("""COMPUTED_VALUE"""),251)</f>
        <v>251</v>
      </c>
      <c r="C2207" s="1">
        <f ca="1">IFERROR(__xludf.DUMMYFUNCTION("""COMPUTED_VALUE"""),265.61)</f>
        <v>265.61</v>
      </c>
      <c r="D2207" s="1">
        <f ca="1">IFERROR(__xludf.DUMMYFUNCTION("""COMPUTED_VALUE"""),250.3)</f>
        <v>250.3</v>
      </c>
      <c r="E2207" s="1">
        <f ca="1">IFERROR(__xludf.DUMMYFUNCTION("""COMPUTED_VALUE"""),262.33)</f>
        <v>262.33</v>
      </c>
      <c r="F2207" s="1">
        <f ca="1">IFERROR(__xludf.DUMMYFUNCTION("""COMPUTED_VALUE"""),160742516)</f>
        <v>160742516</v>
      </c>
    </row>
    <row r="2208" spans="1:6" x14ac:dyDescent="0.2">
      <c r="A2208" s="2">
        <f ca="1">IFERROR(__xludf.DUMMYFUNCTION("""COMPUTED_VALUE"""),45483.6666666666)</f>
        <v>45483.666666666599</v>
      </c>
      <c r="B2208" s="1">
        <f ca="1">IFERROR(__xludf.DUMMYFUNCTION("""COMPUTED_VALUE"""),262.8)</f>
        <v>262.8</v>
      </c>
      <c r="C2208" s="1">
        <f ca="1">IFERROR(__xludf.DUMMYFUNCTION("""COMPUTED_VALUE"""),267.59)</f>
        <v>267.58999999999997</v>
      </c>
      <c r="D2208" s="1">
        <f ca="1">IFERROR(__xludf.DUMMYFUNCTION("""COMPUTED_VALUE"""),257.86)</f>
        <v>257.86</v>
      </c>
      <c r="E2208" s="1">
        <f ca="1">IFERROR(__xludf.DUMMYFUNCTION("""COMPUTED_VALUE"""),263.26)</f>
        <v>263.26</v>
      </c>
      <c r="F2208" s="1">
        <f ca="1">IFERROR(__xludf.DUMMYFUNCTION("""COMPUTED_VALUE"""),128519430)</f>
        <v>128519430</v>
      </c>
    </row>
    <row r="2209" spans="1:6" x14ac:dyDescent="0.2">
      <c r="A2209" s="2">
        <f ca="1">IFERROR(__xludf.DUMMYFUNCTION("""COMPUTED_VALUE"""),45484.6666666666)</f>
        <v>45484.666666666599</v>
      </c>
      <c r="B2209" s="1">
        <f ca="1">IFERROR(__xludf.DUMMYFUNCTION("""COMPUTED_VALUE"""),263.3)</f>
        <v>263.3</v>
      </c>
      <c r="C2209" s="1">
        <f ca="1">IFERROR(__xludf.DUMMYFUNCTION("""COMPUTED_VALUE"""),271)</f>
        <v>271</v>
      </c>
      <c r="D2209" s="1">
        <f ca="1">IFERROR(__xludf.DUMMYFUNCTION("""COMPUTED_VALUE"""),239.65)</f>
        <v>239.65</v>
      </c>
      <c r="E2209" s="1">
        <f ca="1">IFERROR(__xludf.DUMMYFUNCTION("""COMPUTED_VALUE"""),241.03)</f>
        <v>241.03</v>
      </c>
      <c r="F2209" s="1">
        <f ca="1">IFERROR(__xludf.DUMMYFUNCTION("""COMPUTED_VALUE"""),221707273)</f>
        <v>221707273</v>
      </c>
    </row>
    <row r="2210" spans="1:6" x14ac:dyDescent="0.2">
      <c r="A2210" s="2">
        <f ca="1">IFERROR(__xludf.DUMMYFUNCTION("""COMPUTED_VALUE"""),45485.6666666666)</f>
        <v>45485.666666666599</v>
      </c>
      <c r="B2210" s="1">
        <f ca="1">IFERROR(__xludf.DUMMYFUNCTION("""COMPUTED_VALUE"""),235.8)</f>
        <v>235.8</v>
      </c>
      <c r="C2210" s="1">
        <f ca="1">IFERROR(__xludf.DUMMYFUNCTION("""COMPUTED_VALUE"""),251.84)</f>
        <v>251.84</v>
      </c>
      <c r="D2210" s="1">
        <f ca="1">IFERROR(__xludf.DUMMYFUNCTION("""COMPUTED_VALUE"""),233.09)</f>
        <v>233.09</v>
      </c>
      <c r="E2210" s="1">
        <f ca="1">IFERROR(__xludf.DUMMYFUNCTION("""COMPUTED_VALUE"""),248.23)</f>
        <v>248.23</v>
      </c>
      <c r="F2210" s="1">
        <f ca="1">IFERROR(__xludf.DUMMYFUNCTION("""COMPUTED_VALUE"""),155955773)</f>
        <v>155955773</v>
      </c>
    </row>
    <row r="2211" spans="1:6" x14ac:dyDescent="0.2">
      <c r="A2211" s="2">
        <f ca="1">IFERROR(__xludf.DUMMYFUNCTION("""COMPUTED_VALUE"""),45488.6666666666)</f>
        <v>45488.666666666599</v>
      </c>
      <c r="B2211" s="1">
        <f ca="1">IFERROR(__xludf.DUMMYFUNCTION("""COMPUTED_VALUE"""),255.97)</f>
        <v>255.97</v>
      </c>
      <c r="C2211" s="1">
        <f ca="1">IFERROR(__xludf.DUMMYFUNCTION("""COMPUTED_VALUE"""),265.6)</f>
        <v>265.60000000000002</v>
      </c>
      <c r="D2211" s="1">
        <f ca="1">IFERROR(__xludf.DUMMYFUNCTION("""COMPUTED_VALUE"""),251.73)</f>
        <v>251.73</v>
      </c>
      <c r="E2211" s="1">
        <f ca="1">IFERROR(__xludf.DUMMYFUNCTION("""COMPUTED_VALUE"""),252.64)</f>
        <v>252.64</v>
      </c>
      <c r="F2211" s="1">
        <f ca="1">IFERROR(__xludf.DUMMYFUNCTION("""COMPUTED_VALUE"""),146912920)</f>
        <v>146912920</v>
      </c>
    </row>
    <row r="2212" spans="1:6" x14ac:dyDescent="0.2">
      <c r="A2212" s="2">
        <f ca="1">IFERROR(__xludf.DUMMYFUNCTION("""COMPUTED_VALUE"""),45489.6666666666)</f>
        <v>45489.666666666599</v>
      </c>
      <c r="B2212" s="1">
        <f ca="1">IFERROR(__xludf.DUMMYFUNCTION("""COMPUTED_VALUE"""),255.31)</f>
        <v>255.31</v>
      </c>
      <c r="C2212" s="1">
        <f ca="1">IFERROR(__xludf.DUMMYFUNCTION("""COMPUTED_VALUE"""),258.62)</f>
        <v>258.62</v>
      </c>
      <c r="D2212" s="1">
        <f ca="1">IFERROR(__xludf.DUMMYFUNCTION("""COMPUTED_VALUE"""),245.8)</f>
        <v>245.8</v>
      </c>
      <c r="E2212" s="1">
        <f ca="1">IFERROR(__xludf.DUMMYFUNCTION("""COMPUTED_VALUE"""),256.56)</f>
        <v>256.56</v>
      </c>
      <c r="F2212" s="1">
        <f ca="1">IFERROR(__xludf.DUMMYFUNCTION("""COMPUTED_VALUE"""),126332470)</f>
        <v>126332470</v>
      </c>
    </row>
    <row r="2213" spans="1:6" x14ac:dyDescent="0.2">
      <c r="A2213" s="2">
        <f ca="1">IFERROR(__xludf.DUMMYFUNCTION("""COMPUTED_VALUE"""),45490.6666666666)</f>
        <v>45490.666666666599</v>
      </c>
      <c r="B2213" s="1">
        <f ca="1">IFERROR(__xludf.DUMMYFUNCTION("""COMPUTED_VALUE"""),252.73)</f>
        <v>252.73</v>
      </c>
      <c r="C2213" s="1">
        <f ca="1">IFERROR(__xludf.DUMMYFUNCTION("""COMPUTED_VALUE"""),258.47)</f>
        <v>258.47000000000003</v>
      </c>
      <c r="D2213" s="1">
        <f ca="1">IFERROR(__xludf.DUMMYFUNCTION("""COMPUTED_VALUE"""),246.18)</f>
        <v>246.18</v>
      </c>
      <c r="E2213" s="1">
        <f ca="1">IFERROR(__xludf.DUMMYFUNCTION("""COMPUTED_VALUE"""),248.5)</f>
        <v>248.5</v>
      </c>
      <c r="F2213" s="1">
        <f ca="1">IFERROR(__xludf.DUMMYFUNCTION("""COMPUTED_VALUE"""),115584810)</f>
        <v>115584810</v>
      </c>
    </row>
    <row r="2214" spans="1:6" x14ac:dyDescent="0.2">
      <c r="A2214" s="2">
        <f ca="1">IFERROR(__xludf.DUMMYFUNCTION("""COMPUTED_VALUE"""),45491.6666666666)</f>
        <v>45491.666666666599</v>
      </c>
      <c r="B2214" s="1">
        <f ca="1">IFERROR(__xludf.DUMMYFUNCTION("""COMPUTED_VALUE"""),251.09)</f>
        <v>251.09</v>
      </c>
      <c r="C2214" s="1">
        <f ca="1">IFERROR(__xludf.DUMMYFUNCTION("""COMPUTED_VALUE"""),257.14)</f>
        <v>257.14</v>
      </c>
      <c r="D2214" s="1">
        <f ca="1">IFERROR(__xludf.DUMMYFUNCTION("""COMPUTED_VALUE"""),247.2)</f>
        <v>247.2</v>
      </c>
      <c r="E2214" s="1">
        <f ca="1">IFERROR(__xludf.DUMMYFUNCTION("""COMPUTED_VALUE"""),249.23)</f>
        <v>249.23</v>
      </c>
      <c r="F2214" s="1">
        <f ca="1">IFERROR(__xludf.DUMMYFUNCTION("""COMPUTED_VALUE"""),110869037)</f>
        <v>110869037</v>
      </c>
    </row>
    <row r="2215" spans="1:6" x14ac:dyDescent="0.2">
      <c r="A2215" s="2">
        <f ca="1">IFERROR(__xludf.DUMMYFUNCTION("""COMPUTED_VALUE"""),45492.6666666666)</f>
        <v>45492.666666666599</v>
      </c>
      <c r="B2215" s="1">
        <f ca="1">IFERROR(__xludf.DUMMYFUNCTION("""COMPUTED_VALUE"""),247.79)</f>
        <v>247.79</v>
      </c>
      <c r="C2215" s="1">
        <f ca="1">IFERROR(__xludf.DUMMYFUNCTION("""COMPUTED_VALUE"""),249.44)</f>
        <v>249.44</v>
      </c>
      <c r="D2215" s="1">
        <f ca="1">IFERROR(__xludf.DUMMYFUNCTION("""COMPUTED_VALUE"""),236.83)</f>
        <v>236.83</v>
      </c>
      <c r="E2215" s="1">
        <f ca="1">IFERROR(__xludf.DUMMYFUNCTION("""COMPUTED_VALUE"""),239.2)</f>
        <v>239.2</v>
      </c>
      <c r="F2215" s="1">
        <f ca="1">IFERROR(__xludf.DUMMYFUNCTION("""COMPUTED_VALUE"""),87403903)</f>
        <v>87403903</v>
      </c>
    </row>
    <row r="2216" spans="1:6" x14ac:dyDescent="0.2">
      <c r="A2216" s="2">
        <f ca="1">IFERROR(__xludf.DUMMYFUNCTION("""COMPUTED_VALUE"""),45495.6666666666)</f>
        <v>45495.666666666599</v>
      </c>
      <c r="B2216" s="1">
        <f ca="1">IFERROR(__xludf.DUMMYFUNCTION("""COMPUTED_VALUE"""),244.21)</f>
        <v>244.21</v>
      </c>
      <c r="C2216" s="1">
        <f ca="1">IFERROR(__xludf.DUMMYFUNCTION("""COMPUTED_VALUE"""),253.21)</f>
        <v>253.21</v>
      </c>
      <c r="D2216" s="1">
        <f ca="1">IFERROR(__xludf.DUMMYFUNCTION("""COMPUTED_VALUE"""),243.75)</f>
        <v>243.75</v>
      </c>
      <c r="E2216" s="1">
        <f ca="1">IFERROR(__xludf.DUMMYFUNCTION("""COMPUTED_VALUE"""),251.51)</f>
        <v>251.51</v>
      </c>
      <c r="F2216" s="1">
        <f ca="1">IFERROR(__xludf.DUMMYFUNCTION("""COMPUTED_VALUE"""),101225430)</f>
        <v>101225430</v>
      </c>
    </row>
    <row r="2217" spans="1:6" x14ac:dyDescent="0.2">
      <c r="A2217" s="2">
        <f ca="1">IFERROR(__xludf.DUMMYFUNCTION("""COMPUTED_VALUE"""),45496.6666666666)</f>
        <v>45496.666666666599</v>
      </c>
      <c r="B2217" s="1">
        <f ca="1">IFERROR(__xludf.DUMMYFUNCTION("""COMPUTED_VALUE"""),253.6)</f>
        <v>253.6</v>
      </c>
      <c r="C2217" s="1">
        <f ca="1">IFERROR(__xludf.DUMMYFUNCTION("""COMPUTED_VALUE"""),255.76)</f>
        <v>255.76</v>
      </c>
      <c r="D2217" s="1">
        <f ca="1">IFERROR(__xludf.DUMMYFUNCTION("""COMPUTED_VALUE"""),245.63)</f>
        <v>245.63</v>
      </c>
      <c r="E2217" s="1">
        <f ca="1">IFERROR(__xludf.DUMMYFUNCTION("""COMPUTED_VALUE"""),246.38)</f>
        <v>246.38</v>
      </c>
      <c r="F2217" s="1">
        <f ca="1">IFERROR(__xludf.DUMMYFUNCTION("""COMPUTED_VALUE"""),111928192)</f>
        <v>111928192</v>
      </c>
    </row>
    <row r="2218" spans="1:6" x14ac:dyDescent="0.2">
      <c r="A2218" s="2">
        <f ca="1">IFERROR(__xludf.DUMMYFUNCTION("""COMPUTED_VALUE"""),45497.6666666666)</f>
        <v>45497.666666666599</v>
      </c>
      <c r="B2218" s="1">
        <f ca="1">IFERROR(__xludf.DUMMYFUNCTION("""COMPUTED_VALUE"""),225.42)</f>
        <v>225.42</v>
      </c>
      <c r="C2218" s="1">
        <f ca="1">IFERROR(__xludf.DUMMYFUNCTION("""COMPUTED_VALUE"""),225.99)</f>
        <v>225.99</v>
      </c>
      <c r="D2218" s="1">
        <f ca="1">IFERROR(__xludf.DUMMYFUNCTION("""COMPUTED_VALUE"""),214.71)</f>
        <v>214.71</v>
      </c>
      <c r="E2218" s="1">
        <f ca="1">IFERROR(__xludf.DUMMYFUNCTION("""COMPUTED_VALUE"""),215.99)</f>
        <v>215.99</v>
      </c>
      <c r="F2218" s="1">
        <f ca="1">IFERROR(__xludf.DUMMYFUNCTION("""COMPUTED_VALUE"""),167942939)</f>
        <v>167942939</v>
      </c>
    </row>
    <row r="2219" spans="1:6" x14ac:dyDescent="0.2">
      <c r="A2219" s="2">
        <f ca="1">IFERROR(__xludf.DUMMYFUNCTION("""COMPUTED_VALUE"""),45498.6666666666)</f>
        <v>45498.666666666599</v>
      </c>
      <c r="B2219" s="1">
        <f ca="1">IFERROR(__xludf.DUMMYFUNCTION("""COMPUTED_VALUE"""),216.8)</f>
        <v>216.8</v>
      </c>
      <c r="C2219" s="1">
        <f ca="1">IFERROR(__xludf.DUMMYFUNCTION("""COMPUTED_VALUE"""),226)</f>
        <v>226</v>
      </c>
      <c r="D2219" s="1">
        <f ca="1">IFERROR(__xludf.DUMMYFUNCTION("""COMPUTED_VALUE"""),216.23)</f>
        <v>216.23</v>
      </c>
      <c r="E2219" s="1">
        <f ca="1">IFERROR(__xludf.DUMMYFUNCTION("""COMPUTED_VALUE"""),220.25)</f>
        <v>220.25</v>
      </c>
      <c r="F2219" s="1">
        <f ca="1">IFERROR(__xludf.DUMMYFUNCTION("""COMPUTED_VALUE"""),100636466)</f>
        <v>100636466</v>
      </c>
    </row>
    <row r="2220" spans="1:6" x14ac:dyDescent="0.2">
      <c r="A2220" s="2">
        <f ca="1">IFERROR(__xludf.DUMMYFUNCTION("""COMPUTED_VALUE"""),45499.6666666666)</f>
        <v>45499.666666666599</v>
      </c>
      <c r="B2220" s="1">
        <f ca="1">IFERROR(__xludf.DUMMYFUNCTION("""COMPUTED_VALUE"""),221.19)</f>
        <v>221.19</v>
      </c>
      <c r="C2220" s="1">
        <f ca="1">IFERROR(__xludf.DUMMYFUNCTION("""COMPUTED_VALUE"""),222.28)</f>
        <v>222.28</v>
      </c>
      <c r="D2220" s="1">
        <f ca="1">IFERROR(__xludf.DUMMYFUNCTION("""COMPUTED_VALUE"""),215.33)</f>
        <v>215.33</v>
      </c>
      <c r="E2220" s="1">
        <f ca="1">IFERROR(__xludf.DUMMYFUNCTION("""COMPUTED_VALUE"""),219.8)</f>
        <v>219.8</v>
      </c>
      <c r="F2220" s="1">
        <f ca="1">IFERROR(__xludf.DUMMYFUNCTION("""COMPUTED_VALUE"""),94604145)</f>
        <v>94604145</v>
      </c>
    </row>
    <row r="2221" spans="1:6" x14ac:dyDescent="0.2">
      <c r="A2221" s="2">
        <f ca="1">IFERROR(__xludf.DUMMYFUNCTION("""COMPUTED_VALUE"""),45502.6666666666)</f>
        <v>45502.666666666599</v>
      </c>
      <c r="B2221" s="1">
        <f ca="1">IFERROR(__xludf.DUMMYFUNCTION("""COMPUTED_VALUE"""),224.9)</f>
        <v>224.9</v>
      </c>
      <c r="C2221" s="1">
        <f ca="1">IFERROR(__xludf.DUMMYFUNCTION("""COMPUTED_VALUE"""),234.27)</f>
        <v>234.27</v>
      </c>
      <c r="D2221" s="1">
        <f ca="1">IFERROR(__xludf.DUMMYFUNCTION("""COMPUTED_VALUE"""),224.7)</f>
        <v>224.7</v>
      </c>
      <c r="E2221" s="1">
        <f ca="1">IFERROR(__xludf.DUMMYFUNCTION("""COMPUTED_VALUE"""),232.1)</f>
        <v>232.1</v>
      </c>
      <c r="F2221" s="1">
        <f ca="1">IFERROR(__xludf.DUMMYFUNCTION("""COMPUTED_VALUE"""),129201789)</f>
        <v>129201789</v>
      </c>
    </row>
    <row r="2222" spans="1:6" x14ac:dyDescent="0.2">
      <c r="A2222" s="2">
        <f ca="1">IFERROR(__xludf.DUMMYFUNCTION("""COMPUTED_VALUE"""),45503.6666666666)</f>
        <v>45503.666666666599</v>
      </c>
      <c r="B2222" s="1">
        <f ca="1">IFERROR(__xludf.DUMMYFUNCTION("""COMPUTED_VALUE"""),232.25)</f>
        <v>232.25</v>
      </c>
      <c r="C2222" s="1">
        <f ca="1">IFERROR(__xludf.DUMMYFUNCTION("""COMPUTED_VALUE"""),232.41)</f>
        <v>232.41</v>
      </c>
      <c r="D2222" s="1">
        <f ca="1">IFERROR(__xludf.DUMMYFUNCTION("""COMPUTED_VALUE"""),220)</f>
        <v>220</v>
      </c>
      <c r="E2222" s="1">
        <f ca="1">IFERROR(__xludf.DUMMYFUNCTION("""COMPUTED_VALUE"""),222.62)</f>
        <v>222.62</v>
      </c>
      <c r="F2222" s="1">
        <f ca="1">IFERROR(__xludf.DUMMYFUNCTION("""COMPUTED_VALUE"""),100560334)</f>
        <v>100560334</v>
      </c>
    </row>
    <row r="2223" spans="1:6" x14ac:dyDescent="0.2">
      <c r="A2223" s="2">
        <f ca="1">IFERROR(__xludf.DUMMYFUNCTION("""COMPUTED_VALUE"""),45504.6666666666)</f>
        <v>45504.666666666599</v>
      </c>
      <c r="B2223" s="1">
        <f ca="1">IFERROR(__xludf.DUMMYFUNCTION("""COMPUTED_VALUE"""),227.9)</f>
        <v>227.9</v>
      </c>
      <c r="C2223" s="1">
        <f ca="1">IFERROR(__xludf.DUMMYFUNCTION("""COMPUTED_VALUE"""),234.68)</f>
        <v>234.68</v>
      </c>
      <c r="D2223" s="1">
        <f ca="1">IFERROR(__xludf.DUMMYFUNCTION("""COMPUTED_VALUE"""),226.79)</f>
        <v>226.79</v>
      </c>
      <c r="E2223" s="1">
        <f ca="1">IFERROR(__xludf.DUMMYFUNCTION("""COMPUTED_VALUE"""),232.07)</f>
        <v>232.07</v>
      </c>
      <c r="F2223" s="1">
        <f ca="1">IFERROR(__xludf.DUMMYFUNCTION("""COMPUTED_VALUE"""),67497011)</f>
        <v>67497011</v>
      </c>
    </row>
    <row r="2224" spans="1:6" x14ac:dyDescent="0.2">
      <c r="A2224" s="2">
        <f ca="1">IFERROR(__xludf.DUMMYFUNCTION("""COMPUTED_VALUE"""),45505.6666666666)</f>
        <v>45505.666666666599</v>
      </c>
      <c r="B2224" s="1">
        <f ca="1">IFERROR(__xludf.DUMMYFUNCTION("""COMPUTED_VALUE"""),227.69)</f>
        <v>227.69</v>
      </c>
      <c r="C2224" s="1">
        <f ca="1">IFERROR(__xludf.DUMMYFUNCTION("""COMPUTED_VALUE"""),231.87)</f>
        <v>231.87</v>
      </c>
      <c r="D2224" s="1">
        <f ca="1">IFERROR(__xludf.DUMMYFUNCTION("""COMPUTED_VALUE"""),214.33)</f>
        <v>214.33</v>
      </c>
      <c r="E2224" s="1">
        <f ca="1">IFERROR(__xludf.DUMMYFUNCTION("""COMPUTED_VALUE"""),216.86)</f>
        <v>216.86</v>
      </c>
      <c r="F2224" s="1">
        <f ca="1">IFERROR(__xludf.DUMMYFUNCTION("""COMPUTED_VALUE"""),83861898)</f>
        <v>83861898</v>
      </c>
    </row>
    <row r="2225" spans="1:6" x14ac:dyDescent="0.2">
      <c r="A2225" s="2">
        <f ca="1">IFERROR(__xludf.DUMMYFUNCTION("""COMPUTED_VALUE"""),45506.6666666666)</f>
        <v>45506.666666666599</v>
      </c>
      <c r="B2225" s="1">
        <f ca="1">IFERROR(__xludf.DUMMYFUNCTION("""COMPUTED_VALUE"""),214.88)</f>
        <v>214.88</v>
      </c>
      <c r="C2225" s="1">
        <f ca="1">IFERROR(__xludf.DUMMYFUNCTION("""COMPUTED_VALUE"""),216.13)</f>
        <v>216.13</v>
      </c>
      <c r="D2225" s="1">
        <f ca="1">IFERROR(__xludf.DUMMYFUNCTION("""COMPUTED_VALUE"""),205.78)</f>
        <v>205.78</v>
      </c>
      <c r="E2225" s="1">
        <f ca="1">IFERROR(__xludf.DUMMYFUNCTION("""COMPUTED_VALUE"""),207.67)</f>
        <v>207.67</v>
      </c>
      <c r="F2225" s="1">
        <f ca="1">IFERROR(__xludf.DUMMYFUNCTION("""COMPUTED_VALUE"""),82880120)</f>
        <v>82880120</v>
      </c>
    </row>
    <row r="2226" spans="1:6" x14ac:dyDescent="0.2">
      <c r="A2226" s="2">
        <f ca="1">IFERROR(__xludf.DUMMYFUNCTION("""COMPUTED_VALUE"""),45509.6666666666)</f>
        <v>45509.666666666599</v>
      </c>
      <c r="B2226" s="1">
        <f ca="1">IFERROR(__xludf.DUMMYFUNCTION("""COMPUTED_VALUE"""),185.22)</f>
        <v>185.22</v>
      </c>
      <c r="C2226" s="1">
        <f ca="1">IFERROR(__xludf.DUMMYFUNCTION("""COMPUTED_VALUE"""),203.88)</f>
        <v>203.88</v>
      </c>
      <c r="D2226" s="1">
        <f ca="1">IFERROR(__xludf.DUMMYFUNCTION("""COMPUTED_VALUE"""),182)</f>
        <v>182</v>
      </c>
      <c r="E2226" s="1">
        <f ca="1">IFERROR(__xludf.DUMMYFUNCTION("""COMPUTED_VALUE"""),198.88)</f>
        <v>198.88</v>
      </c>
      <c r="F2226" s="1">
        <f ca="1">IFERROR(__xludf.DUMMYFUNCTION("""COMPUTED_VALUE"""),100308836)</f>
        <v>100308836</v>
      </c>
    </row>
    <row r="2227" spans="1:6" x14ac:dyDescent="0.2">
      <c r="A2227" s="2">
        <f ca="1">IFERROR(__xludf.DUMMYFUNCTION("""COMPUTED_VALUE"""),45510.6666666666)</f>
        <v>45510.666666666599</v>
      </c>
      <c r="B2227" s="1">
        <f ca="1">IFERROR(__xludf.DUMMYFUNCTION("""COMPUTED_VALUE"""),200.75)</f>
        <v>200.75</v>
      </c>
      <c r="C2227" s="1">
        <f ca="1">IFERROR(__xludf.DUMMYFUNCTION("""COMPUTED_VALUE"""),202.9)</f>
        <v>202.9</v>
      </c>
      <c r="D2227" s="1">
        <f ca="1">IFERROR(__xludf.DUMMYFUNCTION("""COMPUTED_VALUE"""),192.67)</f>
        <v>192.67</v>
      </c>
      <c r="E2227" s="1">
        <f ca="1">IFERROR(__xludf.DUMMYFUNCTION("""COMPUTED_VALUE"""),200.64)</f>
        <v>200.64</v>
      </c>
      <c r="F2227" s="1">
        <f ca="1">IFERROR(__xludf.DUMMYFUNCTION("""COMPUTED_VALUE"""),73783942)</f>
        <v>73783942</v>
      </c>
    </row>
    <row r="2228" spans="1:6" x14ac:dyDescent="0.2">
      <c r="A2228" s="2">
        <f ca="1">IFERROR(__xludf.DUMMYFUNCTION("""COMPUTED_VALUE"""),45511.6666666666)</f>
        <v>45511.666666666599</v>
      </c>
      <c r="B2228" s="1">
        <f ca="1">IFERROR(__xludf.DUMMYFUNCTION("""COMPUTED_VALUE"""),200.77)</f>
        <v>200.77</v>
      </c>
      <c r="C2228" s="1">
        <f ca="1">IFERROR(__xludf.DUMMYFUNCTION("""COMPUTED_VALUE"""),203.49)</f>
        <v>203.49</v>
      </c>
      <c r="D2228" s="1">
        <f ca="1">IFERROR(__xludf.DUMMYFUNCTION("""COMPUTED_VALUE"""),191.48)</f>
        <v>191.48</v>
      </c>
      <c r="E2228" s="1">
        <f ca="1">IFERROR(__xludf.DUMMYFUNCTION("""COMPUTED_VALUE"""),191.76)</f>
        <v>191.76</v>
      </c>
      <c r="F2228" s="1">
        <f ca="1">IFERROR(__xludf.DUMMYFUNCTION("""COMPUTED_VALUE"""),71159778)</f>
        <v>71159778</v>
      </c>
    </row>
    <row r="2229" spans="1:6" x14ac:dyDescent="0.2">
      <c r="A2229" s="2">
        <f ca="1">IFERROR(__xludf.DUMMYFUNCTION("""COMPUTED_VALUE"""),45512.6666666666)</f>
        <v>45512.666666666599</v>
      </c>
      <c r="B2229" s="1">
        <f ca="1">IFERROR(__xludf.DUMMYFUNCTION("""COMPUTED_VALUE"""),195.7)</f>
        <v>195.7</v>
      </c>
      <c r="C2229" s="1">
        <f ca="1">IFERROR(__xludf.DUMMYFUNCTION("""COMPUTED_VALUE"""),200.7)</f>
        <v>200.7</v>
      </c>
      <c r="D2229" s="1">
        <f ca="1">IFERROR(__xludf.DUMMYFUNCTION("""COMPUTED_VALUE"""),192.04)</f>
        <v>192.04</v>
      </c>
      <c r="E2229" s="1">
        <f ca="1">IFERROR(__xludf.DUMMYFUNCTION("""COMPUTED_VALUE"""),198.84)</f>
        <v>198.84</v>
      </c>
      <c r="F2229" s="1">
        <f ca="1">IFERROR(__xludf.DUMMYFUNCTION("""COMPUTED_VALUE"""),65033874)</f>
        <v>65033874</v>
      </c>
    </row>
    <row r="2230" spans="1:6" x14ac:dyDescent="0.2">
      <c r="A2230" s="2">
        <f ca="1">IFERROR(__xludf.DUMMYFUNCTION("""COMPUTED_VALUE"""),45513.6666666666)</f>
        <v>45513.666666666599</v>
      </c>
      <c r="B2230" s="1">
        <f ca="1">IFERROR(__xludf.DUMMYFUNCTION("""COMPUTED_VALUE"""),197.05)</f>
        <v>197.05</v>
      </c>
      <c r="C2230" s="1">
        <f ca="1">IFERROR(__xludf.DUMMYFUNCTION("""COMPUTED_VALUE"""),200.88)</f>
        <v>200.88</v>
      </c>
      <c r="D2230" s="1">
        <f ca="1">IFERROR(__xludf.DUMMYFUNCTION("""COMPUTED_VALUE"""),195.11)</f>
        <v>195.11</v>
      </c>
      <c r="E2230" s="1">
        <f ca="1">IFERROR(__xludf.DUMMYFUNCTION("""COMPUTED_VALUE"""),200)</f>
        <v>200</v>
      </c>
      <c r="F2230" s="1">
        <f ca="1">IFERROR(__xludf.DUMMYFUNCTION("""COMPUTED_VALUE"""),58648274)</f>
        <v>58648274</v>
      </c>
    </row>
    <row r="2231" spans="1:6" x14ac:dyDescent="0.2">
      <c r="A2231" s="2">
        <f ca="1">IFERROR(__xludf.DUMMYFUNCTION("""COMPUTED_VALUE"""),45516.6666666666)</f>
        <v>45516.666666666599</v>
      </c>
      <c r="B2231" s="1">
        <f ca="1">IFERROR(__xludf.DUMMYFUNCTION("""COMPUTED_VALUE"""),199.02)</f>
        <v>199.02</v>
      </c>
      <c r="C2231" s="1">
        <f ca="1">IFERROR(__xludf.DUMMYFUNCTION("""COMPUTED_VALUE"""),199.26)</f>
        <v>199.26</v>
      </c>
      <c r="D2231" s="1">
        <f ca="1">IFERROR(__xludf.DUMMYFUNCTION("""COMPUTED_VALUE"""),194.67)</f>
        <v>194.67</v>
      </c>
      <c r="E2231" s="1">
        <f ca="1">IFERROR(__xludf.DUMMYFUNCTION("""COMPUTED_VALUE"""),197.49)</f>
        <v>197.49</v>
      </c>
      <c r="F2231" s="1">
        <f ca="1">IFERROR(__xludf.DUMMYFUNCTION("""COMPUTED_VALUE"""),64044903)</f>
        <v>64044903</v>
      </c>
    </row>
    <row r="2232" spans="1:6" x14ac:dyDescent="0.2">
      <c r="A2232" s="2">
        <f ca="1">IFERROR(__xludf.DUMMYFUNCTION("""COMPUTED_VALUE"""),45517.6666666666)</f>
        <v>45517.666666666599</v>
      </c>
      <c r="B2232" s="1">
        <f ca="1">IFERROR(__xludf.DUMMYFUNCTION("""COMPUTED_VALUE"""),198.47)</f>
        <v>198.47</v>
      </c>
      <c r="C2232" s="1">
        <f ca="1">IFERROR(__xludf.DUMMYFUNCTION("""COMPUTED_VALUE"""),208.49)</f>
        <v>208.49</v>
      </c>
      <c r="D2232" s="1">
        <f ca="1">IFERROR(__xludf.DUMMYFUNCTION("""COMPUTED_VALUE"""),197.06)</f>
        <v>197.06</v>
      </c>
      <c r="E2232" s="1">
        <f ca="1">IFERROR(__xludf.DUMMYFUNCTION("""COMPUTED_VALUE"""),207.83)</f>
        <v>207.83</v>
      </c>
      <c r="F2232" s="1">
        <f ca="1">IFERROR(__xludf.DUMMYFUNCTION("""COMPUTED_VALUE"""),76247387)</f>
        <v>76247387</v>
      </c>
    </row>
    <row r="2233" spans="1:6" x14ac:dyDescent="0.2">
      <c r="A2233" s="2">
        <f ca="1">IFERROR(__xludf.DUMMYFUNCTION("""COMPUTED_VALUE"""),45518.6666666666)</f>
        <v>45518.666666666599</v>
      </c>
      <c r="B2233" s="1">
        <f ca="1">IFERROR(__xludf.DUMMYFUNCTION("""COMPUTED_VALUE"""),207.39)</f>
        <v>207.39</v>
      </c>
      <c r="C2233" s="1">
        <f ca="1">IFERROR(__xludf.DUMMYFUNCTION("""COMPUTED_VALUE"""),208.44)</f>
        <v>208.44</v>
      </c>
      <c r="D2233" s="1">
        <f ca="1">IFERROR(__xludf.DUMMYFUNCTION("""COMPUTED_VALUE"""),198.75)</f>
        <v>198.75</v>
      </c>
      <c r="E2233" s="1">
        <f ca="1">IFERROR(__xludf.DUMMYFUNCTION("""COMPUTED_VALUE"""),201.38)</f>
        <v>201.38</v>
      </c>
      <c r="F2233" s="1">
        <f ca="1">IFERROR(__xludf.DUMMYFUNCTION("""COMPUTED_VALUE"""),70250014)</f>
        <v>70250014</v>
      </c>
    </row>
    <row r="2234" spans="1:6" x14ac:dyDescent="0.2">
      <c r="A2234" s="2">
        <f ca="1">IFERROR(__xludf.DUMMYFUNCTION("""COMPUTED_VALUE"""),45519.6666666666)</f>
        <v>45519.666666666599</v>
      </c>
      <c r="B2234" s="1">
        <f ca="1">IFERROR(__xludf.DUMMYFUNCTION("""COMPUTED_VALUE"""),205.02)</f>
        <v>205.02</v>
      </c>
      <c r="C2234" s="1">
        <f ca="1">IFERROR(__xludf.DUMMYFUNCTION("""COMPUTED_VALUE"""),215.88)</f>
        <v>215.88</v>
      </c>
      <c r="D2234" s="1">
        <f ca="1">IFERROR(__xludf.DUMMYFUNCTION("""COMPUTED_VALUE"""),204.82)</f>
        <v>204.82</v>
      </c>
      <c r="E2234" s="1">
        <f ca="1">IFERROR(__xludf.DUMMYFUNCTION("""COMPUTED_VALUE"""),214.14)</f>
        <v>214.14</v>
      </c>
      <c r="F2234" s="1">
        <f ca="1">IFERROR(__xludf.DUMMYFUNCTION("""COMPUTED_VALUE"""),89848530)</f>
        <v>89848530</v>
      </c>
    </row>
    <row r="2235" spans="1:6" x14ac:dyDescent="0.2">
      <c r="A2235" s="2">
        <f ca="1">IFERROR(__xludf.DUMMYFUNCTION("""COMPUTED_VALUE"""),45520.6666666666)</f>
        <v>45520.666666666599</v>
      </c>
      <c r="B2235" s="1">
        <f ca="1">IFERROR(__xludf.DUMMYFUNCTION("""COMPUTED_VALUE"""),211.15)</f>
        <v>211.15</v>
      </c>
      <c r="C2235" s="1">
        <f ca="1">IFERROR(__xludf.DUMMYFUNCTION("""COMPUTED_VALUE"""),219.8)</f>
        <v>219.8</v>
      </c>
      <c r="D2235" s="1">
        <f ca="1">IFERROR(__xludf.DUMMYFUNCTION("""COMPUTED_VALUE"""),210.8)</f>
        <v>210.8</v>
      </c>
      <c r="E2235" s="1">
        <f ca="1">IFERROR(__xludf.DUMMYFUNCTION("""COMPUTED_VALUE"""),216.12)</f>
        <v>216.12</v>
      </c>
      <c r="F2235" s="1">
        <f ca="1">IFERROR(__xludf.DUMMYFUNCTION("""COMPUTED_VALUE"""),88765122)</f>
        <v>88765122</v>
      </c>
    </row>
    <row r="2236" spans="1:6" x14ac:dyDescent="0.2">
      <c r="A2236" s="2">
        <f ca="1">IFERROR(__xludf.DUMMYFUNCTION("""COMPUTED_VALUE"""),45523.6666666666)</f>
        <v>45523.666666666599</v>
      </c>
      <c r="B2236" s="1">
        <f ca="1">IFERROR(__xludf.DUMMYFUNCTION("""COMPUTED_VALUE"""),217.07)</f>
        <v>217.07</v>
      </c>
      <c r="C2236" s="1">
        <f ca="1">IFERROR(__xludf.DUMMYFUNCTION("""COMPUTED_VALUE"""),222.98)</f>
        <v>222.98</v>
      </c>
      <c r="D2236" s="1">
        <f ca="1">IFERROR(__xludf.DUMMYFUNCTION("""COMPUTED_VALUE"""),214.09)</f>
        <v>214.09</v>
      </c>
      <c r="E2236" s="1">
        <f ca="1">IFERROR(__xludf.DUMMYFUNCTION("""COMPUTED_VALUE"""),222.72)</f>
        <v>222.72</v>
      </c>
      <c r="F2236" s="1">
        <f ca="1">IFERROR(__xludf.DUMMYFUNCTION("""COMPUTED_VALUE"""),76435222)</f>
        <v>76435222</v>
      </c>
    </row>
    <row r="2237" spans="1:6" x14ac:dyDescent="0.2">
      <c r="A2237" s="2">
        <f ca="1">IFERROR(__xludf.DUMMYFUNCTION("""COMPUTED_VALUE"""),45524.6666666666)</f>
        <v>45524.666666666599</v>
      </c>
      <c r="B2237" s="1">
        <f ca="1">IFERROR(__xludf.DUMMYFUNCTION("""COMPUTED_VALUE"""),224.88)</f>
        <v>224.88</v>
      </c>
      <c r="C2237" s="1">
        <f ca="1">IFERROR(__xludf.DUMMYFUNCTION("""COMPUTED_VALUE"""),228.22)</f>
        <v>228.22</v>
      </c>
      <c r="D2237" s="1">
        <f ca="1">IFERROR(__xludf.DUMMYFUNCTION("""COMPUTED_VALUE"""),219.56)</f>
        <v>219.56</v>
      </c>
      <c r="E2237" s="1">
        <f ca="1">IFERROR(__xludf.DUMMYFUNCTION("""COMPUTED_VALUE"""),221.1)</f>
        <v>221.1</v>
      </c>
      <c r="F2237" s="1">
        <f ca="1">IFERROR(__xludf.DUMMYFUNCTION("""COMPUTED_VALUE"""),74001182)</f>
        <v>74001182</v>
      </c>
    </row>
    <row r="2238" spans="1:6" x14ac:dyDescent="0.2">
      <c r="A2238" s="2">
        <f ca="1">IFERROR(__xludf.DUMMYFUNCTION("""COMPUTED_VALUE"""),45525.6666666666)</f>
        <v>45525.666666666599</v>
      </c>
      <c r="B2238" s="1">
        <f ca="1">IFERROR(__xludf.DUMMYFUNCTION("""COMPUTED_VALUE"""),222.67)</f>
        <v>222.67</v>
      </c>
      <c r="C2238" s="1">
        <f ca="1">IFERROR(__xludf.DUMMYFUNCTION("""COMPUTED_VALUE"""),224.66)</f>
        <v>224.66</v>
      </c>
      <c r="D2238" s="1">
        <f ca="1">IFERROR(__xludf.DUMMYFUNCTION("""COMPUTED_VALUE"""),218.86)</f>
        <v>218.86</v>
      </c>
      <c r="E2238" s="1">
        <f ca="1">IFERROR(__xludf.DUMMYFUNCTION("""COMPUTED_VALUE"""),223.27)</f>
        <v>223.27</v>
      </c>
      <c r="F2238" s="1">
        <f ca="1">IFERROR(__xludf.DUMMYFUNCTION("""COMPUTED_VALUE"""),70145964)</f>
        <v>70145964</v>
      </c>
    </row>
    <row r="2239" spans="1:6" x14ac:dyDescent="0.2">
      <c r="A2239" s="2">
        <f ca="1">IFERROR(__xludf.DUMMYFUNCTION("""COMPUTED_VALUE"""),45526.6666666666)</f>
        <v>45526.666666666599</v>
      </c>
      <c r="B2239" s="1">
        <f ca="1">IFERROR(__xludf.DUMMYFUNCTION("""COMPUTED_VALUE"""),223.82)</f>
        <v>223.82</v>
      </c>
      <c r="C2239" s="1">
        <f ca="1">IFERROR(__xludf.DUMMYFUNCTION("""COMPUTED_VALUE"""),224.8)</f>
        <v>224.8</v>
      </c>
      <c r="D2239" s="1">
        <f ca="1">IFERROR(__xludf.DUMMYFUNCTION("""COMPUTED_VALUE"""),210.32)</f>
        <v>210.32</v>
      </c>
      <c r="E2239" s="1">
        <f ca="1">IFERROR(__xludf.DUMMYFUNCTION("""COMPUTED_VALUE"""),210.66)</f>
        <v>210.66</v>
      </c>
      <c r="F2239" s="1">
        <f ca="1">IFERROR(__xludf.DUMMYFUNCTION("""COMPUTED_VALUE"""),79514482)</f>
        <v>79514482</v>
      </c>
    </row>
    <row r="2240" spans="1:6" x14ac:dyDescent="0.2">
      <c r="A2240" s="2">
        <f ca="1">IFERROR(__xludf.DUMMYFUNCTION("""COMPUTED_VALUE"""),45527.6666666666)</f>
        <v>45527.666666666599</v>
      </c>
      <c r="B2240" s="1">
        <f ca="1">IFERROR(__xludf.DUMMYFUNCTION("""COMPUTED_VALUE"""),214.46)</f>
        <v>214.46</v>
      </c>
      <c r="C2240" s="1">
        <f ca="1">IFERROR(__xludf.DUMMYFUNCTION("""COMPUTED_VALUE"""),221.48)</f>
        <v>221.48</v>
      </c>
      <c r="D2240" s="1">
        <f ca="1">IFERROR(__xludf.DUMMYFUNCTION("""COMPUTED_VALUE"""),214.21)</f>
        <v>214.21</v>
      </c>
      <c r="E2240" s="1">
        <f ca="1">IFERROR(__xludf.DUMMYFUNCTION("""COMPUTED_VALUE"""),220.32)</f>
        <v>220.32</v>
      </c>
      <c r="F2240" s="1">
        <f ca="1">IFERROR(__xludf.DUMMYFUNCTION("""COMPUTED_VALUE"""),81525207)</f>
        <v>81525207</v>
      </c>
    </row>
    <row r="2241" spans="1:6" x14ac:dyDescent="0.2">
      <c r="A2241" s="2">
        <f ca="1">IFERROR(__xludf.DUMMYFUNCTION("""COMPUTED_VALUE"""),45530.6666666666)</f>
        <v>45530.666666666599</v>
      </c>
      <c r="B2241" s="1">
        <f ca="1">IFERROR(__xludf.DUMMYFUNCTION("""COMPUTED_VALUE"""),218.75)</f>
        <v>218.75</v>
      </c>
      <c r="C2241" s="1">
        <f ca="1">IFERROR(__xludf.DUMMYFUNCTION("""COMPUTED_VALUE"""),219.09)</f>
        <v>219.09</v>
      </c>
      <c r="D2241" s="1">
        <f ca="1">IFERROR(__xludf.DUMMYFUNCTION("""COMPUTED_VALUE"""),211.01)</f>
        <v>211.01</v>
      </c>
      <c r="E2241" s="1">
        <f ca="1">IFERROR(__xludf.DUMMYFUNCTION("""COMPUTED_VALUE"""),213.21)</f>
        <v>213.21</v>
      </c>
      <c r="F2241" s="1">
        <f ca="1">IFERROR(__xludf.DUMMYFUNCTION("""COMPUTED_VALUE"""),59301187)</f>
        <v>59301187</v>
      </c>
    </row>
    <row r="2242" spans="1:6" x14ac:dyDescent="0.2">
      <c r="A2242" s="2">
        <f ca="1">IFERROR(__xludf.DUMMYFUNCTION("""COMPUTED_VALUE"""),45531.6666666666)</f>
        <v>45531.666666666599</v>
      </c>
      <c r="B2242" s="1">
        <f ca="1">IFERROR(__xludf.DUMMYFUNCTION("""COMPUTED_VALUE"""),213.25)</f>
        <v>213.25</v>
      </c>
      <c r="C2242" s="1">
        <f ca="1">IFERROR(__xludf.DUMMYFUNCTION("""COMPUTED_VALUE"""),215.66)</f>
        <v>215.66</v>
      </c>
      <c r="D2242" s="1">
        <f ca="1">IFERROR(__xludf.DUMMYFUNCTION("""COMPUTED_VALUE"""),206.94)</f>
        <v>206.94</v>
      </c>
      <c r="E2242" s="1">
        <f ca="1">IFERROR(__xludf.DUMMYFUNCTION("""COMPUTED_VALUE"""),209.21)</f>
        <v>209.21</v>
      </c>
      <c r="F2242" s="1">
        <f ca="1">IFERROR(__xludf.DUMMYFUNCTION("""COMPUTED_VALUE"""),62821390)</f>
        <v>62821390</v>
      </c>
    </row>
    <row r="2243" spans="1:6" x14ac:dyDescent="0.2">
      <c r="A2243" s="2">
        <f ca="1">IFERROR(__xludf.DUMMYFUNCTION("""COMPUTED_VALUE"""),45532.6666666666)</f>
        <v>45532.666666666599</v>
      </c>
      <c r="B2243" s="1">
        <f ca="1">IFERROR(__xludf.DUMMYFUNCTION("""COMPUTED_VALUE"""),209.72)</f>
        <v>209.72</v>
      </c>
      <c r="C2243" s="1">
        <f ca="1">IFERROR(__xludf.DUMMYFUNCTION("""COMPUTED_VALUE"""),211.84)</f>
        <v>211.84</v>
      </c>
      <c r="D2243" s="1">
        <f ca="1">IFERROR(__xludf.DUMMYFUNCTION("""COMPUTED_VALUE"""),202.59)</f>
        <v>202.59</v>
      </c>
      <c r="E2243" s="1">
        <f ca="1">IFERROR(__xludf.DUMMYFUNCTION("""COMPUTED_VALUE"""),205.75)</f>
        <v>205.75</v>
      </c>
      <c r="F2243" s="1">
        <f ca="1">IFERROR(__xludf.DUMMYFUNCTION("""COMPUTED_VALUE"""),64116350)</f>
        <v>64116350</v>
      </c>
    </row>
    <row r="2244" spans="1:6" x14ac:dyDescent="0.2">
      <c r="A2244" s="2">
        <f ca="1">IFERROR(__xludf.DUMMYFUNCTION("""COMPUTED_VALUE"""),45533.6666666666)</f>
        <v>45533.666666666599</v>
      </c>
      <c r="B2244" s="1">
        <f ca="1">IFERROR(__xludf.DUMMYFUNCTION("""COMPUTED_VALUE"""),209.8)</f>
        <v>209.8</v>
      </c>
      <c r="C2244" s="1">
        <f ca="1">IFERROR(__xludf.DUMMYFUNCTION("""COMPUTED_VALUE"""),214.89)</f>
        <v>214.89</v>
      </c>
      <c r="D2244" s="1">
        <f ca="1">IFERROR(__xludf.DUMMYFUNCTION("""COMPUTED_VALUE"""),205.97)</f>
        <v>205.97</v>
      </c>
      <c r="E2244" s="1">
        <f ca="1">IFERROR(__xludf.DUMMYFUNCTION("""COMPUTED_VALUE"""),206.28)</f>
        <v>206.28</v>
      </c>
      <c r="F2244" s="1">
        <f ca="1">IFERROR(__xludf.DUMMYFUNCTION("""COMPUTED_VALUE"""),62308818)</f>
        <v>62308818</v>
      </c>
    </row>
    <row r="2245" spans="1:6" x14ac:dyDescent="0.2">
      <c r="A2245" s="2">
        <f ca="1">IFERROR(__xludf.DUMMYFUNCTION("""COMPUTED_VALUE"""),45534.6666666666)</f>
        <v>45534.666666666599</v>
      </c>
      <c r="B2245" s="1">
        <f ca="1">IFERROR(__xludf.DUMMYFUNCTION("""COMPUTED_VALUE"""),208.63)</f>
        <v>208.63</v>
      </c>
      <c r="C2245" s="1">
        <f ca="1">IFERROR(__xludf.DUMMYFUNCTION("""COMPUTED_VALUE"""),214.57)</f>
        <v>214.57</v>
      </c>
      <c r="D2245" s="1">
        <f ca="1">IFERROR(__xludf.DUMMYFUNCTION("""COMPUTED_VALUE"""),207.03)</f>
        <v>207.03</v>
      </c>
      <c r="E2245" s="1">
        <f ca="1">IFERROR(__xludf.DUMMYFUNCTION("""COMPUTED_VALUE"""),214.11)</f>
        <v>214.11</v>
      </c>
      <c r="F2245" s="1">
        <f ca="1">IFERROR(__xludf.DUMMYFUNCTION("""COMPUTED_VALUE"""),63370608)</f>
        <v>63370608</v>
      </c>
    </row>
    <row r="2246" spans="1:6" x14ac:dyDescent="0.2">
      <c r="A2246" s="2">
        <f ca="1">IFERROR(__xludf.DUMMYFUNCTION("""COMPUTED_VALUE"""),45538.6666666666)</f>
        <v>45538.666666666599</v>
      </c>
      <c r="B2246" s="1">
        <f ca="1">IFERROR(__xludf.DUMMYFUNCTION("""COMPUTED_VALUE"""),215.26)</f>
        <v>215.26</v>
      </c>
      <c r="C2246" s="1">
        <f ca="1">IFERROR(__xludf.DUMMYFUNCTION("""COMPUTED_VALUE"""),219.9)</f>
        <v>219.9</v>
      </c>
      <c r="D2246" s="1">
        <f ca="1">IFERROR(__xludf.DUMMYFUNCTION("""COMPUTED_VALUE"""),209.64)</f>
        <v>209.64</v>
      </c>
      <c r="E2246" s="1">
        <f ca="1">IFERROR(__xludf.DUMMYFUNCTION("""COMPUTED_VALUE"""),210.6)</f>
        <v>210.6</v>
      </c>
      <c r="F2246" s="1">
        <f ca="1">IFERROR(__xludf.DUMMYFUNCTION("""COMPUTED_VALUE"""),76714222)</f>
        <v>76714222</v>
      </c>
    </row>
    <row r="2247" spans="1:6" x14ac:dyDescent="0.2">
      <c r="A2247" s="2">
        <f ca="1">IFERROR(__xludf.DUMMYFUNCTION("""COMPUTED_VALUE"""),45539.6666666666)</f>
        <v>45539.666666666599</v>
      </c>
      <c r="B2247" s="1">
        <f ca="1">IFERROR(__xludf.DUMMYFUNCTION("""COMPUTED_VALUE"""),210.59)</f>
        <v>210.59</v>
      </c>
      <c r="C2247" s="1">
        <f ca="1">IFERROR(__xludf.DUMMYFUNCTION("""COMPUTED_VALUE"""),222.22)</f>
        <v>222.22</v>
      </c>
      <c r="D2247" s="1">
        <f ca="1">IFERROR(__xludf.DUMMYFUNCTION("""COMPUTED_VALUE"""),210.57)</f>
        <v>210.57</v>
      </c>
      <c r="E2247" s="1">
        <f ca="1">IFERROR(__xludf.DUMMYFUNCTION("""COMPUTED_VALUE"""),219.41)</f>
        <v>219.41</v>
      </c>
      <c r="F2247" s="1">
        <f ca="1">IFERROR(__xludf.DUMMYFUNCTION("""COMPUTED_VALUE"""),80651767)</f>
        <v>80651767</v>
      </c>
    </row>
    <row r="2248" spans="1:6" x14ac:dyDescent="0.2">
      <c r="A2248" s="2">
        <f ca="1">IFERROR(__xludf.DUMMYFUNCTION("""COMPUTED_VALUE"""),45540.6666666666)</f>
        <v>45540.666666666599</v>
      </c>
      <c r="B2248" s="1">
        <f ca="1">IFERROR(__xludf.DUMMYFUNCTION("""COMPUTED_VALUE"""),223.49)</f>
        <v>223.49</v>
      </c>
      <c r="C2248" s="1">
        <f ca="1">IFERROR(__xludf.DUMMYFUNCTION("""COMPUTED_VALUE"""),235)</f>
        <v>235</v>
      </c>
      <c r="D2248" s="1">
        <f ca="1">IFERROR(__xludf.DUMMYFUNCTION("""COMPUTED_VALUE"""),222.25)</f>
        <v>222.25</v>
      </c>
      <c r="E2248" s="1">
        <f ca="1">IFERROR(__xludf.DUMMYFUNCTION("""COMPUTED_VALUE"""),230.17)</f>
        <v>230.17</v>
      </c>
      <c r="F2248" s="1">
        <f ca="1">IFERROR(__xludf.DUMMYFUNCTION("""COMPUTED_VALUE"""),119355013)</f>
        <v>119355013</v>
      </c>
    </row>
    <row r="2249" spans="1:6" x14ac:dyDescent="0.2">
      <c r="A2249" s="2">
        <f ca="1">IFERROR(__xludf.DUMMYFUNCTION("""COMPUTED_VALUE"""),45541.6666666666)</f>
        <v>45541.666666666599</v>
      </c>
      <c r="B2249" s="1">
        <f ca="1">IFERROR(__xludf.DUMMYFUNCTION("""COMPUTED_VALUE"""),232.6)</f>
        <v>232.6</v>
      </c>
      <c r="C2249" s="1">
        <f ca="1">IFERROR(__xludf.DUMMYFUNCTION("""COMPUTED_VALUE"""),233.6)</f>
        <v>233.6</v>
      </c>
      <c r="D2249" s="1">
        <f ca="1">IFERROR(__xludf.DUMMYFUNCTION("""COMPUTED_VALUE"""),210.51)</f>
        <v>210.51</v>
      </c>
      <c r="E2249" s="1">
        <f ca="1">IFERROR(__xludf.DUMMYFUNCTION("""COMPUTED_VALUE"""),210.73)</f>
        <v>210.73</v>
      </c>
      <c r="F2249" s="1">
        <f ca="1">IFERROR(__xludf.DUMMYFUNCTION("""COMPUTED_VALUE"""),112177004)</f>
        <v>112177004</v>
      </c>
    </row>
    <row r="2250" spans="1:6" x14ac:dyDescent="0.2">
      <c r="A2250" s="2">
        <f ca="1">IFERROR(__xludf.DUMMYFUNCTION("""COMPUTED_VALUE"""),45544.6666666666)</f>
        <v>45544.666666666599</v>
      </c>
      <c r="B2250" s="1">
        <f ca="1">IFERROR(__xludf.DUMMYFUNCTION("""COMPUTED_VALUE"""),216.2)</f>
        <v>216.2</v>
      </c>
      <c r="C2250" s="1">
        <f ca="1">IFERROR(__xludf.DUMMYFUNCTION("""COMPUTED_VALUE"""),219.87)</f>
        <v>219.87</v>
      </c>
      <c r="D2250" s="1">
        <f ca="1">IFERROR(__xludf.DUMMYFUNCTION("""COMPUTED_VALUE"""),213.67)</f>
        <v>213.67</v>
      </c>
      <c r="E2250" s="1">
        <f ca="1">IFERROR(__xludf.DUMMYFUNCTION("""COMPUTED_VALUE"""),216.27)</f>
        <v>216.27</v>
      </c>
      <c r="F2250" s="1">
        <f ca="1">IFERROR(__xludf.DUMMYFUNCTION("""COMPUTED_VALUE"""),67443518)</f>
        <v>67443518</v>
      </c>
    </row>
    <row r="2251" spans="1:6" x14ac:dyDescent="0.2">
      <c r="A2251" s="2">
        <f ca="1">IFERROR(__xludf.DUMMYFUNCTION("""COMPUTED_VALUE"""),45545.6666666666)</f>
        <v>45545.666666666599</v>
      </c>
      <c r="B2251" s="1">
        <f ca="1">IFERROR(__xludf.DUMMYFUNCTION("""COMPUTED_VALUE"""),220.07)</f>
        <v>220.07</v>
      </c>
      <c r="C2251" s="1">
        <f ca="1">IFERROR(__xludf.DUMMYFUNCTION("""COMPUTED_VALUE"""),226.4)</f>
        <v>226.4</v>
      </c>
      <c r="D2251" s="1">
        <f ca="1">IFERROR(__xludf.DUMMYFUNCTION("""COMPUTED_VALUE"""),218.64)</f>
        <v>218.64</v>
      </c>
      <c r="E2251" s="1">
        <f ca="1">IFERROR(__xludf.DUMMYFUNCTION("""COMPUTED_VALUE"""),226.17)</f>
        <v>226.17</v>
      </c>
      <c r="F2251" s="1">
        <f ca="1">IFERROR(__xludf.DUMMYFUNCTION("""COMPUTED_VALUE"""),78891136)</f>
        <v>78891136</v>
      </c>
    </row>
    <row r="2252" spans="1:6" x14ac:dyDescent="0.2">
      <c r="A2252" s="2">
        <f ca="1">IFERROR(__xludf.DUMMYFUNCTION("""COMPUTED_VALUE"""),45546.6666666666)</f>
        <v>45546.666666666599</v>
      </c>
      <c r="B2252" s="1">
        <f ca="1">IFERROR(__xludf.DUMMYFUNCTION("""COMPUTED_VALUE"""),224.55)</f>
        <v>224.55</v>
      </c>
      <c r="C2252" s="1">
        <f ca="1">IFERROR(__xludf.DUMMYFUNCTION("""COMPUTED_VALUE"""),228.47)</f>
        <v>228.47</v>
      </c>
      <c r="D2252" s="1">
        <f ca="1">IFERROR(__xludf.DUMMYFUNCTION("""COMPUTED_VALUE"""),216.8)</f>
        <v>216.8</v>
      </c>
      <c r="E2252" s="1">
        <f ca="1">IFERROR(__xludf.DUMMYFUNCTION("""COMPUTED_VALUE"""),228.13)</f>
        <v>228.13</v>
      </c>
      <c r="F2252" s="1">
        <f ca="1">IFERROR(__xludf.DUMMYFUNCTION("""COMPUTED_VALUE"""),83548633)</f>
        <v>83548633</v>
      </c>
    </row>
    <row r="2253" spans="1:6" x14ac:dyDescent="0.2">
      <c r="A2253" s="2">
        <f ca="1">IFERROR(__xludf.DUMMYFUNCTION("""COMPUTED_VALUE"""),45547.6666666666)</f>
        <v>45547.666666666599</v>
      </c>
      <c r="B2253" s="1">
        <f ca="1">IFERROR(__xludf.DUMMYFUNCTION("""COMPUTED_VALUE"""),224.66)</f>
        <v>224.66</v>
      </c>
      <c r="C2253" s="1">
        <f ca="1">IFERROR(__xludf.DUMMYFUNCTION("""COMPUTED_VALUE"""),231.45)</f>
        <v>231.45</v>
      </c>
      <c r="D2253" s="1">
        <f ca="1">IFERROR(__xludf.DUMMYFUNCTION("""COMPUTED_VALUE"""),223.83)</f>
        <v>223.83</v>
      </c>
      <c r="E2253" s="1">
        <f ca="1">IFERROR(__xludf.DUMMYFUNCTION("""COMPUTED_VALUE"""),229.81)</f>
        <v>229.81</v>
      </c>
      <c r="F2253" s="1">
        <f ca="1">IFERROR(__xludf.DUMMYFUNCTION("""COMPUTED_VALUE"""),72020042)</f>
        <v>72020042</v>
      </c>
    </row>
    <row r="2254" spans="1:6" x14ac:dyDescent="0.2">
      <c r="A2254" s="2">
        <f ca="1">IFERROR(__xludf.DUMMYFUNCTION("""COMPUTED_VALUE"""),45548.6666666666)</f>
        <v>45548.666666666599</v>
      </c>
      <c r="B2254" s="1">
        <f ca="1">IFERROR(__xludf.DUMMYFUNCTION("""COMPUTED_VALUE"""),228)</f>
        <v>228</v>
      </c>
      <c r="C2254" s="1">
        <f ca="1">IFERROR(__xludf.DUMMYFUNCTION("""COMPUTED_VALUE"""),232.67)</f>
        <v>232.67</v>
      </c>
      <c r="D2254" s="1">
        <f ca="1">IFERROR(__xludf.DUMMYFUNCTION("""COMPUTED_VALUE"""),226.32)</f>
        <v>226.32</v>
      </c>
      <c r="E2254" s="1">
        <f ca="1">IFERROR(__xludf.DUMMYFUNCTION("""COMPUTED_VALUE"""),230.29)</f>
        <v>230.29</v>
      </c>
      <c r="F2254" s="1">
        <f ca="1">IFERROR(__xludf.DUMMYFUNCTION("""COMPUTED_VALUE"""),59515114)</f>
        <v>59515114</v>
      </c>
    </row>
    <row r="2255" spans="1:6" x14ac:dyDescent="0.2">
      <c r="A2255" s="2">
        <f ca="1">IFERROR(__xludf.DUMMYFUNCTION("""COMPUTED_VALUE"""),45551.6666666666)</f>
        <v>45551.666666666599</v>
      </c>
      <c r="B2255" s="1">
        <f ca="1">IFERROR(__xludf.DUMMYFUNCTION("""COMPUTED_VALUE"""),229.3)</f>
        <v>229.3</v>
      </c>
      <c r="C2255" s="1">
        <f ca="1">IFERROR(__xludf.DUMMYFUNCTION("""COMPUTED_VALUE"""),229.96)</f>
        <v>229.96</v>
      </c>
      <c r="D2255" s="1">
        <f ca="1">IFERROR(__xludf.DUMMYFUNCTION("""COMPUTED_VALUE"""),223.53)</f>
        <v>223.53</v>
      </c>
      <c r="E2255" s="1">
        <f ca="1">IFERROR(__xludf.DUMMYFUNCTION("""COMPUTED_VALUE"""),226.78)</f>
        <v>226.78</v>
      </c>
      <c r="F2255" s="1">
        <f ca="1">IFERROR(__xludf.DUMMYFUNCTION("""COMPUTED_VALUE"""),54322995)</f>
        <v>54322995</v>
      </c>
    </row>
    <row r="2256" spans="1:6" x14ac:dyDescent="0.2">
      <c r="A2256" s="2">
        <f ca="1">IFERROR(__xludf.DUMMYFUNCTION("""COMPUTED_VALUE"""),45552.6666666666)</f>
        <v>45552.666666666599</v>
      </c>
      <c r="B2256" s="1">
        <f ca="1">IFERROR(__xludf.DUMMYFUNCTION("""COMPUTED_VALUE"""),229.45)</f>
        <v>229.45</v>
      </c>
      <c r="C2256" s="1">
        <f ca="1">IFERROR(__xludf.DUMMYFUNCTION("""COMPUTED_VALUE"""),234.57)</f>
        <v>234.57</v>
      </c>
      <c r="D2256" s="1">
        <f ca="1">IFERROR(__xludf.DUMMYFUNCTION("""COMPUTED_VALUE"""),226.55)</f>
        <v>226.55</v>
      </c>
      <c r="E2256" s="1">
        <f ca="1">IFERROR(__xludf.DUMMYFUNCTION("""COMPUTED_VALUE"""),227.87)</f>
        <v>227.87</v>
      </c>
      <c r="F2256" s="1">
        <f ca="1">IFERROR(__xludf.DUMMYFUNCTION("""COMPUTED_VALUE"""),66761636)</f>
        <v>66761636</v>
      </c>
    </row>
    <row r="2257" spans="1:6" x14ac:dyDescent="0.2">
      <c r="A2257" s="2">
        <f ca="1">IFERROR(__xludf.DUMMYFUNCTION("""COMPUTED_VALUE"""),45553.6666666666)</f>
        <v>45553.666666666599</v>
      </c>
      <c r="B2257" s="1">
        <f ca="1">IFERROR(__xludf.DUMMYFUNCTION("""COMPUTED_VALUE"""),230.09)</f>
        <v>230.09</v>
      </c>
      <c r="C2257" s="1">
        <f ca="1">IFERROR(__xludf.DUMMYFUNCTION("""COMPUTED_VALUE"""),235.68)</f>
        <v>235.68</v>
      </c>
      <c r="D2257" s="1">
        <f ca="1">IFERROR(__xludf.DUMMYFUNCTION("""COMPUTED_VALUE"""),226.88)</f>
        <v>226.88</v>
      </c>
      <c r="E2257" s="1">
        <f ca="1">IFERROR(__xludf.DUMMYFUNCTION("""COMPUTED_VALUE"""),227.2)</f>
        <v>227.2</v>
      </c>
      <c r="F2257" s="1">
        <f ca="1">IFERROR(__xludf.DUMMYFUNCTION("""COMPUTED_VALUE"""),78010204)</f>
        <v>78010204</v>
      </c>
    </row>
    <row r="2258" spans="1:6" x14ac:dyDescent="0.2">
      <c r="A2258" s="2">
        <f ca="1">IFERROR(__xludf.DUMMYFUNCTION("""COMPUTED_VALUE"""),45554.6666666666)</f>
        <v>45554.666666666599</v>
      </c>
      <c r="B2258" s="1">
        <f ca="1">IFERROR(__xludf.DUMMYFUNCTION("""COMPUTED_VALUE"""),234)</f>
        <v>234</v>
      </c>
      <c r="C2258" s="1">
        <f ca="1">IFERROR(__xludf.DUMMYFUNCTION("""COMPUTED_VALUE"""),244.24)</f>
        <v>244.24</v>
      </c>
      <c r="D2258" s="1">
        <f ca="1">IFERROR(__xludf.DUMMYFUNCTION("""COMPUTED_VALUE"""),232.13)</f>
        <v>232.13</v>
      </c>
      <c r="E2258" s="1">
        <f ca="1">IFERROR(__xludf.DUMMYFUNCTION("""COMPUTED_VALUE"""),243.92)</f>
        <v>243.92</v>
      </c>
      <c r="F2258" s="1">
        <f ca="1">IFERROR(__xludf.DUMMYFUNCTION("""COMPUTED_VALUE"""),102694576)</f>
        <v>102694576</v>
      </c>
    </row>
    <row r="2259" spans="1:6" x14ac:dyDescent="0.2">
      <c r="A2259" s="2">
        <f ca="1">IFERROR(__xludf.DUMMYFUNCTION("""COMPUTED_VALUE"""),45555.6666666666)</f>
        <v>45555.666666666599</v>
      </c>
      <c r="B2259" s="1">
        <f ca="1">IFERROR(__xludf.DUMMYFUNCTION("""COMPUTED_VALUE"""),241.52)</f>
        <v>241.52</v>
      </c>
      <c r="C2259" s="1">
        <f ca="1">IFERROR(__xludf.DUMMYFUNCTION("""COMPUTED_VALUE"""),243.99)</f>
        <v>243.99</v>
      </c>
      <c r="D2259" s="1">
        <f ca="1">IFERROR(__xludf.DUMMYFUNCTION("""COMPUTED_VALUE"""),235.92)</f>
        <v>235.92</v>
      </c>
      <c r="E2259" s="1">
        <f ca="1">IFERROR(__xludf.DUMMYFUNCTION("""COMPUTED_VALUE"""),238.25)</f>
        <v>238.25</v>
      </c>
      <c r="F2259" s="1">
        <f ca="1">IFERROR(__xludf.DUMMYFUNCTION("""COMPUTED_VALUE"""),99879070)</f>
        <v>99879070</v>
      </c>
    </row>
    <row r="2260" spans="1:6" x14ac:dyDescent="0.2">
      <c r="A2260" s="2">
        <f ca="1">IFERROR(__xludf.DUMMYFUNCTION("""COMPUTED_VALUE"""),45558.6666666666)</f>
        <v>45558.666666666599</v>
      </c>
      <c r="B2260" s="1">
        <f ca="1">IFERROR(__xludf.DUMMYFUNCTION("""COMPUTED_VALUE"""),242.61)</f>
        <v>242.61</v>
      </c>
      <c r="C2260" s="1">
        <f ca="1">IFERROR(__xludf.DUMMYFUNCTION("""COMPUTED_VALUE"""),250)</f>
        <v>250</v>
      </c>
      <c r="D2260" s="1">
        <f ca="1">IFERROR(__xludf.DUMMYFUNCTION("""COMPUTED_VALUE"""),241.92)</f>
        <v>241.92</v>
      </c>
      <c r="E2260" s="1">
        <f ca="1">IFERROR(__xludf.DUMMYFUNCTION("""COMPUTED_VALUE"""),250)</f>
        <v>250</v>
      </c>
      <c r="F2260" s="1">
        <f ca="1">IFERROR(__xludf.DUMMYFUNCTION("""COMPUTED_VALUE"""),86927194)</f>
        <v>86927194</v>
      </c>
    </row>
    <row r="2261" spans="1:6" x14ac:dyDescent="0.2">
      <c r="A2261" s="2">
        <f ca="1">IFERROR(__xludf.DUMMYFUNCTION("""COMPUTED_VALUE"""),45559.6666666666)</f>
        <v>45559.666666666599</v>
      </c>
      <c r="B2261" s="1">
        <f ca="1">IFERROR(__xludf.DUMMYFUNCTION("""COMPUTED_VALUE"""),254.08)</f>
        <v>254.08</v>
      </c>
      <c r="C2261" s="1">
        <f ca="1">IFERROR(__xludf.DUMMYFUNCTION("""COMPUTED_VALUE"""),257.19)</f>
        <v>257.19</v>
      </c>
      <c r="D2261" s="1">
        <f ca="1">IFERROR(__xludf.DUMMYFUNCTION("""COMPUTED_VALUE"""),249.05)</f>
        <v>249.05</v>
      </c>
      <c r="E2261" s="1">
        <f ca="1">IFERROR(__xludf.DUMMYFUNCTION("""COMPUTED_VALUE"""),254.27)</f>
        <v>254.27</v>
      </c>
      <c r="F2261" s="1">
        <f ca="1">IFERROR(__xludf.DUMMYFUNCTION("""COMPUTED_VALUE"""),88490999)</f>
        <v>88490999</v>
      </c>
    </row>
    <row r="2262" spans="1:6" x14ac:dyDescent="0.2">
      <c r="A2262" s="2">
        <f ca="1">IFERROR(__xludf.DUMMYFUNCTION("""COMPUTED_VALUE"""),45560.6666666666)</f>
        <v>45560.666666666599</v>
      </c>
      <c r="B2262" s="1">
        <f ca="1">IFERROR(__xludf.DUMMYFUNCTION("""COMPUTED_VALUE"""),252.54)</f>
        <v>252.54</v>
      </c>
      <c r="C2262" s="1">
        <f ca="1">IFERROR(__xludf.DUMMYFUNCTION("""COMPUTED_VALUE"""),257.05)</f>
        <v>257.05</v>
      </c>
      <c r="D2262" s="1">
        <f ca="1">IFERROR(__xludf.DUMMYFUNCTION("""COMPUTED_VALUE"""),252.28)</f>
        <v>252.28</v>
      </c>
      <c r="E2262" s="1">
        <f ca="1">IFERROR(__xludf.DUMMYFUNCTION("""COMPUTED_VALUE"""),257.02)</f>
        <v>257.02</v>
      </c>
      <c r="F2262" s="1">
        <f ca="1">IFERROR(__xludf.DUMMYFUNCTION("""COMPUTED_VALUE"""),65034318)</f>
        <v>65034318</v>
      </c>
    </row>
    <row r="2263" spans="1:6" x14ac:dyDescent="0.2">
      <c r="A2263" s="2">
        <f ca="1">IFERROR(__xludf.DUMMYFUNCTION("""COMPUTED_VALUE"""),45561.6666666666)</f>
        <v>45561.666666666599</v>
      </c>
      <c r="B2263" s="1">
        <f ca="1">IFERROR(__xludf.DUMMYFUNCTION("""COMPUTED_VALUE"""),260.6)</f>
        <v>260.60000000000002</v>
      </c>
      <c r="C2263" s="1">
        <f ca="1">IFERROR(__xludf.DUMMYFUNCTION("""COMPUTED_VALUE"""),261.75)</f>
        <v>261.75</v>
      </c>
      <c r="D2263" s="1">
        <f ca="1">IFERROR(__xludf.DUMMYFUNCTION("""COMPUTED_VALUE"""),251.53)</f>
        <v>251.53</v>
      </c>
      <c r="E2263" s="1">
        <f ca="1">IFERROR(__xludf.DUMMYFUNCTION("""COMPUTED_VALUE"""),254.22)</f>
        <v>254.22</v>
      </c>
      <c r="F2263" s="1">
        <f ca="1">IFERROR(__xludf.DUMMYFUNCTION("""COMPUTED_VALUE"""),67142193)</f>
        <v>67142193</v>
      </c>
    </row>
    <row r="2264" spans="1:6" x14ac:dyDescent="0.2">
      <c r="A2264" s="2">
        <f ca="1">IFERROR(__xludf.DUMMYFUNCTION("""COMPUTED_VALUE"""),45562.6666666666)</f>
        <v>45562.666666666599</v>
      </c>
      <c r="B2264" s="1">
        <f ca="1">IFERROR(__xludf.DUMMYFUNCTION("""COMPUTED_VALUE"""),257.38)</f>
        <v>257.38</v>
      </c>
      <c r="C2264" s="1">
        <f ca="1">IFERROR(__xludf.DUMMYFUNCTION("""COMPUTED_VALUE"""),260.7)</f>
        <v>260.7</v>
      </c>
      <c r="D2264" s="1">
        <f ca="1">IFERROR(__xludf.DUMMYFUNCTION("""COMPUTED_VALUE"""),254.12)</f>
        <v>254.12</v>
      </c>
      <c r="E2264" s="1">
        <f ca="1">IFERROR(__xludf.DUMMYFUNCTION("""COMPUTED_VALUE"""),260.46)</f>
        <v>260.45999999999998</v>
      </c>
      <c r="F2264" s="1">
        <f ca="1">IFERROR(__xludf.DUMMYFUNCTION("""COMPUTED_VALUE"""),70988067)</f>
        <v>70988067</v>
      </c>
    </row>
    <row r="2265" spans="1:6" x14ac:dyDescent="0.2">
      <c r="A2265" s="2">
        <f ca="1">IFERROR(__xludf.DUMMYFUNCTION("""COMPUTED_VALUE"""),45565.6666666666)</f>
        <v>45565.666666666599</v>
      </c>
      <c r="B2265" s="1">
        <f ca="1">IFERROR(__xludf.DUMMYFUNCTION("""COMPUTED_VALUE"""),259.04)</f>
        <v>259.04000000000002</v>
      </c>
      <c r="C2265" s="1">
        <f ca="1">IFERROR(__xludf.DUMMYFUNCTION("""COMPUTED_VALUE"""),264.86)</f>
        <v>264.86</v>
      </c>
      <c r="D2265" s="1">
        <f ca="1">IFERROR(__xludf.DUMMYFUNCTION("""COMPUTED_VALUE"""),255.77)</f>
        <v>255.77</v>
      </c>
      <c r="E2265" s="1">
        <f ca="1">IFERROR(__xludf.DUMMYFUNCTION("""COMPUTED_VALUE"""),261.63)</f>
        <v>261.63</v>
      </c>
      <c r="F2265" s="1">
        <f ca="1">IFERROR(__xludf.DUMMYFUNCTION("""COMPUTED_VALUE"""),80873381)</f>
        <v>80873381</v>
      </c>
    </row>
    <row r="2266" spans="1:6" x14ac:dyDescent="0.2">
      <c r="A2266" s="2">
        <f ca="1">IFERROR(__xludf.DUMMYFUNCTION("""COMPUTED_VALUE"""),45566.6666666666)</f>
        <v>45566.666666666599</v>
      </c>
      <c r="B2266" s="1">
        <f ca="1">IFERROR(__xludf.DUMMYFUNCTION("""COMPUTED_VALUE"""),262.67)</f>
        <v>262.67</v>
      </c>
      <c r="C2266" s="1">
        <f ca="1">IFERROR(__xludf.DUMMYFUNCTION("""COMPUTED_VALUE"""),263.98)</f>
        <v>263.98</v>
      </c>
      <c r="D2266" s="1">
        <f ca="1">IFERROR(__xludf.DUMMYFUNCTION("""COMPUTED_VALUE"""),248.53)</f>
        <v>248.53</v>
      </c>
      <c r="E2266" s="1">
        <f ca="1">IFERROR(__xludf.DUMMYFUNCTION("""COMPUTED_VALUE"""),258.02)</f>
        <v>258.02</v>
      </c>
      <c r="F2266" s="1">
        <f ca="1">IFERROR(__xludf.DUMMYFUNCTION("""COMPUTED_VALUE"""),87397613)</f>
        <v>87397613</v>
      </c>
    </row>
    <row r="2267" spans="1:6" x14ac:dyDescent="0.2">
      <c r="A2267" s="2">
        <f ca="1">IFERROR(__xludf.DUMMYFUNCTION("""COMPUTED_VALUE"""),45567.6666666666)</f>
        <v>45567.666666666599</v>
      </c>
      <c r="B2267" s="1">
        <f ca="1">IFERROR(__xludf.DUMMYFUNCTION("""COMPUTED_VALUE"""),247.55)</f>
        <v>247.55</v>
      </c>
      <c r="C2267" s="1">
        <f ca="1">IFERROR(__xludf.DUMMYFUNCTION("""COMPUTED_VALUE"""),251.16)</f>
        <v>251.16</v>
      </c>
      <c r="D2267" s="1">
        <f ca="1">IFERROR(__xludf.DUMMYFUNCTION("""COMPUTED_VALUE"""),241.5)</f>
        <v>241.5</v>
      </c>
      <c r="E2267" s="1">
        <f ca="1">IFERROR(__xludf.DUMMYFUNCTION("""COMPUTED_VALUE"""),249.02)</f>
        <v>249.02</v>
      </c>
      <c r="F2267" s="1">
        <f ca="1">IFERROR(__xludf.DUMMYFUNCTION("""COMPUTED_VALUE"""),93983930)</f>
        <v>93983930</v>
      </c>
    </row>
    <row r="2268" spans="1:6" x14ac:dyDescent="0.2">
      <c r="A2268" s="2">
        <f ca="1">IFERROR(__xludf.DUMMYFUNCTION("""COMPUTED_VALUE"""),45568.6666666666)</f>
        <v>45568.666666666599</v>
      </c>
      <c r="B2268" s="1">
        <f ca="1">IFERROR(__xludf.DUMMYFUNCTION("""COMPUTED_VALUE"""),244.48)</f>
        <v>244.48</v>
      </c>
      <c r="C2268" s="1">
        <f ca="1">IFERROR(__xludf.DUMMYFUNCTION("""COMPUTED_VALUE"""),249.79)</f>
        <v>249.79</v>
      </c>
      <c r="D2268" s="1">
        <f ca="1">IFERROR(__xludf.DUMMYFUNCTION("""COMPUTED_VALUE"""),237.81)</f>
        <v>237.81</v>
      </c>
      <c r="E2268" s="1">
        <f ca="1">IFERROR(__xludf.DUMMYFUNCTION("""COMPUTED_VALUE"""),240.66)</f>
        <v>240.66</v>
      </c>
      <c r="F2268" s="1">
        <f ca="1">IFERROR(__xludf.DUMMYFUNCTION("""COMPUTED_VALUE"""),80729240)</f>
        <v>80729240</v>
      </c>
    </row>
    <row r="2269" spans="1:6" x14ac:dyDescent="0.2">
      <c r="A2269" s="2">
        <f ca="1">IFERROR(__xludf.DUMMYFUNCTION("""COMPUTED_VALUE"""),45569.6666666666)</f>
        <v>45569.666666666599</v>
      </c>
      <c r="B2269" s="1">
        <f ca="1">IFERROR(__xludf.DUMMYFUNCTION("""COMPUTED_VALUE"""),246.69)</f>
        <v>246.69</v>
      </c>
      <c r="C2269" s="1">
        <f ca="1">IFERROR(__xludf.DUMMYFUNCTION("""COMPUTED_VALUE"""),250.96)</f>
        <v>250.96</v>
      </c>
      <c r="D2269" s="1">
        <f ca="1">IFERROR(__xludf.DUMMYFUNCTION("""COMPUTED_VALUE"""),244.58)</f>
        <v>244.58</v>
      </c>
      <c r="E2269" s="1">
        <f ca="1">IFERROR(__xludf.DUMMYFUNCTION("""COMPUTED_VALUE"""),250.08)</f>
        <v>250.08</v>
      </c>
      <c r="F2269" s="1">
        <f ca="1">IFERROR(__xludf.DUMMYFUNCTION("""COMPUTED_VALUE"""),86726285)</f>
        <v>86726285</v>
      </c>
    </row>
    <row r="2270" spans="1:6" x14ac:dyDescent="0.2">
      <c r="A2270" s="2">
        <f ca="1">IFERROR(__xludf.DUMMYFUNCTION("""COMPUTED_VALUE"""),45572.6666666666)</f>
        <v>45572.666666666599</v>
      </c>
      <c r="B2270" s="1">
        <f ca="1">IFERROR(__xludf.DUMMYFUNCTION("""COMPUTED_VALUE"""),249)</f>
        <v>249</v>
      </c>
      <c r="C2270" s="1">
        <f ca="1">IFERROR(__xludf.DUMMYFUNCTION("""COMPUTED_VALUE"""),249.83)</f>
        <v>249.83</v>
      </c>
      <c r="D2270" s="1">
        <f ca="1">IFERROR(__xludf.DUMMYFUNCTION("""COMPUTED_VALUE"""),240.7)</f>
        <v>240.7</v>
      </c>
      <c r="E2270" s="1">
        <f ca="1">IFERROR(__xludf.DUMMYFUNCTION("""COMPUTED_VALUE"""),240.83)</f>
        <v>240.83</v>
      </c>
      <c r="F2270" s="1">
        <f ca="1">IFERROR(__xludf.DUMMYFUNCTION("""COMPUTED_VALUE"""),68113270)</f>
        <v>68113270</v>
      </c>
    </row>
    <row r="2271" spans="1:6" x14ac:dyDescent="0.2">
      <c r="A2271" s="2">
        <f ca="1">IFERROR(__xludf.DUMMYFUNCTION("""COMPUTED_VALUE"""),45573.6666666666)</f>
        <v>45573.666666666599</v>
      </c>
      <c r="B2271" s="1">
        <f ca="1">IFERROR(__xludf.DUMMYFUNCTION("""COMPUTED_VALUE"""),243.56)</f>
        <v>243.56</v>
      </c>
      <c r="C2271" s="1">
        <f ca="1">IFERROR(__xludf.DUMMYFUNCTION("""COMPUTED_VALUE"""),246.21)</f>
        <v>246.21</v>
      </c>
      <c r="D2271" s="1">
        <f ca="1">IFERROR(__xludf.DUMMYFUNCTION("""COMPUTED_VALUE"""),240.56)</f>
        <v>240.56</v>
      </c>
      <c r="E2271" s="1">
        <f ca="1">IFERROR(__xludf.DUMMYFUNCTION("""COMPUTED_VALUE"""),244.5)</f>
        <v>244.5</v>
      </c>
      <c r="F2271" s="1">
        <f ca="1">IFERROR(__xludf.DUMMYFUNCTION("""COMPUTED_VALUE"""),56303160)</f>
        <v>56303160</v>
      </c>
    </row>
    <row r="2272" spans="1:6" x14ac:dyDescent="0.2">
      <c r="A2272" s="2">
        <f ca="1">IFERROR(__xludf.DUMMYFUNCTION("""COMPUTED_VALUE"""),45574.6666666666)</f>
        <v>45574.666666666599</v>
      </c>
      <c r="B2272" s="1">
        <f ca="1">IFERROR(__xludf.DUMMYFUNCTION("""COMPUTED_VALUE"""),243.82)</f>
        <v>243.82</v>
      </c>
      <c r="C2272" s="1">
        <f ca="1">IFERROR(__xludf.DUMMYFUNCTION("""COMPUTED_VALUE"""),247.43)</f>
        <v>247.43</v>
      </c>
      <c r="D2272" s="1">
        <f ca="1">IFERROR(__xludf.DUMMYFUNCTION("""COMPUTED_VALUE"""),239.51)</f>
        <v>239.51</v>
      </c>
      <c r="E2272" s="1">
        <f ca="1">IFERROR(__xludf.DUMMYFUNCTION("""COMPUTED_VALUE"""),241.05)</f>
        <v>241.05</v>
      </c>
      <c r="F2272" s="1">
        <f ca="1">IFERROR(__xludf.DUMMYFUNCTION("""COMPUTED_VALUE"""),66289529)</f>
        <v>66289529</v>
      </c>
    </row>
    <row r="2273" spans="1:6" x14ac:dyDescent="0.2">
      <c r="A2273" s="2">
        <f ca="1">IFERROR(__xludf.DUMMYFUNCTION("""COMPUTED_VALUE"""),45575.6666666666)</f>
        <v>45575.666666666599</v>
      </c>
      <c r="B2273" s="1">
        <f ca="1">IFERROR(__xludf.DUMMYFUNCTION("""COMPUTED_VALUE"""),241.81)</f>
        <v>241.81</v>
      </c>
      <c r="C2273" s="1">
        <f ca="1">IFERROR(__xludf.DUMMYFUNCTION("""COMPUTED_VALUE"""),242.79)</f>
        <v>242.79</v>
      </c>
      <c r="D2273" s="1">
        <f ca="1">IFERROR(__xludf.DUMMYFUNCTION("""COMPUTED_VALUE"""),232.34)</f>
        <v>232.34</v>
      </c>
      <c r="E2273" s="1">
        <f ca="1">IFERROR(__xludf.DUMMYFUNCTION("""COMPUTED_VALUE"""),238.77)</f>
        <v>238.77</v>
      </c>
      <c r="F2273" s="1">
        <f ca="1">IFERROR(__xludf.DUMMYFUNCTION("""COMPUTED_VALUE"""),83087063)</f>
        <v>83087063</v>
      </c>
    </row>
    <row r="2274" spans="1:6" x14ac:dyDescent="0.2">
      <c r="A2274" s="2">
        <f ca="1">IFERROR(__xludf.DUMMYFUNCTION("""COMPUTED_VALUE"""),45576.6666666666)</f>
        <v>45576.666666666599</v>
      </c>
      <c r="B2274" s="1">
        <f ca="1">IFERROR(__xludf.DUMMYFUNCTION("""COMPUTED_VALUE"""),220.13)</f>
        <v>220.13</v>
      </c>
      <c r="C2274" s="1">
        <f ca="1">IFERROR(__xludf.DUMMYFUNCTION("""COMPUTED_VALUE"""),223.34)</f>
        <v>223.34</v>
      </c>
      <c r="D2274" s="1">
        <f ca="1">IFERROR(__xludf.DUMMYFUNCTION("""COMPUTED_VALUE"""),214.38)</f>
        <v>214.38</v>
      </c>
      <c r="E2274" s="1">
        <f ca="1">IFERROR(__xludf.DUMMYFUNCTION("""COMPUTED_VALUE"""),217.8)</f>
        <v>217.8</v>
      </c>
      <c r="F2274" s="1">
        <f ca="1">IFERROR(__xludf.DUMMYFUNCTION("""COMPUTED_VALUE"""),142628874)</f>
        <v>142628874</v>
      </c>
    </row>
    <row r="2275" spans="1:6" x14ac:dyDescent="0.2">
      <c r="A2275" s="2">
        <f ca="1">IFERROR(__xludf.DUMMYFUNCTION("""COMPUTED_VALUE"""),45579.6666666666)</f>
        <v>45579.666666666599</v>
      </c>
      <c r="B2275" s="1">
        <f ca="1">IFERROR(__xludf.DUMMYFUNCTION("""COMPUTED_VALUE"""),220.13)</f>
        <v>220.13</v>
      </c>
      <c r="C2275" s="1">
        <f ca="1">IFERROR(__xludf.DUMMYFUNCTION("""COMPUTED_VALUE"""),221.91)</f>
        <v>221.91</v>
      </c>
      <c r="D2275" s="1">
        <f ca="1">IFERROR(__xludf.DUMMYFUNCTION("""COMPUTED_VALUE"""),213.74)</f>
        <v>213.74</v>
      </c>
      <c r="E2275" s="1">
        <f ca="1">IFERROR(__xludf.DUMMYFUNCTION("""COMPUTED_VALUE"""),219.16)</f>
        <v>219.16</v>
      </c>
      <c r="F2275" s="1">
        <f ca="1">IFERROR(__xludf.DUMMYFUNCTION("""COMPUTED_VALUE"""),86291923)</f>
        <v>86291923</v>
      </c>
    </row>
    <row r="2276" spans="1:6" x14ac:dyDescent="0.2">
      <c r="A2276" s="2">
        <f ca="1">IFERROR(__xludf.DUMMYFUNCTION("""COMPUTED_VALUE"""),45580.6666666666)</f>
        <v>45580.666666666599</v>
      </c>
      <c r="B2276" s="1">
        <f ca="1">IFERROR(__xludf.DUMMYFUNCTION("""COMPUTED_VALUE"""),220.01)</f>
        <v>220.01</v>
      </c>
      <c r="C2276" s="1">
        <f ca="1">IFERROR(__xludf.DUMMYFUNCTION("""COMPUTED_VALUE"""),224.26)</f>
        <v>224.26</v>
      </c>
      <c r="D2276" s="1">
        <f ca="1">IFERROR(__xludf.DUMMYFUNCTION("""COMPUTED_VALUE"""),217.12)</f>
        <v>217.12</v>
      </c>
      <c r="E2276" s="1">
        <f ca="1">IFERROR(__xludf.DUMMYFUNCTION("""COMPUTED_VALUE"""),219.57)</f>
        <v>219.57</v>
      </c>
      <c r="F2276" s="1">
        <f ca="1">IFERROR(__xludf.DUMMYFUNCTION("""COMPUTED_VALUE"""),62988787)</f>
        <v>62988787</v>
      </c>
    </row>
    <row r="2277" spans="1:6" x14ac:dyDescent="0.2">
      <c r="A2277" s="2">
        <f ca="1">IFERROR(__xludf.DUMMYFUNCTION("""COMPUTED_VALUE"""),45581.6666666666)</f>
        <v>45581.666666666599</v>
      </c>
      <c r="B2277" s="1">
        <f ca="1">IFERROR(__xludf.DUMMYFUNCTION("""COMPUTED_VALUE"""),221.4)</f>
        <v>221.4</v>
      </c>
      <c r="C2277" s="1">
        <f ca="1">IFERROR(__xludf.DUMMYFUNCTION("""COMPUTED_VALUE"""),222.82)</f>
        <v>222.82</v>
      </c>
      <c r="D2277" s="1">
        <f ca="1">IFERROR(__xludf.DUMMYFUNCTION("""COMPUTED_VALUE"""),218.93)</f>
        <v>218.93</v>
      </c>
      <c r="E2277" s="1">
        <f ca="1">IFERROR(__xludf.DUMMYFUNCTION("""COMPUTED_VALUE"""),221.33)</f>
        <v>221.33</v>
      </c>
      <c r="F2277" s="1">
        <f ca="1">IFERROR(__xludf.DUMMYFUNCTION("""COMPUTED_VALUE"""),49632824)</f>
        <v>49632824</v>
      </c>
    </row>
    <row r="2278" spans="1:6" x14ac:dyDescent="0.2">
      <c r="A2278" s="2">
        <f ca="1">IFERROR(__xludf.DUMMYFUNCTION("""COMPUTED_VALUE"""),45582.6666666666)</f>
        <v>45582.666666666599</v>
      </c>
      <c r="B2278" s="1">
        <f ca="1">IFERROR(__xludf.DUMMYFUNCTION("""COMPUTED_VALUE"""),221.59)</f>
        <v>221.59</v>
      </c>
      <c r="C2278" s="1">
        <f ca="1">IFERROR(__xludf.DUMMYFUNCTION("""COMPUTED_VALUE"""),222.08)</f>
        <v>222.08</v>
      </c>
      <c r="D2278" s="1">
        <f ca="1">IFERROR(__xludf.DUMMYFUNCTION("""COMPUTED_VALUE"""),217.9)</f>
        <v>217.9</v>
      </c>
      <c r="E2278" s="1">
        <f ca="1">IFERROR(__xludf.DUMMYFUNCTION("""COMPUTED_VALUE"""),220.89)</f>
        <v>220.89</v>
      </c>
      <c r="F2278" s="1">
        <f ca="1">IFERROR(__xludf.DUMMYFUNCTION("""COMPUTED_VALUE"""),50791784)</f>
        <v>50791784</v>
      </c>
    </row>
    <row r="2279" spans="1:6" x14ac:dyDescent="0.2">
      <c r="A2279" s="2">
        <f ca="1">IFERROR(__xludf.DUMMYFUNCTION("""COMPUTED_VALUE"""),45583.6666666666)</f>
        <v>45583.666666666599</v>
      </c>
      <c r="B2279" s="1">
        <f ca="1">IFERROR(__xludf.DUMMYFUNCTION("""COMPUTED_VALUE"""),220.71)</f>
        <v>220.71</v>
      </c>
      <c r="C2279" s="1">
        <f ca="1">IFERROR(__xludf.DUMMYFUNCTION("""COMPUTED_VALUE"""),222.28)</f>
        <v>222.28</v>
      </c>
      <c r="D2279" s="1">
        <f ca="1">IFERROR(__xludf.DUMMYFUNCTION("""COMPUTED_VALUE"""),219.23)</f>
        <v>219.23</v>
      </c>
      <c r="E2279" s="1">
        <f ca="1">IFERROR(__xludf.DUMMYFUNCTION("""COMPUTED_VALUE"""),220.7)</f>
        <v>220.7</v>
      </c>
      <c r="F2279" s="1">
        <f ca="1">IFERROR(__xludf.DUMMYFUNCTION("""COMPUTED_VALUE"""),49611867)</f>
        <v>49611867</v>
      </c>
    </row>
    <row r="2280" spans="1:6" x14ac:dyDescent="0.2">
      <c r="A2280" s="2">
        <f ca="1">IFERROR(__xludf.DUMMYFUNCTION("""COMPUTED_VALUE"""),45586.6666666666)</f>
        <v>45586.666666666599</v>
      </c>
      <c r="B2280" s="1">
        <f ca="1">IFERROR(__xludf.DUMMYFUNCTION("""COMPUTED_VALUE"""),218.9)</f>
        <v>218.9</v>
      </c>
      <c r="C2280" s="1">
        <f ca="1">IFERROR(__xludf.DUMMYFUNCTION("""COMPUTED_VALUE"""),220.48)</f>
        <v>220.48</v>
      </c>
      <c r="D2280" s="1">
        <f ca="1">IFERROR(__xludf.DUMMYFUNCTION("""COMPUTED_VALUE"""),215.73)</f>
        <v>215.73</v>
      </c>
      <c r="E2280" s="1">
        <f ca="1">IFERROR(__xludf.DUMMYFUNCTION("""COMPUTED_VALUE"""),218.85)</f>
        <v>218.85</v>
      </c>
      <c r="F2280" s="1">
        <f ca="1">IFERROR(__xludf.DUMMYFUNCTION("""COMPUTED_VALUE"""),47328988)</f>
        <v>47328988</v>
      </c>
    </row>
    <row r="2281" spans="1:6" x14ac:dyDescent="0.2">
      <c r="A2281" s="2">
        <f ca="1">IFERROR(__xludf.DUMMYFUNCTION("""COMPUTED_VALUE"""),45587.6666666666)</f>
        <v>45587.666666666599</v>
      </c>
      <c r="B2281" s="1">
        <f ca="1">IFERROR(__xludf.DUMMYFUNCTION("""COMPUTED_VALUE"""),217.31)</f>
        <v>217.31</v>
      </c>
      <c r="C2281" s="1">
        <f ca="1">IFERROR(__xludf.DUMMYFUNCTION("""COMPUTED_VALUE"""),218.22)</f>
        <v>218.22</v>
      </c>
      <c r="D2281" s="1">
        <f ca="1">IFERROR(__xludf.DUMMYFUNCTION("""COMPUTED_VALUE"""),215.26)</f>
        <v>215.26</v>
      </c>
      <c r="E2281" s="1">
        <f ca="1">IFERROR(__xludf.DUMMYFUNCTION("""COMPUTED_VALUE"""),217.97)</f>
        <v>217.97</v>
      </c>
      <c r="F2281" s="1">
        <f ca="1">IFERROR(__xludf.DUMMYFUNCTION("""COMPUTED_VALUE"""),43268741)</f>
        <v>43268741</v>
      </c>
    </row>
    <row r="2282" spans="1:6" x14ac:dyDescent="0.2">
      <c r="A2282" s="2">
        <f ca="1">IFERROR(__xludf.DUMMYFUNCTION("""COMPUTED_VALUE"""),45588.6666666666)</f>
        <v>45588.666666666599</v>
      </c>
      <c r="B2282" s="1">
        <f ca="1">IFERROR(__xludf.DUMMYFUNCTION("""COMPUTED_VALUE"""),217.13)</f>
        <v>217.13</v>
      </c>
      <c r="C2282" s="1">
        <f ca="1">IFERROR(__xludf.DUMMYFUNCTION("""COMPUTED_VALUE"""),218.72)</f>
        <v>218.72</v>
      </c>
      <c r="D2282" s="1">
        <f ca="1">IFERROR(__xludf.DUMMYFUNCTION("""COMPUTED_VALUE"""),212.11)</f>
        <v>212.11</v>
      </c>
      <c r="E2282" s="1">
        <f ca="1">IFERROR(__xludf.DUMMYFUNCTION("""COMPUTED_VALUE"""),213.65)</f>
        <v>213.65</v>
      </c>
      <c r="F2282" s="1">
        <f ca="1">IFERROR(__xludf.DUMMYFUNCTION("""COMPUTED_VALUE"""),80938892)</f>
        <v>80938892</v>
      </c>
    </row>
    <row r="2283" spans="1:6" x14ac:dyDescent="0.2">
      <c r="A2283" s="2">
        <f ca="1">IFERROR(__xludf.DUMMYFUNCTION("""COMPUTED_VALUE"""),45589.6666666666)</f>
        <v>45589.666666666599</v>
      </c>
      <c r="B2283" s="1">
        <f ca="1">IFERROR(__xludf.DUMMYFUNCTION("""COMPUTED_VALUE"""),244.68)</f>
        <v>244.68</v>
      </c>
      <c r="C2283" s="1">
        <f ca="1">IFERROR(__xludf.DUMMYFUNCTION("""COMPUTED_VALUE"""),262.12)</f>
        <v>262.12</v>
      </c>
      <c r="D2283" s="1">
        <f ca="1">IFERROR(__xludf.DUMMYFUNCTION("""COMPUTED_VALUE"""),242.65)</f>
        <v>242.65</v>
      </c>
      <c r="E2283" s="1">
        <f ca="1">IFERROR(__xludf.DUMMYFUNCTION("""COMPUTED_VALUE"""),260.48)</f>
        <v>260.48</v>
      </c>
      <c r="F2283" s="1">
        <f ca="1">IFERROR(__xludf.DUMMYFUNCTION("""COMPUTED_VALUE"""),204491903)</f>
        <v>204491903</v>
      </c>
    </row>
    <row r="2284" spans="1:6" x14ac:dyDescent="0.2">
      <c r="A2284" s="2">
        <f ca="1">IFERROR(__xludf.DUMMYFUNCTION("""COMPUTED_VALUE"""),45590.6666666666)</f>
        <v>45590.666666666599</v>
      </c>
      <c r="B2284" s="1">
        <f ca="1">IFERROR(__xludf.DUMMYFUNCTION("""COMPUTED_VALUE"""),256.01)</f>
        <v>256.01</v>
      </c>
      <c r="C2284" s="1">
        <f ca="1">IFERROR(__xludf.DUMMYFUNCTION("""COMPUTED_VALUE"""),269.49)</f>
        <v>269.49</v>
      </c>
      <c r="D2284" s="1">
        <f ca="1">IFERROR(__xludf.DUMMYFUNCTION("""COMPUTED_VALUE"""),255.32)</f>
        <v>255.32</v>
      </c>
      <c r="E2284" s="1">
        <f ca="1">IFERROR(__xludf.DUMMYFUNCTION("""COMPUTED_VALUE"""),269.19)</f>
        <v>269.19</v>
      </c>
      <c r="F2284" s="1">
        <f ca="1">IFERROR(__xludf.DUMMYFUNCTION("""COMPUTED_VALUE"""),161611931)</f>
        <v>161611931</v>
      </c>
    </row>
    <row r="2285" spans="1:6" x14ac:dyDescent="0.2">
      <c r="A2285" s="2">
        <f ca="1">IFERROR(__xludf.DUMMYFUNCTION("""COMPUTED_VALUE"""),45593.6666666666)</f>
        <v>45593.666666666599</v>
      </c>
      <c r="B2285" s="1">
        <f ca="1">IFERROR(__xludf.DUMMYFUNCTION("""COMPUTED_VALUE"""),270)</f>
        <v>270</v>
      </c>
      <c r="C2285" s="1">
        <f ca="1">IFERROR(__xludf.DUMMYFUNCTION("""COMPUTED_VALUE"""),273.54)</f>
        <v>273.54000000000002</v>
      </c>
      <c r="D2285" s="1">
        <f ca="1">IFERROR(__xludf.DUMMYFUNCTION("""COMPUTED_VALUE"""),262.24)</f>
        <v>262.24</v>
      </c>
      <c r="E2285" s="1">
        <f ca="1">IFERROR(__xludf.DUMMYFUNCTION("""COMPUTED_VALUE"""),262.51)</f>
        <v>262.51</v>
      </c>
      <c r="F2285" s="1">
        <f ca="1">IFERROR(__xludf.DUMMYFUNCTION("""COMPUTED_VALUE"""),107653603)</f>
        <v>107653603</v>
      </c>
    </row>
    <row r="2286" spans="1:6" x14ac:dyDescent="0.2">
      <c r="A2286" s="2">
        <f ca="1">IFERROR(__xludf.DUMMYFUNCTION("""COMPUTED_VALUE"""),45594.6666666666)</f>
        <v>45594.666666666599</v>
      </c>
      <c r="B2286" s="1">
        <f ca="1">IFERROR(__xludf.DUMMYFUNCTION("""COMPUTED_VALUE"""),264.51)</f>
        <v>264.51</v>
      </c>
      <c r="C2286" s="1">
        <f ca="1">IFERROR(__xludf.DUMMYFUNCTION("""COMPUTED_VALUE"""),264.98)</f>
        <v>264.98</v>
      </c>
      <c r="D2286" s="1">
        <f ca="1">IFERROR(__xludf.DUMMYFUNCTION("""COMPUTED_VALUE"""),255.51)</f>
        <v>255.51</v>
      </c>
      <c r="E2286" s="1">
        <f ca="1">IFERROR(__xludf.DUMMYFUNCTION("""COMPUTED_VALUE"""),259.52)</f>
        <v>259.52</v>
      </c>
      <c r="F2286" s="1">
        <f ca="1">IFERROR(__xludf.DUMMYFUNCTION("""COMPUTED_VALUE"""),80521751)</f>
        <v>80521751</v>
      </c>
    </row>
    <row r="2287" spans="1:6" x14ac:dyDescent="0.2">
      <c r="A2287" s="2">
        <f ca="1">IFERROR(__xludf.DUMMYFUNCTION("""COMPUTED_VALUE"""),45595.6666666666)</f>
        <v>45595.666666666599</v>
      </c>
      <c r="B2287" s="1">
        <f ca="1">IFERROR(__xludf.DUMMYFUNCTION("""COMPUTED_VALUE"""),258.04)</f>
        <v>258.04000000000002</v>
      </c>
      <c r="C2287" s="1">
        <f ca="1">IFERROR(__xludf.DUMMYFUNCTION("""COMPUTED_VALUE"""),263.35)</f>
        <v>263.35000000000002</v>
      </c>
      <c r="D2287" s="1">
        <f ca="1">IFERROR(__xludf.DUMMYFUNCTION("""COMPUTED_VALUE"""),255.82)</f>
        <v>255.82</v>
      </c>
      <c r="E2287" s="1">
        <f ca="1">IFERROR(__xludf.DUMMYFUNCTION("""COMPUTED_VALUE"""),257.55)</f>
        <v>257.55</v>
      </c>
      <c r="F2287" s="1">
        <f ca="1">IFERROR(__xludf.DUMMYFUNCTION("""COMPUTED_VALUE"""),53993576)</f>
        <v>53993576</v>
      </c>
    </row>
    <row r="2288" spans="1:6" x14ac:dyDescent="0.2">
      <c r="A2288" s="2">
        <f ca="1">IFERROR(__xludf.DUMMYFUNCTION("""COMPUTED_VALUE"""),45596.6666666666)</f>
        <v>45596.666666666599</v>
      </c>
      <c r="B2288" s="1">
        <f ca="1">IFERROR(__xludf.DUMMYFUNCTION("""COMPUTED_VALUE"""),257.99)</f>
        <v>257.99</v>
      </c>
      <c r="C2288" s="1">
        <f ca="1">IFERROR(__xludf.DUMMYFUNCTION("""COMPUTED_VALUE"""),259.75)</f>
        <v>259.75</v>
      </c>
      <c r="D2288" s="1">
        <f ca="1">IFERROR(__xludf.DUMMYFUNCTION("""COMPUTED_VALUE"""),249.25)</f>
        <v>249.25</v>
      </c>
      <c r="E2288" s="1">
        <f ca="1">IFERROR(__xludf.DUMMYFUNCTION("""COMPUTED_VALUE"""),249.85)</f>
        <v>249.85</v>
      </c>
      <c r="F2288" s="1">
        <f ca="1">IFERROR(__xludf.DUMMYFUNCTION("""COMPUTED_VALUE"""),66575292)</f>
        <v>66575292</v>
      </c>
    </row>
    <row r="2289" spans="1:6" x14ac:dyDescent="0.2">
      <c r="A2289" s="2">
        <f ca="1">IFERROR(__xludf.DUMMYFUNCTION("""COMPUTED_VALUE"""),45597.6666666666)</f>
        <v>45597.666666666599</v>
      </c>
      <c r="B2289" s="1">
        <f ca="1">IFERROR(__xludf.DUMMYFUNCTION("""COMPUTED_VALUE"""),252.04)</f>
        <v>252.04</v>
      </c>
      <c r="C2289" s="1">
        <f ca="1">IFERROR(__xludf.DUMMYFUNCTION("""COMPUTED_VALUE"""),254)</f>
        <v>254</v>
      </c>
      <c r="D2289" s="1">
        <f ca="1">IFERROR(__xludf.DUMMYFUNCTION("""COMPUTED_VALUE"""),246.63)</f>
        <v>246.63</v>
      </c>
      <c r="E2289" s="1">
        <f ca="1">IFERROR(__xludf.DUMMYFUNCTION("""COMPUTED_VALUE"""),248.98)</f>
        <v>248.98</v>
      </c>
      <c r="F2289" s="1">
        <f ca="1">IFERROR(__xludf.DUMMYFUNCTION("""COMPUTED_VALUE"""),57544757)</f>
        <v>57544757</v>
      </c>
    </row>
    <row r="2290" spans="1:6" x14ac:dyDescent="0.2">
      <c r="A2290" s="2">
        <f ca="1">IFERROR(__xludf.DUMMYFUNCTION("""COMPUTED_VALUE"""),45600.6666666666)</f>
        <v>45600.666666666599</v>
      </c>
      <c r="B2290" s="1">
        <f ca="1">IFERROR(__xludf.DUMMYFUNCTION("""COMPUTED_VALUE"""),244.56)</f>
        <v>244.56</v>
      </c>
      <c r="C2290" s="1">
        <f ca="1">IFERROR(__xludf.DUMMYFUNCTION("""COMPUTED_VALUE"""),248.9)</f>
        <v>248.9</v>
      </c>
      <c r="D2290" s="1">
        <f ca="1">IFERROR(__xludf.DUMMYFUNCTION("""COMPUTED_VALUE"""),238.88)</f>
        <v>238.88</v>
      </c>
      <c r="E2290" s="1">
        <f ca="1">IFERROR(__xludf.DUMMYFUNCTION("""COMPUTED_VALUE"""),242.84)</f>
        <v>242.84</v>
      </c>
      <c r="F2290" s="1">
        <f ca="1">IFERROR(__xludf.DUMMYFUNCTION("""COMPUTED_VALUE"""),68802354)</f>
        <v>68802354</v>
      </c>
    </row>
    <row r="2291" spans="1:6" x14ac:dyDescent="0.2">
      <c r="A2291" s="2">
        <f ca="1">IFERROR(__xludf.DUMMYFUNCTION("""COMPUTED_VALUE"""),45601.6666666666)</f>
        <v>45601.666666666599</v>
      </c>
      <c r="B2291" s="1">
        <f ca="1">IFERROR(__xludf.DUMMYFUNCTION("""COMPUTED_VALUE"""),247.34)</f>
        <v>247.34</v>
      </c>
      <c r="C2291" s="1">
        <f ca="1">IFERROR(__xludf.DUMMYFUNCTION("""COMPUTED_VALUE"""),255.28)</f>
        <v>255.28</v>
      </c>
      <c r="D2291" s="1">
        <f ca="1">IFERROR(__xludf.DUMMYFUNCTION("""COMPUTED_VALUE"""),246.21)</f>
        <v>246.21</v>
      </c>
      <c r="E2291" s="1">
        <f ca="1">IFERROR(__xludf.DUMMYFUNCTION("""COMPUTED_VALUE"""),251.44)</f>
        <v>251.44</v>
      </c>
      <c r="F2291" s="1">
        <f ca="1">IFERROR(__xludf.DUMMYFUNCTION("""COMPUTED_VALUE"""),69282505)</f>
        <v>69282505</v>
      </c>
    </row>
    <row r="2292" spans="1:6" x14ac:dyDescent="0.2">
      <c r="A2292" s="2">
        <f ca="1">IFERROR(__xludf.DUMMYFUNCTION("""COMPUTED_VALUE"""),45602.6666666666)</f>
        <v>45602.666666666599</v>
      </c>
      <c r="B2292" s="1">
        <f ca="1">IFERROR(__xludf.DUMMYFUNCTION("""COMPUTED_VALUE"""),284.67)</f>
        <v>284.67</v>
      </c>
      <c r="C2292" s="1">
        <f ca="1">IFERROR(__xludf.DUMMYFUNCTION("""COMPUTED_VALUE"""),289.59)</f>
        <v>289.58999999999997</v>
      </c>
      <c r="D2292" s="1">
        <f ca="1">IFERROR(__xludf.DUMMYFUNCTION("""COMPUTED_VALUE"""),275.62)</f>
        <v>275.62</v>
      </c>
      <c r="E2292" s="1">
        <f ca="1">IFERROR(__xludf.DUMMYFUNCTION("""COMPUTED_VALUE"""),288.53)</f>
        <v>288.52999999999997</v>
      </c>
      <c r="F2292" s="1">
        <f ca="1">IFERROR(__xludf.DUMMYFUNCTION("""COMPUTED_VALUE"""),165228710)</f>
        <v>165228710</v>
      </c>
    </row>
    <row r="2293" spans="1:6" x14ac:dyDescent="0.2">
      <c r="A2293" s="2">
        <f ca="1">IFERROR(__xludf.DUMMYFUNCTION("""COMPUTED_VALUE"""),45603.6666666666)</f>
        <v>45603.666666666599</v>
      </c>
      <c r="B2293" s="1">
        <f ca="1">IFERROR(__xludf.DUMMYFUNCTION("""COMPUTED_VALUE"""),288.89)</f>
        <v>288.89</v>
      </c>
      <c r="C2293" s="1">
        <f ca="1">IFERROR(__xludf.DUMMYFUNCTION("""COMPUTED_VALUE"""),299.75)</f>
        <v>299.75</v>
      </c>
      <c r="D2293" s="1">
        <f ca="1">IFERROR(__xludf.DUMMYFUNCTION("""COMPUTED_VALUE"""),285.52)</f>
        <v>285.52</v>
      </c>
      <c r="E2293" s="1">
        <f ca="1">IFERROR(__xludf.DUMMYFUNCTION("""COMPUTED_VALUE"""),296.91)</f>
        <v>296.91000000000003</v>
      </c>
      <c r="F2293" s="1">
        <f ca="1">IFERROR(__xludf.DUMMYFUNCTION("""COMPUTED_VALUE"""),117309232)</f>
        <v>117309232</v>
      </c>
    </row>
    <row r="2294" spans="1:6" x14ac:dyDescent="0.2">
      <c r="A2294" s="2">
        <f ca="1">IFERROR(__xludf.DUMMYFUNCTION("""COMPUTED_VALUE"""),45604.6666666666)</f>
        <v>45604.666666666599</v>
      </c>
      <c r="B2294" s="1">
        <f ca="1">IFERROR(__xludf.DUMMYFUNCTION("""COMPUTED_VALUE"""),299.14)</f>
        <v>299.14</v>
      </c>
      <c r="C2294" s="1">
        <f ca="1">IFERROR(__xludf.DUMMYFUNCTION("""COMPUTED_VALUE"""),328.71)</f>
        <v>328.71</v>
      </c>
      <c r="D2294" s="1">
        <f ca="1">IFERROR(__xludf.DUMMYFUNCTION("""COMPUTED_VALUE"""),297.66)</f>
        <v>297.66000000000003</v>
      </c>
      <c r="E2294" s="1">
        <f ca="1">IFERROR(__xludf.DUMMYFUNCTION("""COMPUTED_VALUE"""),321.22)</f>
        <v>321.22000000000003</v>
      </c>
      <c r="F2294" s="1">
        <f ca="1">IFERROR(__xludf.DUMMYFUNCTION("""COMPUTED_VALUE"""),204782763)</f>
        <v>204782763</v>
      </c>
    </row>
    <row r="2295" spans="1:6" x14ac:dyDescent="0.2">
      <c r="A2295" s="2">
        <f ca="1">IFERROR(__xludf.DUMMYFUNCTION("""COMPUTED_VALUE"""),45607.6666666666)</f>
        <v>45607.666666666599</v>
      </c>
      <c r="B2295" s="1">
        <f ca="1">IFERROR(__xludf.DUMMYFUNCTION("""COMPUTED_VALUE"""),346.3)</f>
        <v>346.3</v>
      </c>
      <c r="C2295" s="1">
        <f ca="1">IFERROR(__xludf.DUMMYFUNCTION("""COMPUTED_VALUE"""),358.64)</f>
        <v>358.64</v>
      </c>
      <c r="D2295" s="1">
        <f ca="1">IFERROR(__xludf.DUMMYFUNCTION("""COMPUTED_VALUE"""),336)</f>
        <v>336</v>
      </c>
      <c r="E2295" s="1">
        <f ca="1">IFERROR(__xludf.DUMMYFUNCTION("""COMPUTED_VALUE"""),350)</f>
        <v>350</v>
      </c>
      <c r="F2295" s="1">
        <f ca="1">IFERROR(__xludf.DUMMYFUNCTION("""COMPUTED_VALUE"""),210521625)</f>
        <v>210521625</v>
      </c>
    </row>
    <row r="2296" spans="1:6" x14ac:dyDescent="0.2">
      <c r="A2296" s="2">
        <f ca="1">IFERROR(__xludf.DUMMYFUNCTION("""COMPUTED_VALUE"""),45608.6666666666)</f>
        <v>45608.666666666599</v>
      </c>
      <c r="B2296" s="1">
        <f ca="1">IFERROR(__xludf.DUMMYFUNCTION("""COMPUTED_VALUE"""),342.74)</f>
        <v>342.74</v>
      </c>
      <c r="C2296" s="1">
        <f ca="1">IFERROR(__xludf.DUMMYFUNCTION("""COMPUTED_VALUE"""),345.84)</f>
        <v>345.84</v>
      </c>
      <c r="D2296" s="1">
        <f ca="1">IFERROR(__xludf.DUMMYFUNCTION("""COMPUTED_VALUE"""),323.31)</f>
        <v>323.31</v>
      </c>
      <c r="E2296" s="1">
        <f ca="1">IFERROR(__xludf.DUMMYFUNCTION("""COMPUTED_VALUE"""),328.49)</f>
        <v>328.49</v>
      </c>
      <c r="F2296" s="1">
        <f ca="1">IFERROR(__xludf.DUMMYFUNCTION("""COMPUTED_VALUE"""),155726016)</f>
        <v>155726016</v>
      </c>
    </row>
    <row r="2297" spans="1:6" x14ac:dyDescent="0.2">
      <c r="A2297" s="2">
        <f ca="1">IFERROR(__xludf.DUMMYFUNCTION("""COMPUTED_VALUE"""),45609.6666666666)</f>
        <v>45609.666666666599</v>
      </c>
      <c r="B2297" s="1">
        <f ca="1">IFERROR(__xludf.DUMMYFUNCTION("""COMPUTED_VALUE"""),335.85)</f>
        <v>335.85</v>
      </c>
      <c r="C2297" s="1">
        <f ca="1">IFERROR(__xludf.DUMMYFUNCTION("""COMPUTED_VALUE"""),344.6)</f>
        <v>344.6</v>
      </c>
      <c r="D2297" s="1">
        <f ca="1">IFERROR(__xludf.DUMMYFUNCTION("""COMPUTED_VALUE"""),322.5)</f>
        <v>322.5</v>
      </c>
      <c r="E2297" s="1">
        <f ca="1">IFERROR(__xludf.DUMMYFUNCTION("""COMPUTED_VALUE"""),330.24)</f>
        <v>330.24</v>
      </c>
      <c r="F2297" s="1">
        <f ca="1">IFERROR(__xludf.DUMMYFUNCTION("""COMPUTED_VALUE"""),125405599)</f>
        <v>125405599</v>
      </c>
    </row>
    <row r="2298" spans="1:6" x14ac:dyDescent="0.2">
      <c r="A2298" s="2">
        <f ca="1">IFERROR(__xludf.DUMMYFUNCTION("""COMPUTED_VALUE"""),45610.6666666666)</f>
        <v>45610.666666666599</v>
      </c>
      <c r="B2298" s="1">
        <f ca="1">IFERROR(__xludf.DUMMYFUNCTION("""COMPUTED_VALUE"""),327.69)</f>
        <v>327.69</v>
      </c>
      <c r="C2298" s="1">
        <f ca="1">IFERROR(__xludf.DUMMYFUNCTION("""COMPUTED_VALUE"""),329.98)</f>
        <v>329.98</v>
      </c>
      <c r="D2298" s="1">
        <f ca="1">IFERROR(__xludf.DUMMYFUNCTION("""COMPUTED_VALUE"""),310.37)</f>
        <v>310.37</v>
      </c>
      <c r="E2298" s="1">
        <f ca="1">IFERROR(__xludf.DUMMYFUNCTION("""COMPUTED_VALUE"""),311.18)</f>
        <v>311.18</v>
      </c>
      <c r="F2298" s="1">
        <f ca="1">IFERROR(__xludf.DUMMYFUNCTION("""COMPUTED_VALUE"""),120726109)</f>
        <v>120726109</v>
      </c>
    </row>
    <row r="2299" spans="1:6" x14ac:dyDescent="0.2">
      <c r="A2299" s="2">
        <f ca="1">IFERROR(__xludf.DUMMYFUNCTION("""COMPUTED_VALUE"""),45611.6666666666)</f>
        <v>45611.666666666599</v>
      </c>
      <c r="B2299" s="1">
        <f ca="1">IFERROR(__xludf.DUMMYFUNCTION("""COMPUTED_VALUE"""),310.57)</f>
        <v>310.57</v>
      </c>
      <c r="C2299" s="1">
        <f ca="1">IFERROR(__xludf.DUMMYFUNCTION("""COMPUTED_VALUE"""),324.68)</f>
        <v>324.68</v>
      </c>
      <c r="D2299" s="1">
        <f ca="1">IFERROR(__xludf.DUMMYFUNCTION("""COMPUTED_VALUE"""),309.22)</f>
        <v>309.22000000000003</v>
      </c>
      <c r="E2299" s="1">
        <f ca="1">IFERROR(__xludf.DUMMYFUNCTION("""COMPUTED_VALUE"""),320.72)</f>
        <v>320.72000000000003</v>
      </c>
      <c r="F2299" s="1">
        <f ca="1">IFERROR(__xludf.DUMMYFUNCTION("""COMPUTED_VALUE"""),114440286)</f>
        <v>114440286</v>
      </c>
    </row>
    <row r="2300" spans="1:6" x14ac:dyDescent="0.2">
      <c r="A2300" s="2">
        <f ca="1">IFERROR(__xludf.DUMMYFUNCTION("""COMPUTED_VALUE"""),45614.6666666666)</f>
        <v>45614.666666666599</v>
      </c>
      <c r="B2300" s="1">
        <f ca="1">IFERROR(__xludf.DUMMYFUNCTION("""COMPUTED_VALUE"""),340.73)</f>
        <v>340.73</v>
      </c>
      <c r="C2300" s="1">
        <f ca="1">IFERROR(__xludf.DUMMYFUNCTION("""COMPUTED_VALUE"""),348.55)</f>
        <v>348.55</v>
      </c>
      <c r="D2300" s="1">
        <f ca="1">IFERROR(__xludf.DUMMYFUNCTION("""COMPUTED_VALUE"""),330.01)</f>
        <v>330.01</v>
      </c>
      <c r="E2300" s="1">
        <f ca="1">IFERROR(__xludf.DUMMYFUNCTION("""COMPUTED_VALUE"""),338.74)</f>
        <v>338.74</v>
      </c>
      <c r="F2300" s="1">
        <f ca="1">IFERROR(__xludf.DUMMYFUNCTION("""COMPUTED_VALUE"""),126547455)</f>
        <v>126547455</v>
      </c>
    </row>
    <row r="2301" spans="1:6" x14ac:dyDescent="0.2">
      <c r="A2301" s="2">
        <f ca="1">IFERROR(__xludf.DUMMYFUNCTION("""COMPUTED_VALUE"""),45615.6666666666)</f>
        <v>45615.666666666599</v>
      </c>
      <c r="B2301" s="1">
        <f ca="1">IFERROR(__xludf.DUMMYFUNCTION("""COMPUTED_VALUE"""),335.76)</f>
        <v>335.76</v>
      </c>
      <c r="C2301" s="1">
        <f ca="1">IFERROR(__xludf.DUMMYFUNCTION("""COMPUTED_VALUE"""),347.38)</f>
        <v>347.38</v>
      </c>
      <c r="D2301" s="1">
        <f ca="1">IFERROR(__xludf.DUMMYFUNCTION("""COMPUTED_VALUE"""),332.75)</f>
        <v>332.75</v>
      </c>
      <c r="E2301" s="1">
        <f ca="1">IFERROR(__xludf.DUMMYFUNCTION("""COMPUTED_VALUE"""),346)</f>
        <v>346</v>
      </c>
      <c r="F2301" s="1">
        <f ca="1">IFERROR(__xludf.DUMMYFUNCTION("""COMPUTED_VALUE"""),88852452)</f>
        <v>88852452</v>
      </c>
    </row>
    <row r="2302" spans="1:6" x14ac:dyDescent="0.2">
      <c r="A2302" s="2">
        <f ca="1">IFERROR(__xludf.DUMMYFUNCTION("""COMPUTED_VALUE"""),45616.6666666666)</f>
        <v>45616.666666666599</v>
      </c>
      <c r="B2302" s="1">
        <f ca="1">IFERROR(__xludf.DUMMYFUNCTION("""COMPUTED_VALUE"""),345)</f>
        <v>345</v>
      </c>
      <c r="C2302" s="1">
        <f ca="1">IFERROR(__xludf.DUMMYFUNCTION("""COMPUTED_VALUE"""),346.6)</f>
        <v>346.6</v>
      </c>
      <c r="D2302" s="1">
        <f ca="1">IFERROR(__xludf.DUMMYFUNCTION("""COMPUTED_VALUE"""),334.3)</f>
        <v>334.3</v>
      </c>
      <c r="E2302" s="1">
        <f ca="1">IFERROR(__xludf.DUMMYFUNCTION("""COMPUTED_VALUE"""),342.03)</f>
        <v>342.03</v>
      </c>
      <c r="F2302" s="1">
        <f ca="1">IFERROR(__xludf.DUMMYFUNCTION("""COMPUTED_VALUE"""),66340650)</f>
        <v>66340650</v>
      </c>
    </row>
    <row r="2303" spans="1:6" x14ac:dyDescent="0.2">
      <c r="A2303" s="2">
        <f ca="1">IFERROR(__xludf.DUMMYFUNCTION("""COMPUTED_VALUE"""),45617.6666666666)</f>
        <v>45617.666666666599</v>
      </c>
      <c r="B2303" s="1">
        <f ca="1">IFERROR(__xludf.DUMMYFUNCTION("""COMPUTED_VALUE"""),343.81)</f>
        <v>343.81</v>
      </c>
      <c r="C2303" s="1">
        <f ca="1">IFERROR(__xludf.DUMMYFUNCTION("""COMPUTED_VALUE"""),347.99)</f>
        <v>347.99</v>
      </c>
      <c r="D2303" s="1">
        <f ca="1">IFERROR(__xludf.DUMMYFUNCTION("""COMPUTED_VALUE"""),335.28)</f>
        <v>335.28</v>
      </c>
      <c r="E2303" s="1">
        <f ca="1">IFERROR(__xludf.DUMMYFUNCTION("""COMPUTED_VALUE"""),339.64)</f>
        <v>339.64</v>
      </c>
      <c r="F2303" s="1">
        <f ca="1">IFERROR(__xludf.DUMMYFUNCTION("""COMPUTED_VALUE"""),58011719)</f>
        <v>58011719</v>
      </c>
    </row>
    <row r="2304" spans="1:6" x14ac:dyDescent="0.2">
      <c r="A2304" s="2">
        <f ca="1">IFERROR(__xludf.DUMMYFUNCTION("""COMPUTED_VALUE"""),45618.6666666666)</f>
        <v>45618.666666666599</v>
      </c>
      <c r="B2304" s="1">
        <f ca="1">IFERROR(__xludf.DUMMYFUNCTION("""COMPUTED_VALUE"""),341.09)</f>
        <v>341.09</v>
      </c>
      <c r="C2304" s="1">
        <f ca="1">IFERROR(__xludf.DUMMYFUNCTION("""COMPUTED_VALUE"""),361.53)</f>
        <v>361.53</v>
      </c>
      <c r="D2304" s="1">
        <f ca="1">IFERROR(__xludf.DUMMYFUNCTION("""COMPUTED_VALUE"""),337.7)</f>
        <v>337.7</v>
      </c>
      <c r="E2304" s="1">
        <f ca="1">IFERROR(__xludf.DUMMYFUNCTION("""COMPUTED_VALUE"""),352.56)</f>
        <v>352.56</v>
      </c>
      <c r="F2304" s="1">
        <f ca="1">IFERROR(__xludf.DUMMYFUNCTION("""COMPUTED_VALUE"""),89140722)</f>
        <v>89140722</v>
      </c>
    </row>
    <row r="2305" spans="1:6" x14ac:dyDescent="0.2">
      <c r="A2305" s="2">
        <f ca="1">IFERROR(__xludf.DUMMYFUNCTION("""COMPUTED_VALUE"""),45621.6666666666)</f>
        <v>45621.666666666599</v>
      </c>
      <c r="B2305" s="1">
        <f ca="1">IFERROR(__xludf.DUMMYFUNCTION("""COMPUTED_VALUE"""),360.14)</f>
        <v>360.14</v>
      </c>
      <c r="C2305" s="1">
        <f ca="1">IFERROR(__xludf.DUMMYFUNCTION("""COMPUTED_VALUE"""),361.93)</f>
        <v>361.93</v>
      </c>
      <c r="D2305" s="1">
        <f ca="1">IFERROR(__xludf.DUMMYFUNCTION("""COMPUTED_VALUE"""),338.2)</f>
        <v>338.2</v>
      </c>
      <c r="E2305" s="1">
        <f ca="1">IFERROR(__xludf.DUMMYFUNCTION("""COMPUTED_VALUE"""),338.59)</f>
        <v>338.59</v>
      </c>
      <c r="F2305" s="1">
        <f ca="1">IFERROR(__xludf.DUMMYFUNCTION("""COMPUTED_VALUE"""),95890899)</f>
        <v>95890899</v>
      </c>
    </row>
    <row r="2306" spans="1:6" x14ac:dyDescent="0.2">
      <c r="A2306" s="2">
        <f ca="1">IFERROR(__xludf.DUMMYFUNCTION("""COMPUTED_VALUE"""),45622.6666666666)</f>
        <v>45622.666666666599</v>
      </c>
      <c r="B2306" s="1">
        <f ca="1">IFERROR(__xludf.DUMMYFUNCTION("""COMPUTED_VALUE"""),341)</f>
        <v>341</v>
      </c>
      <c r="C2306" s="1">
        <f ca="1">IFERROR(__xludf.DUMMYFUNCTION("""COMPUTED_VALUE"""),346.96)</f>
        <v>346.96</v>
      </c>
      <c r="D2306" s="1">
        <f ca="1">IFERROR(__xludf.DUMMYFUNCTION("""COMPUTED_VALUE"""),335.66)</f>
        <v>335.66</v>
      </c>
      <c r="E2306" s="1">
        <f ca="1">IFERROR(__xludf.DUMMYFUNCTION("""COMPUTED_VALUE"""),338.23)</f>
        <v>338.23</v>
      </c>
      <c r="F2306" s="1">
        <f ca="1">IFERROR(__xludf.DUMMYFUNCTION("""COMPUTED_VALUE"""),62295857)</f>
        <v>62295857</v>
      </c>
    </row>
    <row r="2307" spans="1:6" x14ac:dyDescent="0.2">
      <c r="A2307" s="2">
        <f ca="1">IFERROR(__xludf.DUMMYFUNCTION("""COMPUTED_VALUE"""),45623.6666666666)</f>
        <v>45623.666666666599</v>
      </c>
      <c r="B2307" s="1">
        <f ca="1">IFERROR(__xludf.DUMMYFUNCTION("""COMPUTED_VALUE"""),341.8)</f>
        <v>341.8</v>
      </c>
      <c r="C2307" s="1">
        <f ca="1">IFERROR(__xludf.DUMMYFUNCTION("""COMPUTED_VALUE"""),342.55)</f>
        <v>342.55</v>
      </c>
      <c r="D2307" s="1">
        <f ca="1">IFERROR(__xludf.DUMMYFUNCTION("""COMPUTED_VALUE"""),326.59)</f>
        <v>326.58999999999997</v>
      </c>
      <c r="E2307" s="1">
        <f ca="1">IFERROR(__xludf.DUMMYFUNCTION("""COMPUTED_VALUE"""),332.89)</f>
        <v>332.89</v>
      </c>
      <c r="F2307" s="1">
        <f ca="1">IFERROR(__xludf.DUMMYFUNCTION("""COMPUTED_VALUE"""),57896439)</f>
        <v>57896439</v>
      </c>
    </row>
    <row r="2308" spans="1:6" x14ac:dyDescent="0.2">
      <c r="A2308" s="2">
        <f ca="1">IFERROR(__xludf.DUMMYFUNCTION("""COMPUTED_VALUE"""),45625.5451388888)</f>
        <v>45625.545138888803</v>
      </c>
      <c r="B2308" s="1">
        <f ca="1">IFERROR(__xludf.DUMMYFUNCTION("""COMPUTED_VALUE"""),336.08)</f>
        <v>336.08</v>
      </c>
      <c r="C2308" s="1">
        <f ca="1">IFERROR(__xludf.DUMMYFUNCTION("""COMPUTED_VALUE"""),345.45)</f>
        <v>345.45</v>
      </c>
      <c r="D2308" s="1">
        <f ca="1">IFERROR(__xludf.DUMMYFUNCTION("""COMPUTED_VALUE"""),334.65)</f>
        <v>334.65</v>
      </c>
      <c r="E2308" s="1">
        <f ca="1">IFERROR(__xludf.DUMMYFUNCTION("""COMPUTED_VALUE"""),345.16)</f>
        <v>345.16</v>
      </c>
      <c r="F2308" s="1">
        <f ca="1">IFERROR(__xludf.DUMMYFUNCTION("""COMPUTED_VALUE"""),37167621)</f>
        <v>37167621</v>
      </c>
    </row>
    <row r="2309" spans="1:6" x14ac:dyDescent="0.2">
      <c r="A2309" s="2">
        <f ca="1">IFERROR(__xludf.DUMMYFUNCTION("""COMPUTED_VALUE"""),45628.6666666666)</f>
        <v>45628.666666666599</v>
      </c>
      <c r="B2309" s="1">
        <f ca="1">IFERROR(__xludf.DUMMYFUNCTION("""COMPUTED_VALUE"""),352.38)</f>
        <v>352.38</v>
      </c>
      <c r="C2309" s="1">
        <f ca="1">IFERROR(__xludf.DUMMYFUNCTION("""COMPUTED_VALUE"""),360)</f>
        <v>360</v>
      </c>
      <c r="D2309" s="1">
        <f ca="1">IFERROR(__xludf.DUMMYFUNCTION("""COMPUTED_VALUE"""),351.15)</f>
        <v>351.15</v>
      </c>
      <c r="E2309" s="1">
        <f ca="1">IFERROR(__xludf.DUMMYFUNCTION("""COMPUTED_VALUE"""),357.09)</f>
        <v>357.09</v>
      </c>
      <c r="F2309" s="1">
        <f ca="1">IFERROR(__xludf.DUMMYFUNCTION("""COMPUTED_VALUE"""),77986478)</f>
        <v>77986478</v>
      </c>
    </row>
    <row r="2310" spans="1:6" x14ac:dyDescent="0.2">
      <c r="A2310" s="2">
        <f ca="1">IFERROR(__xludf.DUMMYFUNCTION("""COMPUTED_VALUE"""),45629.6666666666)</f>
        <v>45629.666666666599</v>
      </c>
      <c r="B2310" s="1">
        <f ca="1">IFERROR(__xludf.DUMMYFUNCTION("""COMPUTED_VALUE"""),351.8)</f>
        <v>351.8</v>
      </c>
      <c r="C2310" s="1">
        <f ca="1">IFERROR(__xludf.DUMMYFUNCTION("""COMPUTED_VALUE"""),355.69)</f>
        <v>355.69</v>
      </c>
      <c r="D2310" s="1">
        <f ca="1">IFERROR(__xludf.DUMMYFUNCTION("""COMPUTED_VALUE"""),348.2)</f>
        <v>348.2</v>
      </c>
      <c r="E2310" s="1">
        <f ca="1">IFERROR(__xludf.DUMMYFUNCTION("""COMPUTED_VALUE"""),351.42)</f>
        <v>351.42</v>
      </c>
      <c r="F2310" s="1">
        <f ca="1">IFERROR(__xludf.DUMMYFUNCTION("""COMPUTED_VALUE"""),58267196)</f>
        <v>58267196</v>
      </c>
    </row>
    <row r="2311" spans="1:6" x14ac:dyDescent="0.2">
      <c r="A2311" s="2">
        <f ca="1">IFERROR(__xludf.DUMMYFUNCTION("""COMPUTED_VALUE"""),45630.6666666666)</f>
        <v>45630.666666666599</v>
      </c>
      <c r="B2311" s="1">
        <f ca="1">IFERROR(__xludf.DUMMYFUNCTION("""COMPUTED_VALUE"""),353)</f>
        <v>353</v>
      </c>
      <c r="C2311" s="1">
        <f ca="1">IFERROR(__xludf.DUMMYFUNCTION("""COMPUTED_VALUE"""),358.1)</f>
        <v>358.1</v>
      </c>
      <c r="D2311" s="1">
        <f ca="1">IFERROR(__xludf.DUMMYFUNCTION("""COMPUTED_VALUE"""),348.6)</f>
        <v>348.6</v>
      </c>
      <c r="E2311" s="1">
        <f ca="1">IFERROR(__xludf.DUMMYFUNCTION("""COMPUTED_VALUE"""),357.93)</f>
        <v>357.93</v>
      </c>
      <c r="F2311" s="1">
        <f ca="1">IFERROR(__xludf.DUMMYFUNCTION("""COMPUTED_VALUE"""),50810874)</f>
        <v>50810874</v>
      </c>
    </row>
    <row r="2312" spans="1:6" x14ac:dyDescent="0.2">
      <c r="A2312" s="2">
        <f ca="1">IFERROR(__xludf.DUMMYFUNCTION("""COMPUTED_VALUE"""),45631.6666666666)</f>
        <v>45631.666666666599</v>
      </c>
      <c r="B2312" s="1">
        <f ca="1">IFERROR(__xludf.DUMMYFUNCTION("""COMPUTED_VALUE"""),359.87)</f>
        <v>359.87</v>
      </c>
      <c r="C2312" s="1">
        <f ca="1">IFERROR(__xludf.DUMMYFUNCTION("""COMPUTED_VALUE"""),375.43)</f>
        <v>375.43</v>
      </c>
      <c r="D2312" s="1">
        <f ca="1">IFERROR(__xludf.DUMMYFUNCTION("""COMPUTED_VALUE"""),359.5)</f>
        <v>359.5</v>
      </c>
      <c r="E2312" s="1">
        <f ca="1">IFERROR(__xludf.DUMMYFUNCTION("""COMPUTED_VALUE"""),369.49)</f>
        <v>369.49</v>
      </c>
      <c r="F2312" s="1">
        <f ca="1">IFERROR(__xludf.DUMMYFUNCTION("""COMPUTED_VALUE"""),81403569)</f>
        <v>81403569</v>
      </c>
    </row>
    <row r="2313" spans="1:6" x14ac:dyDescent="0.2">
      <c r="A2313" s="2">
        <f ca="1">IFERROR(__xludf.DUMMYFUNCTION("""COMPUTED_VALUE"""),45632.6666666666)</f>
        <v>45632.666666666599</v>
      </c>
      <c r="B2313" s="1">
        <f ca="1">IFERROR(__xludf.DUMMYFUNCTION("""COMPUTED_VALUE"""),377.42)</f>
        <v>377.42</v>
      </c>
      <c r="C2313" s="1">
        <f ca="1">IFERROR(__xludf.DUMMYFUNCTION("""COMPUTED_VALUE"""),389.49)</f>
        <v>389.49</v>
      </c>
      <c r="D2313" s="1">
        <f ca="1">IFERROR(__xludf.DUMMYFUNCTION("""COMPUTED_VALUE"""),370.8)</f>
        <v>370.8</v>
      </c>
      <c r="E2313" s="1">
        <f ca="1">IFERROR(__xludf.DUMMYFUNCTION("""COMPUTED_VALUE"""),389.22)</f>
        <v>389.22</v>
      </c>
      <c r="F2313" s="1">
        <f ca="1">IFERROR(__xludf.DUMMYFUNCTION("""COMPUTED_VALUE"""),81455834)</f>
        <v>81455834</v>
      </c>
    </row>
    <row r="2314" spans="1:6" x14ac:dyDescent="0.2">
      <c r="A2314" s="2">
        <f ca="1">IFERROR(__xludf.DUMMYFUNCTION("""COMPUTED_VALUE"""),45635.6666666666)</f>
        <v>45635.666666666599</v>
      </c>
      <c r="B2314" s="1">
        <f ca="1">IFERROR(__xludf.DUMMYFUNCTION("""COMPUTED_VALUE"""),397.61)</f>
        <v>397.61</v>
      </c>
      <c r="C2314" s="1">
        <f ca="1">IFERROR(__xludf.DUMMYFUNCTION("""COMPUTED_VALUE"""),404.8)</f>
        <v>404.8</v>
      </c>
      <c r="D2314" s="1">
        <f ca="1">IFERROR(__xludf.DUMMYFUNCTION("""COMPUTED_VALUE"""),378.01)</f>
        <v>378.01</v>
      </c>
      <c r="E2314" s="1">
        <f ca="1">IFERROR(__xludf.DUMMYFUNCTION("""COMPUTED_VALUE"""),389.79)</f>
        <v>389.79</v>
      </c>
      <c r="F2314" s="1">
        <f ca="1">IFERROR(__xludf.DUMMYFUNCTION("""COMPUTED_VALUE"""),96359173)</f>
        <v>96359173</v>
      </c>
    </row>
    <row r="2315" spans="1:6" x14ac:dyDescent="0.2">
      <c r="A2315" s="2">
        <f ca="1">IFERROR(__xludf.DUMMYFUNCTION("""COMPUTED_VALUE"""),45636.6666666666)</f>
        <v>45636.666666666599</v>
      </c>
      <c r="B2315" s="1">
        <f ca="1">IFERROR(__xludf.DUMMYFUNCTION("""COMPUTED_VALUE"""),392.68)</f>
        <v>392.68</v>
      </c>
      <c r="C2315" s="1">
        <f ca="1">IFERROR(__xludf.DUMMYFUNCTION("""COMPUTED_VALUE"""),409.73)</f>
        <v>409.73</v>
      </c>
      <c r="D2315" s="1">
        <f ca="1">IFERROR(__xludf.DUMMYFUNCTION("""COMPUTED_VALUE"""),390.85)</f>
        <v>390.85</v>
      </c>
      <c r="E2315" s="1">
        <f ca="1">IFERROR(__xludf.DUMMYFUNCTION("""COMPUTED_VALUE"""),400.99)</f>
        <v>400.99</v>
      </c>
      <c r="F2315" s="1">
        <f ca="1">IFERROR(__xludf.DUMMYFUNCTION("""COMPUTED_VALUE"""),97563578)</f>
        <v>97563578</v>
      </c>
    </row>
    <row r="2316" spans="1:6" x14ac:dyDescent="0.2">
      <c r="A2316" s="2">
        <f ca="1">IFERROR(__xludf.DUMMYFUNCTION("""COMPUTED_VALUE"""),45637.6666666666)</f>
        <v>45637.666666666599</v>
      </c>
      <c r="B2316" s="1">
        <f ca="1">IFERROR(__xludf.DUMMYFUNCTION("""COMPUTED_VALUE"""),409.7)</f>
        <v>409.7</v>
      </c>
      <c r="C2316" s="1">
        <f ca="1">IFERROR(__xludf.DUMMYFUNCTION("""COMPUTED_VALUE"""),424.88)</f>
        <v>424.88</v>
      </c>
      <c r="D2316" s="1">
        <f ca="1">IFERROR(__xludf.DUMMYFUNCTION("""COMPUTED_VALUE"""),402.38)</f>
        <v>402.38</v>
      </c>
      <c r="E2316" s="1">
        <f ca="1">IFERROR(__xludf.DUMMYFUNCTION("""COMPUTED_VALUE"""),424.77)</f>
        <v>424.77</v>
      </c>
      <c r="F2316" s="1">
        <f ca="1">IFERROR(__xludf.DUMMYFUNCTION("""COMPUTED_VALUE"""),104287559)</f>
        <v>104287559</v>
      </c>
    </row>
    <row r="2317" spans="1:6" x14ac:dyDescent="0.2">
      <c r="A2317" s="2">
        <f ca="1">IFERROR(__xludf.DUMMYFUNCTION("""COMPUTED_VALUE"""),45638.6666666666)</f>
        <v>45638.666666666599</v>
      </c>
      <c r="B2317" s="1">
        <f ca="1">IFERROR(__xludf.DUMMYFUNCTION("""COMPUTED_VALUE"""),424.84)</f>
        <v>424.84</v>
      </c>
      <c r="C2317" s="1">
        <f ca="1">IFERROR(__xludf.DUMMYFUNCTION("""COMPUTED_VALUE"""),429.3)</f>
        <v>429.3</v>
      </c>
      <c r="D2317" s="1">
        <f ca="1">IFERROR(__xludf.DUMMYFUNCTION("""COMPUTED_VALUE"""),415)</f>
        <v>415</v>
      </c>
      <c r="E2317" s="1">
        <f ca="1">IFERROR(__xludf.DUMMYFUNCTION("""COMPUTED_VALUE"""),418.1)</f>
        <v>418.1</v>
      </c>
      <c r="F2317" s="1">
        <f ca="1">IFERROR(__xludf.DUMMYFUNCTION("""COMPUTED_VALUE"""),87752225)</f>
        <v>87752225</v>
      </c>
    </row>
    <row r="2318" spans="1:6" x14ac:dyDescent="0.2">
      <c r="A2318" s="2">
        <f ca="1">IFERROR(__xludf.DUMMYFUNCTION("""COMPUTED_VALUE"""),45639.6666666666)</f>
        <v>45639.666666666599</v>
      </c>
      <c r="B2318" s="1">
        <f ca="1">IFERROR(__xludf.DUMMYFUNCTION("""COMPUTED_VALUE"""),420)</f>
        <v>420</v>
      </c>
      <c r="C2318" s="1">
        <f ca="1">IFERROR(__xludf.DUMMYFUNCTION("""COMPUTED_VALUE"""),436.3)</f>
        <v>436.3</v>
      </c>
      <c r="D2318" s="1">
        <f ca="1">IFERROR(__xludf.DUMMYFUNCTION("""COMPUTED_VALUE"""),415.71)</f>
        <v>415.71</v>
      </c>
      <c r="E2318" s="1">
        <f ca="1">IFERROR(__xludf.DUMMYFUNCTION("""COMPUTED_VALUE"""),436.23)</f>
        <v>436.23</v>
      </c>
      <c r="F2318" s="1">
        <f ca="1">IFERROR(__xludf.DUMMYFUNCTION("""COMPUTED_VALUE"""),89000158)</f>
        <v>89000158</v>
      </c>
    </row>
    <row r="2319" spans="1:6" x14ac:dyDescent="0.2">
      <c r="A2319" s="2">
        <f ca="1">IFERROR(__xludf.DUMMYFUNCTION("""COMPUTED_VALUE"""),45642.6666666666)</f>
        <v>45642.666666666599</v>
      </c>
      <c r="B2319" s="1">
        <f ca="1">IFERROR(__xludf.DUMMYFUNCTION("""COMPUTED_VALUE"""),441.09)</f>
        <v>441.09</v>
      </c>
      <c r="C2319" s="1">
        <f ca="1">IFERROR(__xludf.DUMMYFUNCTION("""COMPUTED_VALUE"""),463.19)</f>
        <v>463.19</v>
      </c>
      <c r="D2319" s="1">
        <f ca="1">IFERROR(__xludf.DUMMYFUNCTION("""COMPUTED_VALUE"""),436.15)</f>
        <v>436.15</v>
      </c>
      <c r="E2319" s="1">
        <f ca="1">IFERROR(__xludf.DUMMYFUNCTION("""COMPUTED_VALUE"""),463.02)</f>
        <v>463.02</v>
      </c>
      <c r="F2319" s="1">
        <f ca="1">IFERROR(__xludf.DUMMYFUNCTION("""COMPUTED_VALUE"""),114083811)</f>
        <v>114083811</v>
      </c>
    </row>
    <row r="2320" spans="1:6" x14ac:dyDescent="0.2">
      <c r="A2320" s="2">
        <f ca="1">IFERROR(__xludf.DUMMYFUNCTION("""COMPUTED_VALUE"""),45643.6666666666)</f>
        <v>45643.666666666599</v>
      </c>
      <c r="B2320" s="1">
        <f ca="1">IFERROR(__xludf.DUMMYFUNCTION("""COMPUTED_VALUE"""),475.9)</f>
        <v>475.9</v>
      </c>
      <c r="C2320" s="1">
        <f ca="1">IFERROR(__xludf.DUMMYFUNCTION("""COMPUTED_VALUE"""),483.99)</f>
        <v>483.99</v>
      </c>
      <c r="D2320" s="1">
        <f ca="1">IFERROR(__xludf.DUMMYFUNCTION("""COMPUTED_VALUE"""),457.51)</f>
        <v>457.51</v>
      </c>
      <c r="E2320" s="1">
        <f ca="1">IFERROR(__xludf.DUMMYFUNCTION("""COMPUTED_VALUE"""),479.86)</f>
        <v>479.86</v>
      </c>
      <c r="F2320" s="1">
        <f ca="1">IFERROR(__xludf.DUMMYFUNCTION("""COMPUTED_VALUE"""),131222978)</f>
        <v>131222978</v>
      </c>
    </row>
    <row r="2321" spans="1:6" x14ac:dyDescent="0.2">
      <c r="A2321" s="2">
        <f ca="1">IFERROR(__xludf.DUMMYFUNCTION("""COMPUTED_VALUE"""),45644.6666666666)</f>
        <v>45644.666666666599</v>
      </c>
      <c r="B2321" s="1">
        <f ca="1">IFERROR(__xludf.DUMMYFUNCTION("""COMPUTED_VALUE"""),466.5)</f>
        <v>466.5</v>
      </c>
      <c r="C2321" s="1">
        <f ca="1">IFERROR(__xludf.DUMMYFUNCTION("""COMPUTED_VALUE"""),488.54)</f>
        <v>488.54</v>
      </c>
      <c r="D2321" s="1">
        <f ca="1">IFERROR(__xludf.DUMMYFUNCTION("""COMPUTED_VALUE"""),427.01)</f>
        <v>427.01</v>
      </c>
      <c r="E2321" s="1">
        <f ca="1">IFERROR(__xludf.DUMMYFUNCTION("""COMPUTED_VALUE"""),440.13)</f>
        <v>440.13</v>
      </c>
      <c r="F2321" s="1">
        <f ca="1">IFERROR(__xludf.DUMMYFUNCTION("""COMPUTED_VALUE"""),149340788)</f>
        <v>149340788</v>
      </c>
    </row>
    <row r="2322" spans="1:6" x14ac:dyDescent="0.2">
      <c r="A2322" s="2">
        <f ca="1">IFERROR(__xludf.DUMMYFUNCTION("""COMPUTED_VALUE"""),45645.6666666666)</f>
        <v>45645.666666666599</v>
      </c>
      <c r="B2322" s="1">
        <f ca="1">IFERROR(__xludf.DUMMYFUNCTION("""COMPUTED_VALUE"""),451.88)</f>
        <v>451.88</v>
      </c>
      <c r="C2322" s="1">
        <f ca="1">IFERROR(__xludf.DUMMYFUNCTION("""COMPUTED_VALUE"""),456.36)</f>
        <v>456.36</v>
      </c>
      <c r="D2322" s="1">
        <f ca="1">IFERROR(__xludf.DUMMYFUNCTION("""COMPUTED_VALUE"""),420.02)</f>
        <v>420.02</v>
      </c>
      <c r="E2322" s="1">
        <f ca="1">IFERROR(__xludf.DUMMYFUNCTION("""COMPUTED_VALUE"""),436.17)</f>
        <v>436.17</v>
      </c>
      <c r="F2322" s="1">
        <f ca="1">IFERROR(__xludf.DUMMYFUNCTION("""COMPUTED_VALUE"""),118566146)</f>
        <v>118566146</v>
      </c>
    </row>
    <row r="2323" spans="1:6" x14ac:dyDescent="0.2">
      <c r="A2323" s="2">
        <f ca="1">IFERROR(__xludf.DUMMYFUNCTION("""COMPUTED_VALUE"""),45646.6666666666)</f>
        <v>45646.666666666599</v>
      </c>
      <c r="B2323" s="1">
        <f ca="1">IFERROR(__xludf.DUMMYFUNCTION("""COMPUTED_VALUE"""),425.51)</f>
        <v>425.51</v>
      </c>
      <c r="C2323" s="1">
        <f ca="1">IFERROR(__xludf.DUMMYFUNCTION("""COMPUTED_VALUE"""),447.08)</f>
        <v>447.08</v>
      </c>
      <c r="D2323" s="1">
        <f ca="1">IFERROR(__xludf.DUMMYFUNCTION("""COMPUTED_VALUE"""),417.64)</f>
        <v>417.64</v>
      </c>
      <c r="E2323" s="1">
        <f ca="1">IFERROR(__xludf.DUMMYFUNCTION("""COMPUTED_VALUE"""),421.06)</f>
        <v>421.06</v>
      </c>
      <c r="F2323" s="1">
        <f ca="1">IFERROR(__xludf.DUMMYFUNCTION("""COMPUTED_VALUE"""),132216176)</f>
        <v>132216176</v>
      </c>
    </row>
    <row r="2324" spans="1:6" x14ac:dyDescent="0.2">
      <c r="A2324" s="2">
        <f ca="1">IFERROR(__xludf.DUMMYFUNCTION("""COMPUTED_VALUE"""),45649.6666666666)</f>
        <v>45649.666666666599</v>
      </c>
      <c r="B2324" s="1">
        <f ca="1">IFERROR(__xludf.DUMMYFUNCTION("""COMPUTED_VALUE"""),431)</f>
        <v>431</v>
      </c>
      <c r="C2324" s="1">
        <f ca="1">IFERROR(__xludf.DUMMYFUNCTION("""COMPUTED_VALUE"""),434.51)</f>
        <v>434.51</v>
      </c>
      <c r="D2324" s="1">
        <f ca="1">IFERROR(__xludf.DUMMYFUNCTION("""COMPUTED_VALUE"""),415.41)</f>
        <v>415.41</v>
      </c>
      <c r="E2324" s="1">
        <f ca="1">IFERROR(__xludf.DUMMYFUNCTION("""COMPUTED_VALUE"""),430.6)</f>
        <v>430.6</v>
      </c>
      <c r="F2324" s="1">
        <f ca="1">IFERROR(__xludf.DUMMYFUNCTION("""COMPUTED_VALUE"""),72698055)</f>
        <v>72698055</v>
      </c>
    </row>
    <row r="2325" spans="1:6" x14ac:dyDescent="0.2">
      <c r="A2325" s="2">
        <f ca="1">IFERROR(__xludf.DUMMYFUNCTION("""COMPUTED_VALUE"""),45650.5451388888)</f>
        <v>45650.545138888803</v>
      </c>
      <c r="B2325" s="1">
        <f ca="1">IFERROR(__xludf.DUMMYFUNCTION("""COMPUTED_VALUE"""),435.9)</f>
        <v>435.9</v>
      </c>
      <c r="C2325" s="1">
        <f ca="1">IFERROR(__xludf.DUMMYFUNCTION("""COMPUTED_VALUE"""),462.78)</f>
        <v>462.78</v>
      </c>
      <c r="D2325" s="1">
        <f ca="1">IFERROR(__xludf.DUMMYFUNCTION("""COMPUTED_VALUE"""),435.14)</f>
        <v>435.14</v>
      </c>
      <c r="E2325" s="1">
        <f ca="1">IFERROR(__xludf.DUMMYFUNCTION("""COMPUTED_VALUE"""),462.28)</f>
        <v>462.28</v>
      </c>
      <c r="F2325" s="1">
        <f ca="1">IFERROR(__xludf.DUMMYFUNCTION("""COMPUTED_VALUE"""),59551750)</f>
        <v>59551750</v>
      </c>
    </row>
    <row r="2326" spans="1:6" x14ac:dyDescent="0.2">
      <c r="A2326" s="2">
        <f ca="1">IFERROR(__xludf.DUMMYFUNCTION("""COMPUTED_VALUE"""),45652.6666666666)</f>
        <v>45652.666666666599</v>
      </c>
      <c r="B2326" s="1">
        <f ca="1">IFERROR(__xludf.DUMMYFUNCTION("""COMPUTED_VALUE"""),465.16)</f>
        <v>465.16</v>
      </c>
      <c r="C2326" s="1">
        <f ca="1">IFERROR(__xludf.DUMMYFUNCTION("""COMPUTED_VALUE"""),465.33)</f>
        <v>465.33</v>
      </c>
      <c r="D2326" s="1">
        <f ca="1">IFERROR(__xludf.DUMMYFUNCTION("""COMPUTED_VALUE"""),451.02)</f>
        <v>451.02</v>
      </c>
      <c r="E2326" s="1">
        <f ca="1">IFERROR(__xludf.DUMMYFUNCTION("""COMPUTED_VALUE"""),454.13)</f>
        <v>454.13</v>
      </c>
      <c r="F2326" s="1">
        <f ca="1">IFERROR(__xludf.DUMMYFUNCTION("""COMPUTED_VALUE"""),76651210)</f>
        <v>76651210</v>
      </c>
    </row>
    <row r="2327" spans="1:6" x14ac:dyDescent="0.2">
      <c r="A2327" s="2">
        <f ca="1">IFERROR(__xludf.DUMMYFUNCTION("""COMPUTED_VALUE"""),45653.6666666666)</f>
        <v>45653.666666666599</v>
      </c>
      <c r="B2327" s="1">
        <f ca="1">IFERROR(__xludf.DUMMYFUNCTION("""COMPUTED_VALUE"""),449.52)</f>
        <v>449.52</v>
      </c>
      <c r="C2327" s="1">
        <f ca="1">IFERROR(__xludf.DUMMYFUNCTION("""COMPUTED_VALUE"""),450)</f>
        <v>450</v>
      </c>
      <c r="D2327" s="1">
        <f ca="1">IFERROR(__xludf.DUMMYFUNCTION("""COMPUTED_VALUE"""),426.5)</f>
        <v>426.5</v>
      </c>
      <c r="E2327" s="1">
        <f ca="1">IFERROR(__xludf.DUMMYFUNCTION("""COMPUTED_VALUE"""),431.66)</f>
        <v>431.66</v>
      </c>
      <c r="F2327" s="1">
        <f ca="1">IFERROR(__xludf.DUMMYFUNCTION("""COMPUTED_VALUE"""),82666821)</f>
        <v>82666821</v>
      </c>
    </row>
    <row r="2328" spans="1:6" x14ac:dyDescent="0.2">
      <c r="A2328" s="2">
        <f ca="1">IFERROR(__xludf.DUMMYFUNCTION("""COMPUTED_VALUE"""),45656.6666666666)</f>
        <v>45656.666666666599</v>
      </c>
      <c r="B2328" s="1">
        <f ca="1">IFERROR(__xludf.DUMMYFUNCTION("""COMPUTED_VALUE"""),419.4)</f>
        <v>419.4</v>
      </c>
      <c r="C2328" s="1">
        <f ca="1">IFERROR(__xludf.DUMMYFUNCTION("""COMPUTED_VALUE"""),427)</f>
        <v>427</v>
      </c>
      <c r="D2328" s="1">
        <f ca="1">IFERROR(__xludf.DUMMYFUNCTION("""COMPUTED_VALUE"""),415.75)</f>
        <v>415.75</v>
      </c>
      <c r="E2328" s="1">
        <f ca="1">IFERROR(__xludf.DUMMYFUNCTION("""COMPUTED_VALUE"""),417.41)</f>
        <v>417.41</v>
      </c>
      <c r="F2328" s="1">
        <f ca="1">IFERROR(__xludf.DUMMYFUNCTION("""COMPUTED_VALUE"""),64941012)</f>
        <v>64941012</v>
      </c>
    </row>
    <row r="2329" spans="1:6" x14ac:dyDescent="0.2">
      <c r="A2329" s="2">
        <f ca="1">IFERROR(__xludf.DUMMYFUNCTION("""COMPUTED_VALUE"""),45657.6666666666)</f>
        <v>45657.666666666599</v>
      </c>
      <c r="B2329" s="1">
        <f ca="1">IFERROR(__xludf.DUMMYFUNCTION("""COMPUTED_VALUE"""),423.79)</f>
        <v>423.79</v>
      </c>
      <c r="C2329" s="1">
        <f ca="1">IFERROR(__xludf.DUMMYFUNCTION("""COMPUTED_VALUE"""),427.93)</f>
        <v>427.93</v>
      </c>
      <c r="D2329" s="1">
        <f ca="1">IFERROR(__xludf.DUMMYFUNCTION("""COMPUTED_VALUE"""),402.54)</f>
        <v>402.54</v>
      </c>
      <c r="E2329" s="1">
        <f ca="1">IFERROR(__xludf.DUMMYFUNCTION("""COMPUTED_VALUE"""),403.84)</f>
        <v>403.84</v>
      </c>
      <c r="F2329" s="1">
        <f ca="1">IFERROR(__xludf.DUMMYFUNCTION("""COMPUTED_VALUE"""),76825121)</f>
        <v>76825121</v>
      </c>
    </row>
    <row r="2330" spans="1:6" x14ac:dyDescent="0.2">
      <c r="A2330" s="2">
        <f ca="1">IFERROR(__xludf.DUMMYFUNCTION("""COMPUTED_VALUE"""),45659.6666666666)</f>
        <v>45659.666666666599</v>
      </c>
      <c r="B2330" s="1">
        <f ca="1">IFERROR(__xludf.DUMMYFUNCTION("""COMPUTED_VALUE"""),390.1)</f>
        <v>390.1</v>
      </c>
      <c r="C2330" s="1">
        <f ca="1">IFERROR(__xludf.DUMMYFUNCTION("""COMPUTED_VALUE"""),392.73)</f>
        <v>392.73</v>
      </c>
      <c r="D2330" s="1">
        <f ca="1">IFERROR(__xludf.DUMMYFUNCTION("""COMPUTED_VALUE"""),373.04)</f>
        <v>373.04</v>
      </c>
      <c r="E2330" s="1">
        <f ca="1">IFERROR(__xludf.DUMMYFUNCTION("""COMPUTED_VALUE"""),379.28)</f>
        <v>379.28</v>
      </c>
      <c r="F2330" s="1">
        <f ca="1">IFERROR(__xludf.DUMMYFUNCTION("""COMPUTED_VALUE"""),109710749)</f>
        <v>109710749</v>
      </c>
    </row>
    <row r="2331" spans="1:6" x14ac:dyDescent="0.2">
      <c r="A2331" s="2">
        <f ca="1">IFERROR(__xludf.DUMMYFUNCTION("""COMPUTED_VALUE"""),45660.6666666666)</f>
        <v>45660.666666666599</v>
      </c>
      <c r="B2331" s="1">
        <f ca="1">IFERROR(__xludf.DUMMYFUNCTION("""COMPUTED_VALUE"""),381.48)</f>
        <v>381.48</v>
      </c>
      <c r="C2331" s="1">
        <f ca="1">IFERROR(__xludf.DUMMYFUNCTION("""COMPUTED_VALUE"""),411.88)</f>
        <v>411.88</v>
      </c>
      <c r="D2331" s="1">
        <f ca="1">IFERROR(__xludf.DUMMYFUNCTION("""COMPUTED_VALUE"""),379.45)</f>
        <v>379.45</v>
      </c>
      <c r="E2331" s="1">
        <f ca="1">IFERROR(__xludf.DUMMYFUNCTION("""COMPUTED_VALUE"""),410.44)</f>
        <v>410.44</v>
      </c>
      <c r="F2331" s="1">
        <f ca="1">IFERROR(__xludf.DUMMYFUNCTION("""COMPUTED_VALUE"""),95423329)</f>
        <v>95423329</v>
      </c>
    </row>
    <row r="2332" spans="1:6" x14ac:dyDescent="0.2">
      <c r="A2332" s="2">
        <f ca="1">IFERROR(__xludf.DUMMYFUNCTION("""COMPUTED_VALUE"""),45663.6666666666)</f>
        <v>45663.666666666599</v>
      </c>
      <c r="B2332" s="1">
        <f ca="1">IFERROR(__xludf.DUMMYFUNCTION("""COMPUTED_VALUE"""),423.2)</f>
        <v>423.2</v>
      </c>
      <c r="C2332" s="1">
        <f ca="1">IFERROR(__xludf.DUMMYFUNCTION("""COMPUTED_VALUE"""),426.43)</f>
        <v>426.43</v>
      </c>
      <c r="D2332" s="1">
        <f ca="1">IFERROR(__xludf.DUMMYFUNCTION("""COMPUTED_VALUE"""),401.7)</f>
        <v>401.7</v>
      </c>
      <c r="E2332" s="1">
        <f ca="1">IFERROR(__xludf.DUMMYFUNCTION("""COMPUTED_VALUE"""),411.05)</f>
        <v>411.05</v>
      </c>
      <c r="F2332" s="1">
        <f ca="1">IFERROR(__xludf.DUMMYFUNCTION("""COMPUTED_VALUE"""),85516534)</f>
        <v>85516534</v>
      </c>
    </row>
    <row r="2333" spans="1:6" x14ac:dyDescent="0.2">
      <c r="A2333" s="2">
        <f ca="1">IFERROR(__xludf.DUMMYFUNCTION("""COMPUTED_VALUE"""),45664.6666666666)</f>
        <v>45664.666666666599</v>
      </c>
      <c r="B2333" s="1">
        <f ca="1">IFERROR(__xludf.DUMMYFUNCTION("""COMPUTED_VALUE"""),405.83)</f>
        <v>405.83</v>
      </c>
      <c r="C2333" s="1">
        <f ca="1">IFERROR(__xludf.DUMMYFUNCTION("""COMPUTED_VALUE"""),414.33)</f>
        <v>414.33</v>
      </c>
      <c r="D2333" s="1">
        <f ca="1">IFERROR(__xludf.DUMMYFUNCTION("""COMPUTED_VALUE"""),390)</f>
        <v>390</v>
      </c>
      <c r="E2333" s="1">
        <f ca="1">IFERROR(__xludf.DUMMYFUNCTION("""COMPUTED_VALUE"""),394.36)</f>
        <v>394.36</v>
      </c>
      <c r="F2333" s="1">
        <f ca="1">IFERROR(__xludf.DUMMYFUNCTION("""COMPUTED_VALUE"""),75699525)</f>
        <v>75699525</v>
      </c>
    </row>
    <row r="2334" spans="1:6" x14ac:dyDescent="0.2">
      <c r="A2334" s="2">
        <f ca="1">IFERROR(__xludf.DUMMYFUNCTION("""COMPUTED_VALUE"""),45665.6666666666)</f>
        <v>45665.666666666599</v>
      </c>
      <c r="B2334" s="1">
        <f ca="1">IFERROR(__xludf.DUMMYFUNCTION("""COMPUTED_VALUE"""),392.95)</f>
        <v>392.95</v>
      </c>
      <c r="C2334" s="1">
        <f ca="1">IFERROR(__xludf.DUMMYFUNCTION("""COMPUTED_VALUE"""),402.5)</f>
        <v>402.5</v>
      </c>
      <c r="D2334" s="1">
        <f ca="1">IFERROR(__xludf.DUMMYFUNCTION("""COMPUTED_VALUE"""),387.4)</f>
        <v>387.4</v>
      </c>
      <c r="E2334" s="1">
        <f ca="1">IFERROR(__xludf.DUMMYFUNCTION("""COMPUTED_VALUE"""),394.94)</f>
        <v>394.94</v>
      </c>
      <c r="F2334" s="1">
        <f ca="1">IFERROR(__xludf.DUMMYFUNCTION("""COMPUTED_VALUE"""),73038805)</f>
        <v>73038805</v>
      </c>
    </row>
    <row r="2335" spans="1:6" x14ac:dyDescent="0.2">
      <c r="A2335" s="2">
        <f ca="1">IFERROR(__xludf.DUMMYFUNCTION("""COMPUTED_VALUE"""),45667.6666666666)</f>
        <v>45667.666666666599</v>
      </c>
      <c r="B2335" s="1">
        <f ca="1">IFERROR(__xludf.DUMMYFUNCTION("""COMPUTED_VALUE"""),391.4)</f>
        <v>391.4</v>
      </c>
      <c r="C2335" s="1">
        <f ca="1">IFERROR(__xludf.DUMMYFUNCTION("""COMPUTED_VALUE"""),399.28)</f>
        <v>399.28</v>
      </c>
      <c r="D2335" s="1">
        <f ca="1">IFERROR(__xludf.DUMMYFUNCTION("""COMPUTED_VALUE"""),377.29)</f>
        <v>377.29</v>
      </c>
      <c r="E2335" s="1">
        <f ca="1">IFERROR(__xludf.DUMMYFUNCTION("""COMPUTED_VALUE"""),394.74)</f>
        <v>394.74</v>
      </c>
      <c r="F2335" s="1">
        <f ca="1">IFERROR(__xludf.DUMMYFUNCTION("""COMPUTED_VALUE"""),62287333)</f>
        <v>62287333</v>
      </c>
    </row>
    <row r="2336" spans="1:6" x14ac:dyDescent="0.2">
      <c r="A2336" s="2">
        <f ca="1">IFERROR(__xludf.DUMMYFUNCTION("""COMPUTED_VALUE"""),45670.6666666666)</f>
        <v>45670.666666666599</v>
      </c>
      <c r="B2336" s="1">
        <f ca="1">IFERROR(__xludf.DUMMYFUNCTION("""COMPUTED_VALUE"""),383.21)</f>
        <v>383.21</v>
      </c>
      <c r="C2336" s="1">
        <f ca="1">IFERROR(__xludf.DUMMYFUNCTION("""COMPUTED_VALUE"""),403.79)</f>
        <v>403.79</v>
      </c>
      <c r="D2336" s="1">
        <f ca="1">IFERROR(__xludf.DUMMYFUNCTION("""COMPUTED_VALUE"""),380.07)</f>
        <v>380.07</v>
      </c>
      <c r="E2336" s="1">
        <f ca="1">IFERROR(__xludf.DUMMYFUNCTION("""COMPUTED_VALUE"""),403.31)</f>
        <v>403.31</v>
      </c>
      <c r="F2336" s="1">
        <f ca="1">IFERROR(__xludf.DUMMYFUNCTION("""COMPUTED_VALUE"""),67580494)</f>
        <v>67580494</v>
      </c>
    </row>
    <row r="2337" spans="1:6" x14ac:dyDescent="0.2">
      <c r="A2337" s="2">
        <f ca="1">IFERROR(__xludf.DUMMYFUNCTION("""COMPUTED_VALUE"""),45671.6666666666)</f>
        <v>45671.666666666599</v>
      </c>
      <c r="B2337" s="1">
        <f ca="1">IFERROR(__xludf.DUMMYFUNCTION("""COMPUTED_VALUE"""),414.34)</f>
        <v>414.34</v>
      </c>
      <c r="C2337" s="1">
        <f ca="1">IFERROR(__xludf.DUMMYFUNCTION("""COMPUTED_VALUE"""),422.64)</f>
        <v>422.64</v>
      </c>
      <c r="D2337" s="1">
        <f ca="1">IFERROR(__xludf.DUMMYFUNCTION("""COMPUTED_VALUE"""),394.54)</f>
        <v>394.54</v>
      </c>
      <c r="E2337" s="1">
        <f ca="1">IFERROR(__xludf.DUMMYFUNCTION("""COMPUTED_VALUE"""),396.36)</f>
        <v>396.36</v>
      </c>
      <c r="F2337" s="1">
        <f ca="1">IFERROR(__xludf.DUMMYFUNCTION("""COMPUTED_VALUE"""),84565022)</f>
        <v>84565022</v>
      </c>
    </row>
    <row r="2338" spans="1:6" x14ac:dyDescent="0.2">
      <c r="A2338" s="2">
        <f ca="1">IFERROR(__xludf.DUMMYFUNCTION("""COMPUTED_VALUE"""),45672.6666666666)</f>
        <v>45672.666666666599</v>
      </c>
      <c r="B2338" s="1">
        <f ca="1">IFERROR(__xludf.DUMMYFUNCTION("""COMPUTED_VALUE"""),409.9)</f>
        <v>409.9</v>
      </c>
      <c r="C2338" s="1">
        <f ca="1">IFERROR(__xludf.DUMMYFUNCTION("""COMPUTED_VALUE"""),429.8)</f>
        <v>429.8</v>
      </c>
      <c r="D2338" s="1">
        <f ca="1">IFERROR(__xludf.DUMMYFUNCTION("""COMPUTED_VALUE"""),405.66)</f>
        <v>405.66</v>
      </c>
      <c r="E2338" s="1">
        <f ca="1">IFERROR(__xludf.DUMMYFUNCTION("""COMPUTED_VALUE"""),428.22)</f>
        <v>428.22</v>
      </c>
      <c r="F2338" s="1">
        <f ca="1">IFERROR(__xludf.DUMMYFUNCTION("""COMPUTED_VALUE"""),81375460)</f>
        <v>81375460</v>
      </c>
    </row>
    <row r="2339" spans="1:6" x14ac:dyDescent="0.2">
      <c r="A2339" s="2">
        <f ca="1">IFERROR(__xludf.DUMMYFUNCTION("""COMPUTED_VALUE"""),45673.6666666666)</f>
        <v>45673.666666666599</v>
      </c>
      <c r="B2339" s="1">
        <f ca="1">IFERROR(__xludf.DUMMYFUNCTION("""COMPUTED_VALUE"""),423.49)</f>
        <v>423.49</v>
      </c>
      <c r="C2339" s="1">
        <f ca="1">IFERROR(__xludf.DUMMYFUNCTION("""COMPUTED_VALUE"""),424)</f>
        <v>424</v>
      </c>
      <c r="D2339" s="1">
        <f ca="1">IFERROR(__xludf.DUMMYFUNCTION("""COMPUTED_VALUE"""),409.13)</f>
        <v>409.13</v>
      </c>
      <c r="E2339" s="1">
        <f ca="1">IFERROR(__xludf.DUMMYFUNCTION("""COMPUTED_VALUE"""),413.82)</f>
        <v>413.82</v>
      </c>
      <c r="F2339" s="1">
        <f ca="1">IFERROR(__xludf.DUMMYFUNCTION("""COMPUTED_VALUE"""),68335151)</f>
        <v>68335151</v>
      </c>
    </row>
    <row r="2340" spans="1:6" x14ac:dyDescent="0.2">
      <c r="A2340" s="2">
        <f ca="1">IFERROR(__xludf.DUMMYFUNCTION("""COMPUTED_VALUE"""),45674.6666666666)</f>
        <v>45674.666666666599</v>
      </c>
      <c r="B2340" s="1">
        <f ca="1">IFERROR(__xludf.DUMMYFUNCTION("""COMPUTED_VALUE"""),421.5)</f>
        <v>421.5</v>
      </c>
      <c r="C2340" s="1">
        <f ca="1">IFERROR(__xludf.DUMMYFUNCTION("""COMPUTED_VALUE"""),439.74)</f>
        <v>439.74</v>
      </c>
      <c r="D2340" s="1">
        <f ca="1">IFERROR(__xludf.DUMMYFUNCTION("""COMPUTED_VALUE"""),419.75)</f>
        <v>419.75</v>
      </c>
      <c r="E2340" s="1">
        <f ca="1">IFERROR(__xludf.DUMMYFUNCTION("""COMPUTED_VALUE"""),426.5)</f>
        <v>426.5</v>
      </c>
      <c r="F2340" s="1">
        <f ca="1">IFERROR(__xludf.DUMMYFUNCTION("""COMPUTED_VALUE"""),94991429)</f>
        <v>94991429</v>
      </c>
    </row>
    <row r="2341" spans="1:6" x14ac:dyDescent="0.2">
      <c r="A2341" s="2">
        <f ca="1">IFERROR(__xludf.DUMMYFUNCTION("""COMPUTED_VALUE"""),45678.6666666666)</f>
        <v>45678.666666666599</v>
      </c>
      <c r="B2341" s="1">
        <f ca="1">IFERROR(__xludf.DUMMYFUNCTION("""COMPUTED_VALUE"""),432.64)</f>
        <v>432.64</v>
      </c>
      <c r="C2341" s="1">
        <f ca="1">IFERROR(__xludf.DUMMYFUNCTION("""COMPUTED_VALUE"""),433.2)</f>
        <v>433.2</v>
      </c>
      <c r="D2341" s="1">
        <f ca="1">IFERROR(__xludf.DUMMYFUNCTION("""COMPUTED_VALUE"""),406.31)</f>
        <v>406.31</v>
      </c>
      <c r="E2341" s="1">
        <f ca="1">IFERROR(__xludf.DUMMYFUNCTION("""COMPUTED_VALUE"""),424.07)</f>
        <v>424.07</v>
      </c>
      <c r="F2341" s="1">
        <f ca="1">IFERROR(__xludf.DUMMYFUNCTION("""COMPUTED_VALUE"""),87320894)</f>
        <v>87320894</v>
      </c>
    </row>
    <row r="2342" spans="1:6" x14ac:dyDescent="0.2">
      <c r="A2342" s="2">
        <f ca="1">IFERROR(__xludf.DUMMYFUNCTION("""COMPUTED_VALUE"""),45679.6666666666)</f>
        <v>45679.666666666599</v>
      </c>
      <c r="B2342" s="1">
        <f ca="1">IFERROR(__xludf.DUMMYFUNCTION("""COMPUTED_VALUE"""),416.81)</f>
        <v>416.81</v>
      </c>
      <c r="C2342" s="1">
        <f ca="1">IFERROR(__xludf.DUMMYFUNCTION("""COMPUTED_VALUE"""),428)</f>
        <v>428</v>
      </c>
      <c r="D2342" s="1">
        <f ca="1">IFERROR(__xludf.DUMMYFUNCTION("""COMPUTED_VALUE"""),414.59)</f>
        <v>414.59</v>
      </c>
      <c r="E2342" s="1">
        <f ca="1">IFERROR(__xludf.DUMMYFUNCTION("""COMPUTED_VALUE"""),415.11)</f>
        <v>415.11</v>
      </c>
      <c r="F2342" s="1">
        <f ca="1">IFERROR(__xludf.DUMMYFUNCTION("""COMPUTED_VALUE"""),60963342)</f>
        <v>60963342</v>
      </c>
    </row>
    <row r="2343" spans="1:6" x14ac:dyDescent="0.2">
      <c r="A2343" s="2">
        <f ca="1">IFERROR(__xludf.DUMMYFUNCTION("""COMPUTED_VALUE"""),45680.6666666666)</f>
        <v>45680.666666666599</v>
      </c>
      <c r="B2343" s="1">
        <f ca="1">IFERROR(__xludf.DUMMYFUNCTION("""COMPUTED_VALUE"""),416.06)</f>
        <v>416.06</v>
      </c>
      <c r="C2343" s="1">
        <f ca="1">IFERROR(__xludf.DUMMYFUNCTION("""COMPUTED_VALUE"""),420.73)</f>
        <v>420.73</v>
      </c>
      <c r="D2343" s="1">
        <f ca="1">IFERROR(__xludf.DUMMYFUNCTION("""COMPUTED_VALUE"""),408.95)</f>
        <v>408.95</v>
      </c>
      <c r="E2343" s="1">
        <f ca="1">IFERROR(__xludf.DUMMYFUNCTION("""COMPUTED_VALUE"""),412.38)</f>
        <v>412.38</v>
      </c>
      <c r="F2343" s="1">
        <f ca="1">IFERROR(__xludf.DUMMYFUNCTION("""COMPUTED_VALUE"""),50690592)</f>
        <v>50690592</v>
      </c>
    </row>
    <row r="2344" spans="1:6" x14ac:dyDescent="0.2">
      <c r="A2344" s="2">
        <f ca="1">IFERROR(__xludf.DUMMYFUNCTION("""COMPUTED_VALUE"""),45681.6666666666)</f>
        <v>45681.666666666599</v>
      </c>
      <c r="B2344" s="1">
        <f ca="1">IFERROR(__xludf.DUMMYFUNCTION("""COMPUTED_VALUE"""),414.45)</f>
        <v>414.45</v>
      </c>
      <c r="C2344" s="1">
        <f ca="1">IFERROR(__xludf.DUMMYFUNCTION("""COMPUTED_VALUE"""),418.88)</f>
        <v>418.88</v>
      </c>
      <c r="D2344" s="1">
        <f ca="1">IFERROR(__xludf.DUMMYFUNCTION("""COMPUTED_VALUE"""),405.78)</f>
        <v>405.78</v>
      </c>
      <c r="E2344" s="1">
        <f ca="1">IFERROR(__xludf.DUMMYFUNCTION("""COMPUTED_VALUE"""),406.58)</f>
        <v>406.58</v>
      </c>
      <c r="F2344" s="1">
        <f ca="1">IFERROR(__xludf.DUMMYFUNCTION("""COMPUTED_VALUE"""),56427149)</f>
        <v>56427149</v>
      </c>
    </row>
    <row r="2345" spans="1:6" x14ac:dyDescent="0.2">
      <c r="A2345" s="2">
        <f ca="1">IFERROR(__xludf.DUMMYFUNCTION("""COMPUTED_VALUE"""),45684.6666666666)</f>
        <v>45684.666666666599</v>
      </c>
      <c r="B2345" s="1">
        <f ca="1">IFERROR(__xludf.DUMMYFUNCTION("""COMPUTED_VALUE"""),394.8)</f>
        <v>394.8</v>
      </c>
      <c r="C2345" s="1">
        <f ca="1">IFERROR(__xludf.DUMMYFUNCTION("""COMPUTED_VALUE"""),406.69)</f>
        <v>406.69</v>
      </c>
      <c r="D2345" s="1">
        <f ca="1">IFERROR(__xludf.DUMMYFUNCTION("""COMPUTED_VALUE"""),389)</f>
        <v>389</v>
      </c>
      <c r="E2345" s="1">
        <f ca="1">IFERROR(__xludf.DUMMYFUNCTION("""COMPUTED_VALUE"""),397.15)</f>
        <v>397.15</v>
      </c>
      <c r="F2345" s="1">
        <f ca="1">IFERROR(__xludf.DUMMYFUNCTION("""COMPUTED_VALUE"""),58125510)</f>
        <v>58125510</v>
      </c>
    </row>
    <row r="2346" spans="1:6" x14ac:dyDescent="0.2">
      <c r="A2346" s="2">
        <f ca="1">IFERROR(__xludf.DUMMYFUNCTION("""COMPUTED_VALUE"""),45685.6666666666)</f>
        <v>45685.666666666599</v>
      </c>
      <c r="B2346" s="1">
        <f ca="1">IFERROR(__xludf.DUMMYFUNCTION("""COMPUTED_VALUE"""),396.91)</f>
        <v>396.91</v>
      </c>
      <c r="C2346" s="1">
        <f ca="1">IFERROR(__xludf.DUMMYFUNCTION("""COMPUTED_VALUE"""),400.59)</f>
        <v>400.59</v>
      </c>
      <c r="D2346" s="1">
        <f ca="1">IFERROR(__xludf.DUMMYFUNCTION("""COMPUTED_VALUE"""),386.5)</f>
        <v>386.5</v>
      </c>
      <c r="E2346" s="1">
        <f ca="1">IFERROR(__xludf.DUMMYFUNCTION("""COMPUTED_VALUE"""),398.09)</f>
        <v>398.09</v>
      </c>
      <c r="F2346" s="1">
        <f ca="1">IFERROR(__xludf.DUMMYFUNCTION("""COMPUTED_VALUE"""),48910676)</f>
        <v>48910676</v>
      </c>
    </row>
    <row r="2347" spans="1:6" x14ac:dyDescent="0.2">
      <c r="A2347" s="2">
        <f ca="1">IFERROR(__xludf.DUMMYFUNCTION("""COMPUTED_VALUE"""),45686.6666666666)</f>
        <v>45686.666666666599</v>
      </c>
      <c r="B2347" s="1">
        <f ca="1">IFERROR(__xludf.DUMMYFUNCTION("""COMPUTED_VALUE"""),395.21)</f>
        <v>395.21</v>
      </c>
      <c r="C2347" s="1">
        <f ca="1">IFERROR(__xludf.DUMMYFUNCTION("""COMPUTED_VALUE"""),398.59)</f>
        <v>398.59</v>
      </c>
      <c r="D2347" s="1">
        <f ca="1">IFERROR(__xludf.DUMMYFUNCTION("""COMPUTED_VALUE"""),384.48)</f>
        <v>384.48</v>
      </c>
      <c r="E2347" s="1">
        <f ca="1">IFERROR(__xludf.DUMMYFUNCTION("""COMPUTED_VALUE"""),389.1)</f>
        <v>389.1</v>
      </c>
      <c r="F2347" s="1">
        <f ca="1">IFERROR(__xludf.DUMMYFUNCTION("""COMPUTED_VALUE"""),68033648)</f>
        <v>68033648</v>
      </c>
    </row>
    <row r="2348" spans="1:6" x14ac:dyDescent="0.2">
      <c r="A2348" s="2">
        <f ca="1">IFERROR(__xludf.DUMMYFUNCTION("""COMPUTED_VALUE"""),45687.6666666666)</f>
        <v>45687.666666666599</v>
      </c>
      <c r="B2348" s="1">
        <f ca="1">IFERROR(__xludf.DUMMYFUNCTION("""COMPUTED_VALUE"""),410.78)</f>
        <v>410.78</v>
      </c>
      <c r="C2348" s="1">
        <f ca="1">IFERROR(__xludf.DUMMYFUNCTION("""COMPUTED_VALUE"""),412.5)</f>
        <v>412.5</v>
      </c>
      <c r="D2348" s="1">
        <f ca="1">IFERROR(__xludf.DUMMYFUNCTION("""COMPUTED_VALUE"""),384.41)</f>
        <v>384.41</v>
      </c>
      <c r="E2348" s="1">
        <f ca="1">IFERROR(__xludf.DUMMYFUNCTION("""COMPUTED_VALUE"""),400.28)</f>
        <v>400.28</v>
      </c>
      <c r="F2348" s="1">
        <f ca="1">IFERROR(__xludf.DUMMYFUNCTION("""COMPUTED_VALUE"""),98092879)</f>
        <v>98092879</v>
      </c>
    </row>
    <row r="2349" spans="1:6" x14ac:dyDescent="0.2">
      <c r="A2349" s="2">
        <f ca="1">IFERROR(__xludf.DUMMYFUNCTION("""COMPUTED_VALUE"""),45688.6666666666)</f>
        <v>45688.666666666599</v>
      </c>
      <c r="B2349" s="1">
        <f ca="1">IFERROR(__xludf.DUMMYFUNCTION("""COMPUTED_VALUE"""),401.53)</f>
        <v>401.53</v>
      </c>
      <c r="C2349" s="1">
        <f ca="1">IFERROR(__xludf.DUMMYFUNCTION("""COMPUTED_VALUE"""),419.99)</f>
        <v>419.99</v>
      </c>
      <c r="D2349" s="1">
        <f ca="1">IFERROR(__xludf.DUMMYFUNCTION("""COMPUTED_VALUE"""),401.34)</f>
        <v>401.34</v>
      </c>
      <c r="E2349" s="1">
        <f ca="1">IFERROR(__xludf.DUMMYFUNCTION("""COMPUTED_VALUE"""),404.6)</f>
        <v>404.6</v>
      </c>
      <c r="F2349" s="1">
        <f ca="1">IFERROR(__xludf.DUMMYFUNCTION("""COMPUTED_VALUE"""),83568219)</f>
        <v>83568219</v>
      </c>
    </row>
    <row r="2350" spans="1:6" x14ac:dyDescent="0.2">
      <c r="A2350" s="2">
        <f ca="1">IFERROR(__xludf.DUMMYFUNCTION("""COMPUTED_VALUE"""),45691.6666666666)</f>
        <v>45691.666666666599</v>
      </c>
      <c r="B2350" s="1">
        <f ca="1">IFERROR(__xludf.DUMMYFUNCTION("""COMPUTED_VALUE"""),386.68)</f>
        <v>386.68</v>
      </c>
      <c r="C2350" s="1">
        <f ca="1">IFERROR(__xludf.DUMMYFUNCTION("""COMPUTED_VALUE"""),389.17)</f>
        <v>389.17</v>
      </c>
      <c r="D2350" s="1">
        <f ca="1">IFERROR(__xludf.DUMMYFUNCTION("""COMPUTED_VALUE"""),374.36)</f>
        <v>374.36</v>
      </c>
      <c r="E2350" s="1">
        <f ca="1">IFERROR(__xludf.DUMMYFUNCTION("""COMPUTED_VALUE"""),383.68)</f>
        <v>383.68</v>
      </c>
      <c r="F2350" s="1">
        <f ca="1">IFERROR(__xludf.DUMMYFUNCTION("""COMPUTED_VALUE"""),93732122)</f>
        <v>93732122</v>
      </c>
    </row>
    <row r="2351" spans="1:6" x14ac:dyDescent="0.2">
      <c r="A2351" s="2">
        <f ca="1">IFERROR(__xludf.DUMMYFUNCTION("""COMPUTED_VALUE"""),45692.6666666666)</f>
        <v>45692.666666666599</v>
      </c>
      <c r="B2351" s="1">
        <f ca="1">IFERROR(__xludf.DUMMYFUNCTION("""COMPUTED_VALUE"""),382.63)</f>
        <v>382.63</v>
      </c>
      <c r="C2351" s="1">
        <f ca="1">IFERROR(__xludf.DUMMYFUNCTION("""COMPUTED_VALUE"""),394)</f>
        <v>394</v>
      </c>
      <c r="D2351" s="1">
        <f ca="1">IFERROR(__xludf.DUMMYFUNCTION("""COMPUTED_VALUE"""),381.4)</f>
        <v>381.4</v>
      </c>
      <c r="E2351" s="1">
        <f ca="1">IFERROR(__xludf.DUMMYFUNCTION("""COMPUTED_VALUE"""),392.21)</f>
        <v>392.21</v>
      </c>
      <c r="F2351" s="1">
        <f ca="1">IFERROR(__xludf.DUMMYFUNCTION("""COMPUTED_VALUE"""),57072235)</f>
        <v>57072235</v>
      </c>
    </row>
    <row r="2352" spans="1:6" x14ac:dyDescent="0.2">
      <c r="A2352" s="2">
        <f ca="1">IFERROR(__xludf.DUMMYFUNCTION("""COMPUTED_VALUE"""),45693.6666666666)</f>
        <v>45693.666666666599</v>
      </c>
      <c r="B2352" s="1">
        <f ca="1">IFERROR(__xludf.DUMMYFUNCTION("""COMPUTED_VALUE"""),387.51)</f>
        <v>387.51</v>
      </c>
      <c r="C2352" s="1">
        <f ca="1">IFERROR(__xludf.DUMMYFUNCTION("""COMPUTED_VALUE"""),388.39)</f>
        <v>388.39</v>
      </c>
      <c r="D2352" s="1">
        <f ca="1">IFERROR(__xludf.DUMMYFUNCTION("""COMPUTED_VALUE"""),375.53)</f>
        <v>375.53</v>
      </c>
      <c r="E2352" s="1">
        <f ca="1">IFERROR(__xludf.DUMMYFUNCTION("""COMPUTED_VALUE"""),378.17)</f>
        <v>378.17</v>
      </c>
      <c r="F2352" s="1">
        <f ca="1">IFERROR(__xludf.DUMMYFUNCTION("""COMPUTED_VALUE"""),57614721)</f>
        <v>57614721</v>
      </c>
    </row>
    <row r="2353" spans="1:6" x14ac:dyDescent="0.2">
      <c r="A2353" s="2">
        <f ca="1">IFERROR(__xludf.DUMMYFUNCTION("""COMPUTED_VALUE"""),45694.6666666666)</f>
        <v>45694.666666666599</v>
      </c>
      <c r="B2353" s="1">
        <f ca="1">IFERROR(__xludf.DUMMYFUNCTION("""COMPUTED_VALUE"""),373.03)</f>
        <v>373.03</v>
      </c>
      <c r="C2353" s="1">
        <f ca="1">IFERROR(__xludf.DUMMYFUNCTION("""COMPUTED_VALUE"""),375.4)</f>
        <v>375.4</v>
      </c>
      <c r="D2353" s="1">
        <f ca="1">IFERROR(__xludf.DUMMYFUNCTION("""COMPUTED_VALUE"""),363.18)</f>
        <v>363.18</v>
      </c>
      <c r="E2353" s="1">
        <f ca="1">IFERROR(__xludf.DUMMYFUNCTION("""COMPUTED_VALUE"""),374.32)</f>
        <v>374.32</v>
      </c>
      <c r="F2353" s="1">
        <f ca="1">IFERROR(__xludf.DUMMYFUNCTION("""COMPUTED_VALUE"""),77918230)</f>
        <v>77918230</v>
      </c>
    </row>
    <row r="2354" spans="1:6" x14ac:dyDescent="0.2">
      <c r="A2354" s="2">
        <f ca="1">IFERROR(__xludf.DUMMYFUNCTION("""COMPUTED_VALUE"""),45695.6666666666)</f>
        <v>45695.666666666599</v>
      </c>
      <c r="B2354" s="1">
        <f ca="1">IFERROR(__xludf.DUMMYFUNCTION("""COMPUTED_VALUE"""),370.19)</f>
        <v>370.19</v>
      </c>
      <c r="C2354" s="1">
        <f ca="1">IFERROR(__xludf.DUMMYFUNCTION("""COMPUTED_VALUE"""),380.55)</f>
        <v>380.55</v>
      </c>
      <c r="D2354" s="1">
        <f ca="1">IFERROR(__xludf.DUMMYFUNCTION("""COMPUTED_VALUE"""),360.34)</f>
        <v>360.34</v>
      </c>
      <c r="E2354" s="1">
        <f ca="1">IFERROR(__xludf.DUMMYFUNCTION("""COMPUTED_VALUE"""),361.62)</f>
        <v>361.62</v>
      </c>
      <c r="F2354" s="1">
        <f ca="1">IFERROR(__xludf.DUMMYFUNCTION("""COMPUTED_VALUE"""),70298258)</f>
        <v>70298258</v>
      </c>
    </row>
    <row r="2355" spans="1:6" x14ac:dyDescent="0.2">
      <c r="A2355" s="2">
        <f ca="1">IFERROR(__xludf.DUMMYFUNCTION("""COMPUTED_VALUE"""),45698.6666666666)</f>
        <v>45698.666666666599</v>
      </c>
      <c r="B2355" s="1">
        <f ca="1">IFERROR(__xludf.DUMMYFUNCTION("""COMPUTED_VALUE"""),356.21)</f>
        <v>356.21</v>
      </c>
      <c r="C2355" s="1">
        <f ca="1">IFERROR(__xludf.DUMMYFUNCTION("""COMPUTED_VALUE"""),362.7)</f>
        <v>362.7</v>
      </c>
      <c r="D2355" s="1">
        <f ca="1">IFERROR(__xludf.DUMMYFUNCTION("""COMPUTED_VALUE"""),350.51)</f>
        <v>350.51</v>
      </c>
      <c r="E2355" s="1">
        <f ca="1">IFERROR(__xludf.DUMMYFUNCTION("""COMPUTED_VALUE"""),350.73)</f>
        <v>350.73</v>
      </c>
      <c r="F2355" s="1">
        <f ca="1">IFERROR(__xludf.DUMMYFUNCTION("""COMPUTED_VALUE"""),77514903)</f>
        <v>77514903</v>
      </c>
    </row>
    <row r="2356" spans="1:6" x14ac:dyDescent="0.2">
      <c r="A2356" s="2">
        <f ca="1">IFERROR(__xludf.DUMMYFUNCTION("""COMPUTED_VALUE"""),45699.6666666666)</f>
        <v>45699.666666666599</v>
      </c>
      <c r="B2356" s="1">
        <f ca="1">IFERROR(__xludf.DUMMYFUNCTION("""COMPUTED_VALUE"""),345.8)</f>
        <v>345.8</v>
      </c>
      <c r="C2356" s="1">
        <f ca="1">IFERROR(__xludf.DUMMYFUNCTION("""COMPUTED_VALUE"""),349.37)</f>
        <v>349.37</v>
      </c>
      <c r="D2356" s="1">
        <f ca="1">IFERROR(__xludf.DUMMYFUNCTION("""COMPUTED_VALUE"""),325.1)</f>
        <v>325.10000000000002</v>
      </c>
      <c r="E2356" s="1">
        <f ca="1">IFERROR(__xludf.DUMMYFUNCTION("""COMPUTED_VALUE"""),328.5)</f>
        <v>328.5</v>
      </c>
      <c r="F2356" s="1">
        <f ca="1">IFERROR(__xludf.DUMMYFUNCTION("""COMPUTED_VALUE"""),118543400)</f>
        <v>118543400</v>
      </c>
    </row>
    <row r="2357" spans="1:6" x14ac:dyDescent="0.2">
      <c r="A2357" s="2">
        <f ca="1">IFERROR(__xludf.DUMMYFUNCTION("""COMPUTED_VALUE"""),45700.6666666666)</f>
        <v>45700.666666666599</v>
      </c>
      <c r="B2357" s="1">
        <f ca="1">IFERROR(__xludf.DUMMYFUNCTION("""COMPUTED_VALUE"""),329.94)</f>
        <v>329.94</v>
      </c>
      <c r="C2357" s="1">
        <f ca="1">IFERROR(__xludf.DUMMYFUNCTION("""COMPUTED_VALUE"""),346.4)</f>
        <v>346.4</v>
      </c>
      <c r="D2357" s="1">
        <f ca="1">IFERROR(__xludf.DUMMYFUNCTION("""COMPUTED_VALUE"""),329.12)</f>
        <v>329.12</v>
      </c>
      <c r="E2357" s="1">
        <f ca="1">IFERROR(__xludf.DUMMYFUNCTION("""COMPUTED_VALUE"""),336.51)</f>
        <v>336.51</v>
      </c>
      <c r="F2357" s="1">
        <f ca="1">IFERROR(__xludf.DUMMYFUNCTION("""COMPUTED_VALUE"""),105382729)</f>
        <v>105382729</v>
      </c>
    </row>
    <row r="2358" spans="1:6" x14ac:dyDescent="0.2">
      <c r="A2358" s="2">
        <f ca="1">IFERROR(__xludf.DUMMYFUNCTION("""COMPUTED_VALUE"""),45701.6666666666)</f>
        <v>45701.666666666599</v>
      </c>
      <c r="B2358" s="1">
        <f ca="1">IFERROR(__xludf.DUMMYFUNCTION("""COMPUTED_VALUE"""),345)</f>
        <v>345</v>
      </c>
      <c r="C2358" s="1">
        <f ca="1">IFERROR(__xludf.DUMMYFUNCTION("""COMPUTED_VALUE"""),358.69)</f>
        <v>358.69</v>
      </c>
      <c r="D2358" s="1">
        <f ca="1">IFERROR(__xludf.DUMMYFUNCTION("""COMPUTED_VALUE"""),342.85)</f>
        <v>342.85</v>
      </c>
      <c r="E2358" s="1">
        <f ca="1">IFERROR(__xludf.DUMMYFUNCTION("""COMPUTED_VALUE"""),355.94)</f>
        <v>355.94</v>
      </c>
      <c r="F2358" s="1">
        <f ca="1">IFERROR(__xludf.DUMMYFUNCTION("""COMPUTED_VALUE"""),89441519)</f>
        <v>89441519</v>
      </c>
    </row>
    <row r="2359" spans="1:6" x14ac:dyDescent="0.2">
      <c r="A2359" s="2">
        <f ca="1">IFERROR(__xludf.DUMMYFUNCTION("""COMPUTED_VALUE"""),45702.6666666666)</f>
        <v>45702.666666666599</v>
      </c>
      <c r="B2359" s="1">
        <f ca="1">IFERROR(__xludf.DUMMYFUNCTION("""COMPUTED_VALUE"""),360.62)</f>
        <v>360.62</v>
      </c>
      <c r="C2359" s="1">
        <f ca="1">IFERROR(__xludf.DUMMYFUNCTION("""COMPUTED_VALUE"""),362)</f>
        <v>362</v>
      </c>
      <c r="D2359" s="1">
        <f ca="1">IFERROR(__xludf.DUMMYFUNCTION("""COMPUTED_VALUE"""),347.5)</f>
        <v>347.5</v>
      </c>
      <c r="E2359" s="1">
        <f ca="1">IFERROR(__xludf.DUMMYFUNCTION("""COMPUTED_VALUE"""),355.84)</f>
        <v>355.84</v>
      </c>
      <c r="F2359" s="1">
        <f ca="1">IFERROR(__xludf.DUMMYFUNCTION("""COMPUTED_VALUE"""),68277279)</f>
        <v>68277279</v>
      </c>
    </row>
    <row r="2360" spans="1:6" x14ac:dyDescent="0.2">
      <c r="A2360" s="2">
        <f ca="1">IFERROR(__xludf.DUMMYFUNCTION("""COMPUTED_VALUE"""),45706.6666666666)</f>
        <v>45706.666666666599</v>
      </c>
      <c r="B2360" s="1">
        <f ca="1">IFERROR(__xludf.DUMMYFUNCTION("""COMPUTED_VALUE"""),355.01)</f>
        <v>355.01</v>
      </c>
      <c r="C2360" s="1">
        <f ca="1">IFERROR(__xludf.DUMMYFUNCTION("""COMPUTED_VALUE"""),359.1)</f>
        <v>359.1</v>
      </c>
      <c r="D2360" s="1">
        <f ca="1">IFERROR(__xludf.DUMMYFUNCTION("""COMPUTED_VALUE"""),350.02)</f>
        <v>350.02</v>
      </c>
      <c r="E2360" s="1">
        <f ca="1">IFERROR(__xludf.DUMMYFUNCTION("""COMPUTED_VALUE"""),354.11)</f>
        <v>354.11</v>
      </c>
      <c r="F2360" s="1">
        <f ca="1">IFERROR(__xludf.DUMMYFUNCTION("""COMPUTED_VALUE"""),51631702)</f>
        <v>51631702</v>
      </c>
    </row>
    <row r="2361" spans="1:6" x14ac:dyDescent="0.2">
      <c r="A2361" s="2">
        <f ca="1">IFERROR(__xludf.DUMMYFUNCTION("""COMPUTED_VALUE"""),45707.6666666666)</f>
        <v>45707.666666666599</v>
      </c>
      <c r="B2361" s="1">
        <f ca="1">IFERROR(__xludf.DUMMYFUNCTION("""COMPUTED_VALUE"""),354)</f>
        <v>354</v>
      </c>
      <c r="C2361" s="1">
        <f ca="1">IFERROR(__xludf.DUMMYFUNCTION("""COMPUTED_VALUE"""),367.34)</f>
        <v>367.34</v>
      </c>
      <c r="D2361" s="1">
        <f ca="1">IFERROR(__xludf.DUMMYFUNCTION("""COMPUTED_VALUE"""),353.67)</f>
        <v>353.67</v>
      </c>
      <c r="E2361" s="1">
        <f ca="1">IFERROR(__xludf.DUMMYFUNCTION("""COMPUTED_VALUE"""),360.56)</f>
        <v>360.56</v>
      </c>
      <c r="F2361" s="1">
        <f ca="1">IFERROR(__xludf.DUMMYFUNCTION("""COMPUTED_VALUE"""),67094374)</f>
        <v>67094374</v>
      </c>
    </row>
    <row r="2362" spans="1:6" x14ac:dyDescent="0.2">
      <c r="A2362" s="2">
        <f ca="1">IFERROR(__xludf.DUMMYFUNCTION("""COMPUTED_VALUE"""),45708.6666666666)</f>
        <v>45708.666666666599</v>
      </c>
      <c r="B2362" s="1">
        <f ca="1">IFERROR(__xludf.DUMMYFUNCTION("""COMPUTED_VALUE"""),361.51)</f>
        <v>361.51</v>
      </c>
      <c r="C2362" s="1">
        <f ca="1">IFERROR(__xludf.DUMMYFUNCTION("""COMPUTED_VALUE"""),362.3)</f>
        <v>362.3</v>
      </c>
      <c r="D2362" s="1">
        <f ca="1">IFERROR(__xludf.DUMMYFUNCTION("""COMPUTED_VALUE"""),348)</f>
        <v>348</v>
      </c>
      <c r="E2362" s="1">
        <f ca="1">IFERROR(__xludf.DUMMYFUNCTION("""COMPUTED_VALUE"""),354.4)</f>
        <v>354.4</v>
      </c>
      <c r="F2362" s="1">
        <f ca="1">IFERROR(__xludf.DUMMYFUNCTION("""COMPUTED_VALUE"""),45965354)</f>
        <v>45965354</v>
      </c>
    </row>
    <row r="2363" spans="1:6" x14ac:dyDescent="0.2">
      <c r="A2363" s="2">
        <f ca="1">IFERROR(__xludf.DUMMYFUNCTION("""COMPUTED_VALUE"""),45709.6666666666)</f>
        <v>45709.666666666599</v>
      </c>
      <c r="B2363" s="1">
        <f ca="1">IFERROR(__xludf.DUMMYFUNCTION("""COMPUTED_VALUE"""),353.44)</f>
        <v>353.44</v>
      </c>
      <c r="C2363" s="1">
        <f ca="1">IFERROR(__xludf.DUMMYFUNCTION("""COMPUTED_VALUE"""),354.98)</f>
        <v>354.98</v>
      </c>
      <c r="D2363" s="1">
        <f ca="1">IFERROR(__xludf.DUMMYFUNCTION("""COMPUTED_VALUE"""),334.42)</f>
        <v>334.42</v>
      </c>
      <c r="E2363" s="1">
        <f ca="1">IFERROR(__xludf.DUMMYFUNCTION("""COMPUTED_VALUE"""),337.8)</f>
        <v>337.8</v>
      </c>
      <c r="F2363" s="1">
        <f ca="1">IFERROR(__xludf.DUMMYFUNCTION("""COMPUTED_VALUE"""),74058648)</f>
        <v>74058648</v>
      </c>
    </row>
    <row r="2364" spans="1:6" x14ac:dyDescent="0.2">
      <c r="A2364" s="2">
        <f ca="1">IFERROR(__xludf.DUMMYFUNCTION("""COMPUTED_VALUE"""),45712.6666666666)</f>
        <v>45712.666666666599</v>
      </c>
      <c r="B2364" s="1">
        <f ca="1">IFERROR(__xludf.DUMMYFUNCTION("""COMPUTED_VALUE"""),338.14)</f>
        <v>338.14</v>
      </c>
      <c r="C2364" s="1">
        <f ca="1">IFERROR(__xludf.DUMMYFUNCTION("""COMPUTED_VALUE"""),342.4)</f>
        <v>342.4</v>
      </c>
      <c r="D2364" s="1">
        <f ca="1">IFERROR(__xludf.DUMMYFUNCTION("""COMPUTED_VALUE"""),324.7)</f>
        <v>324.7</v>
      </c>
      <c r="E2364" s="1">
        <f ca="1">IFERROR(__xludf.DUMMYFUNCTION("""COMPUTED_VALUE"""),330.53)</f>
        <v>330.53</v>
      </c>
      <c r="F2364" s="1">
        <f ca="1">IFERROR(__xludf.DUMMYFUNCTION("""COMPUTED_VALUE"""),76052321)</f>
        <v>76052321</v>
      </c>
    </row>
    <row r="2365" spans="1:6" x14ac:dyDescent="0.2">
      <c r="A2365" s="2">
        <f ca="1">IFERROR(__xludf.DUMMYFUNCTION("""COMPUTED_VALUE"""),45713.6666666666)</f>
        <v>45713.666666666599</v>
      </c>
      <c r="B2365" s="1">
        <f ca="1">IFERROR(__xludf.DUMMYFUNCTION("""COMPUTED_VALUE"""),327.02)</f>
        <v>327.02</v>
      </c>
      <c r="C2365" s="1">
        <f ca="1">IFERROR(__xludf.DUMMYFUNCTION("""COMPUTED_VALUE"""),328.89)</f>
        <v>328.89</v>
      </c>
      <c r="D2365" s="1">
        <f ca="1">IFERROR(__xludf.DUMMYFUNCTION("""COMPUTED_VALUE"""),297.25)</f>
        <v>297.25</v>
      </c>
      <c r="E2365" s="1">
        <f ca="1">IFERROR(__xludf.DUMMYFUNCTION("""COMPUTED_VALUE"""),302.8)</f>
        <v>302.8</v>
      </c>
      <c r="F2365" s="1">
        <f ca="1">IFERROR(__xludf.DUMMYFUNCTION("""COMPUTED_VALUE"""),134228777)</f>
        <v>134228777</v>
      </c>
    </row>
    <row r="2366" spans="1:6" x14ac:dyDescent="0.2">
      <c r="A2366" s="2">
        <f ca="1">IFERROR(__xludf.DUMMYFUNCTION("""COMPUTED_VALUE"""),45714.6666666666)</f>
        <v>45714.666666666599</v>
      </c>
      <c r="B2366" s="1">
        <f ca="1">IFERROR(__xludf.DUMMYFUNCTION("""COMPUTED_VALUE"""),303.71)</f>
        <v>303.70999999999998</v>
      </c>
      <c r="C2366" s="1">
        <f ca="1">IFERROR(__xludf.DUMMYFUNCTION("""COMPUTED_VALUE"""),309)</f>
        <v>309</v>
      </c>
      <c r="D2366" s="1">
        <f ca="1">IFERROR(__xludf.DUMMYFUNCTION("""COMPUTED_VALUE"""),288.04)</f>
        <v>288.04000000000002</v>
      </c>
      <c r="E2366" s="1">
        <f ca="1">IFERROR(__xludf.DUMMYFUNCTION("""COMPUTED_VALUE"""),290.8)</f>
        <v>290.8</v>
      </c>
      <c r="F2366" s="1">
        <f ca="1">IFERROR(__xludf.DUMMYFUNCTION("""COMPUTED_VALUE"""),100118276)</f>
        <v>100118276</v>
      </c>
    </row>
    <row r="2367" spans="1:6" x14ac:dyDescent="0.2">
      <c r="A2367" s="2">
        <f ca="1">IFERROR(__xludf.DUMMYFUNCTION("""COMPUTED_VALUE"""),45715.6666666666)</f>
        <v>45715.666666666599</v>
      </c>
      <c r="B2367" s="1">
        <f ca="1">IFERROR(__xludf.DUMMYFUNCTION("""COMPUTED_VALUE"""),291.16)</f>
        <v>291.16000000000003</v>
      </c>
      <c r="C2367" s="1">
        <f ca="1">IFERROR(__xludf.DUMMYFUNCTION("""COMPUTED_VALUE"""),297.23)</f>
        <v>297.23</v>
      </c>
      <c r="D2367" s="1">
        <f ca="1">IFERROR(__xludf.DUMMYFUNCTION("""COMPUTED_VALUE"""),280.88)</f>
        <v>280.88</v>
      </c>
      <c r="E2367" s="1">
        <f ca="1">IFERROR(__xludf.DUMMYFUNCTION("""COMPUTED_VALUE"""),281.95)</f>
        <v>281.95</v>
      </c>
      <c r="F2367" s="1">
        <f ca="1">IFERROR(__xludf.DUMMYFUNCTION("""COMPUTED_VALUE"""),101748197)</f>
        <v>101748197</v>
      </c>
    </row>
    <row r="2368" spans="1:6" x14ac:dyDescent="0.2">
      <c r="A2368" s="2">
        <f ca="1">IFERROR(__xludf.DUMMYFUNCTION("""COMPUTED_VALUE"""),45716.6666666666)</f>
        <v>45716.666666666599</v>
      </c>
      <c r="B2368" s="1">
        <f ca="1">IFERROR(__xludf.DUMMYFUNCTION("""COMPUTED_VALUE"""),279.5)</f>
        <v>279.5</v>
      </c>
      <c r="C2368" s="1">
        <f ca="1">IFERROR(__xludf.DUMMYFUNCTION("""COMPUTED_VALUE"""),293.88)</f>
        <v>293.88</v>
      </c>
      <c r="D2368" s="1">
        <f ca="1">IFERROR(__xludf.DUMMYFUNCTION("""COMPUTED_VALUE"""),273.6)</f>
        <v>273.60000000000002</v>
      </c>
      <c r="E2368" s="1">
        <f ca="1">IFERROR(__xludf.DUMMYFUNCTION("""COMPUTED_VALUE"""),292.98)</f>
        <v>292.98</v>
      </c>
      <c r="F2368" s="1">
        <f ca="1">IFERROR(__xludf.DUMMYFUNCTION("""COMPUTED_VALUE"""),115696968)</f>
        <v>115696968</v>
      </c>
    </row>
    <row r="2369" spans="1:6" x14ac:dyDescent="0.2">
      <c r="A2369" s="2">
        <f ca="1">IFERROR(__xludf.DUMMYFUNCTION("""COMPUTED_VALUE"""),45719.6666666666)</f>
        <v>45719.666666666599</v>
      </c>
      <c r="B2369" s="1">
        <f ca="1">IFERROR(__xludf.DUMMYFUNCTION("""COMPUTED_VALUE"""),300.34)</f>
        <v>300.33999999999997</v>
      </c>
      <c r="C2369" s="1">
        <f ca="1">IFERROR(__xludf.DUMMYFUNCTION("""COMPUTED_VALUE"""),303.94)</f>
        <v>303.94</v>
      </c>
      <c r="D2369" s="1">
        <f ca="1">IFERROR(__xludf.DUMMYFUNCTION("""COMPUTED_VALUE"""),277.3)</f>
        <v>277.3</v>
      </c>
      <c r="E2369" s="1">
        <f ca="1">IFERROR(__xludf.DUMMYFUNCTION("""COMPUTED_VALUE"""),284.65)</f>
        <v>284.64999999999998</v>
      </c>
      <c r="F2369" s="1">
        <f ca="1">IFERROR(__xludf.DUMMYFUNCTION("""COMPUTED_VALUE"""),115551414)</f>
        <v>115551414</v>
      </c>
    </row>
    <row r="2370" spans="1:6" x14ac:dyDescent="0.2">
      <c r="A2370" s="2">
        <f ca="1">IFERROR(__xludf.DUMMYFUNCTION("""COMPUTED_VALUE"""),45720.6666666666)</f>
        <v>45720.666666666599</v>
      </c>
      <c r="B2370" s="1">
        <f ca="1">IFERROR(__xludf.DUMMYFUNCTION("""COMPUTED_VALUE"""),270.93)</f>
        <v>270.93</v>
      </c>
      <c r="C2370" s="1">
        <f ca="1">IFERROR(__xludf.DUMMYFUNCTION("""COMPUTED_VALUE"""),284.35)</f>
        <v>284.35000000000002</v>
      </c>
      <c r="D2370" s="1">
        <f ca="1">IFERROR(__xludf.DUMMYFUNCTION("""COMPUTED_VALUE"""),261.84)</f>
        <v>261.83999999999997</v>
      </c>
      <c r="E2370" s="1">
        <f ca="1">IFERROR(__xludf.DUMMYFUNCTION("""COMPUTED_VALUE"""),272.04)</f>
        <v>272.04000000000002</v>
      </c>
      <c r="F2370" s="1">
        <f ca="1">IFERROR(__xludf.DUMMYFUNCTION("""COMPUTED_VALUE"""),126706623)</f>
        <v>126706623</v>
      </c>
    </row>
    <row r="2371" spans="1:6" x14ac:dyDescent="0.2">
      <c r="A2371" s="2">
        <f ca="1">IFERROR(__xludf.DUMMYFUNCTION("""COMPUTED_VALUE"""),45721.6666666666)</f>
        <v>45721.666666666599</v>
      </c>
      <c r="B2371" s="1">
        <f ca="1">IFERROR(__xludf.DUMMYFUNCTION("""COMPUTED_VALUE"""),272.92)</f>
        <v>272.92</v>
      </c>
      <c r="C2371" s="1">
        <f ca="1">IFERROR(__xludf.DUMMYFUNCTION("""COMPUTED_VALUE"""),279.55)</f>
        <v>279.55</v>
      </c>
      <c r="D2371" s="1">
        <f ca="1">IFERROR(__xludf.DUMMYFUNCTION("""COMPUTED_VALUE"""),267.71)</f>
        <v>267.70999999999998</v>
      </c>
      <c r="E2371" s="1">
        <f ca="1">IFERROR(__xludf.DUMMYFUNCTION("""COMPUTED_VALUE"""),279.1)</f>
        <v>279.10000000000002</v>
      </c>
      <c r="F2371" s="1">
        <f ca="1">IFERROR(__xludf.DUMMYFUNCTION("""COMPUTED_VALUE"""),94042913)</f>
        <v>94042913</v>
      </c>
    </row>
    <row r="2372" spans="1:6" x14ac:dyDescent="0.2">
      <c r="A2372" s="2">
        <f ca="1">IFERROR(__xludf.DUMMYFUNCTION("""COMPUTED_VALUE"""),45722.6666666666)</f>
        <v>45722.666666666599</v>
      </c>
      <c r="B2372" s="1">
        <f ca="1">IFERROR(__xludf.DUMMYFUNCTION("""COMPUTED_VALUE"""),272.06)</f>
        <v>272.06</v>
      </c>
      <c r="C2372" s="1">
        <f ca="1">IFERROR(__xludf.DUMMYFUNCTION("""COMPUTED_VALUE"""),272.65)</f>
        <v>272.64999999999998</v>
      </c>
      <c r="D2372" s="1">
        <f ca="1">IFERROR(__xludf.DUMMYFUNCTION("""COMPUTED_VALUE"""),260.02)</f>
        <v>260.02</v>
      </c>
      <c r="E2372" s="1">
        <f ca="1">IFERROR(__xludf.DUMMYFUNCTION("""COMPUTED_VALUE"""),263.45)</f>
        <v>263.45</v>
      </c>
      <c r="F2372" s="1">
        <f ca="1">IFERROR(__xludf.DUMMYFUNCTION("""COMPUTED_VALUE"""),98451566)</f>
        <v>98451566</v>
      </c>
    </row>
    <row r="2373" spans="1:6" x14ac:dyDescent="0.2">
      <c r="A2373" s="2">
        <f ca="1">IFERROR(__xludf.DUMMYFUNCTION("""COMPUTED_VALUE"""),45723.6666666666)</f>
        <v>45723.666666666599</v>
      </c>
      <c r="B2373" s="1">
        <f ca="1">IFERROR(__xludf.DUMMYFUNCTION("""COMPUTED_VALUE"""),259.32)</f>
        <v>259.32</v>
      </c>
      <c r="C2373" s="1">
        <f ca="1">IFERROR(__xludf.DUMMYFUNCTION("""COMPUTED_VALUE"""),266.25)</f>
        <v>266.25</v>
      </c>
      <c r="D2373" s="1">
        <f ca="1">IFERROR(__xludf.DUMMYFUNCTION("""COMPUTED_VALUE"""),250.73)</f>
        <v>250.73</v>
      </c>
      <c r="E2373" s="1">
        <f ca="1">IFERROR(__xludf.DUMMYFUNCTION("""COMPUTED_VALUE"""),262.67)</f>
        <v>262.67</v>
      </c>
      <c r="F2373" s="1">
        <f ca="1">IFERROR(__xludf.DUMMYFUNCTION("""COMPUTED_VALUE"""),102369640)</f>
        <v>102369640</v>
      </c>
    </row>
    <row r="2374" spans="1:6" x14ac:dyDescent="0.2">
      <c r="A2374" s="2">
        <f ca="1">IFERROR(__xludf.DUMMYFUNCTION("""COMPUTED_VALUE"""),45726.6666666666)</f>
        <v>45726.666666666599</v>
      </c>
      <c r="B2374" s="1">
        <f ca="1">IFERROR(__xludf.DUMMYFUNCTION("""COMPUTED_VALUE"""),252.54)</f>
        <v>252.54</v>
      </c>
      <c r="C2374" s="1">
        <f ca="1">IFERROR(__xludf.DUMMYFUNCTION("""COMPUTED_VALUE"""),253.37)</f>
        <v>253.37</v>
      </c>
      <c r="D2374" s="1">
        <f ca="1">IFERROR(__xludf.DUMMYFUNCTION("""COMPUTED_VALUE"""),220)</f>
        <v>220</v>
      </c>
      <c r="E2374" s="1">
        <f ca="1">IFERROR(__xludf.DUMMYFUNCTION("""COMPUTED_VALUE"""),222.15)</f>
        <v>222.15</v>
      </c>
      <c r="F2374" s="1">
        <f ca="1">IFERROR(__xludf.DUMMYFUNCTION("""COMPUTED_VALUE"""),189076948)</f>
        <v>189076948</v>
      </c>
    </row>
    <row r="2375" spans="1:6" x14ac:dyDescent="0.2">
      <c r="A2375" s="2">
        <f ca="1">IFERROR(__xludf.DUMMYFUNCTION("""COMPUTED_VALUE"""),45727.6666666666)</f>
        <v>45727.666666666599</v>
      </c>
      <c r="B2375" s="1">
        <f ca="1">IFERROR(__xludf.DUMMYFUNCTION("""COMPUTED_VALUE"""),225.31)</f>
        <v>225.31</v>
      </c>
      <c r="C2375" s="1">
        <f ca="1">IFERROR(__xludf.DUMMYFUNCTION("""COMPUTED_VALUE"""),237.06)</f>
        <v>237.06</v>
      </c>
      <c r="D2375" s="1">
        <f ca="1">IFERROR(__xludf.DUMMYFUNCTION("""COMPUTED_VALUE"""),217.02)</f>
        <v>217.02</v>
      </c>
      <c r="E2375" s="1">
        <f ca="1">IFERROR(__xludf.DUMMYFUNCTION("""COMPUTED_VALUE"""),230.58)</f>
        <v>230.58</v>
      </c>
      <c r="F2375" s="1">
        <f ca="1">IFERROR(__xludf.DUMMYFUNCTION("""COMPUTED_VALUE"""),174896415)</f>
        <v>174896415</v>
      </c>
    </row>
    <row r="2376" spans="1:6" x14ac:dyDescent="0.2">
      <c r="A2376" s="2">
        <f ca="1">IFERROR(__xludf.DUMMYFUNCTION("""COMPUTED_VALUE"""),45728.6666666666)</f>
        <v>45728.666666666599</v>
      </c>
      <c r="B2376" s="1">
        <f ca="1">IFERROR(__xludf.DUMMYFUNCTION("""COMPUTED_VALUE"""),247.22)</f>
        <v>247.22</v>
      </c>
      <c r="C2376" s="1">
        <f ca="1">IFERROR(__xludf.DUMMYFUNCTION("""COMPUTED_VALUE"""),251.84)</f>
        <v>251.84</v>
      </c>
      <c r="D2376" s="1">
        <f ca="1">IFERROR(__xludf.DUMMYFUNCTION("""COMPUTED_VALUE"""),241.1)</f>
        <v>241.1</v>
      </c>
      <c r="E2376" s="1">
        <f ca="1">IFERROR(__xludf.DUMMYFUNCTION("""COMPUTED_VALUE"""),248.09)</f>
        <v>248.09</v>
      </c>
      <c r="F2376" s="1">
        <f ca="1">IFERROR(__xludf.DUMMYFUNCTION("""COMPUTED_VALUE"""),142215681)</f>
        <v>142215681</v>
      </c>
    </row>
    <row r="2377" spans="1:6" x14ac:dyDescent="0.2">
      <c r="A2377" s="2">
        <f ca="1">IFERROR(__xludf.DUMMYFUNCTION("""COMPUTED_VALUE"""),45729.6666666666)</f>
        <v>45729.666666666599</v>
      </c>
      <c r="B2377" s="1">
        <f ca="1">IFERROR(__xludf.DUMMYFUNCTION("""COMPUTED_VALUE"""),248.13)</f>
        <v>248.13</v>
      </c>
      <c r="C2377" s="1">
        <f ca="1">IFERROR(__xludf.DUMMYFUNCTION("""COMPUTED_VALUE"""),248.29)</f>
        <v>248.29</v>
      </c>
      <c r="D2377" s="1">
        <f ca="1">IFERROR(__xludf.DUMMYFUNCTION("""COMPUTED_VALUE"""),232.6)</f>
        <v>232.6</v>
      </c>
      <c r="E2377" s="1">
        <f ca="1">IFERROR(__xludf.DUMMYFUNCTION("""COMPUTED_VALUE"""),240.68)</f>
        <v>240.68</v>
      </c>
      <c r="F2377" s="1">
        <f ca="1">IFERROR(__xludf.DUMMYFUNCTION("""COMPUTED_VALUE"""),114813525)</f>
        <v>114813525</v>
      </c>
    </row>
    <row r="2378" spans="1:6" x14ac:dyDescent="0.2">
      <c r="A2378" s="2">
        <f ca="1">IFERROR(__xludf.DUMMYFUNCTION("""COMPUTED_VALUE"""),45730.6666666666)</f>
        <v>45730.666666666599</v>
      </c>
      <c r="B2378" s="1">
        <f ca="1">IFERROR(__xludf.DUMMYFUNCTION("""COMPUTED_VALUE"""),247.31)</f>
        <v>247.31</v>
      </c>
      <c r="C2378" s="1">
        <f ca="1">IFERROR(__xludf.DUMMYFUNCTION("""COMPUTED_VALUE"""),251.58)</f>
        <v>251.58</v>
      </c>
      <c r="D2378" s="1">
        <f ca="1">IFERROR(__xludf.DUMMYFUNCTION("""COMPUTED_VALUE"""),240.73)</f>
        <v>240.73</v>
      </c>
      <c r="E2378" s="1">
        <f ca="1">IFERROR(__xludf.DUMMYFUNCTION("""COMPUTED_VALUE"""),249.98)</f>
        <v>249.98</v>
      </c>
      <c r="F2378" s="1">
        <f ca="1">IFERROR(__xludf.DUMMYFUNCTION("""COMPUTED_VALUE"""),100242264)</f>
        <v>100242264</v>
      </c>
    </row>
    <row r="2379" spans="1:6" x14ac:dyDescent="0.2">
      <c r="A2379" s="2">
        <f ca="1">IFERROR(__xludf.DUMMYFUNCTION("""COMPUTED_VALUE"""),45733.6666666666)</f>
        <v>45733.666666666599</v>
      </c>
      <c r="B2379" s="1">
        <f ca="1">IFERROR(__xludf.DUMMYFUNCTION("""COMPUTED_VALUE"""),245.06)</f>
        <v>245.06</v>
      </c>
      <c r="C2379" s="1">
        <f ca="1">IFERROR(__xludf.DUMMYFUNCTION("""COMPUTED_VALUE"""),245.4)</f>
        <v>245.4</v>
      </c>
      <c r="D2379" s="1">
        <f ca="1">IFERROR(__xludf.DUMMYFUNCTION("""COMPUTED_VALUE"""),232.8)</f>
        <v>232.8</v>
      </c>
      <c r="E2379" s="1">
        <f ca="1">IFERROR(__xludf.DUMMYFUNCTION("""COMPUTED_VALUE"""),238.01)</f>
        <v>238.01</v>
      </c>
      <c r="F2379" s="1">
        <f ca="1">IFERROR(__xludf.DUMMYFUNCTION("""COMPUTED_VALUE"""),111900565)</f>
        <v>111900565</v>
      </c>
    </row>
    <row r="2380" spans="1:6" x14ac:dyDescent="0.2">
      <c r="A2380" s="2">
        <f ca="1">IFERROR(__xludf.DUMMYFUNCTION("""COMPUTED_VALUE"""),45734.6666666666)</f>
        <v>45734.666666666599</v>
      </c>
      <c r="B2380" s="1">
        <f ca="1">IFERROR(__xludf.DUMMYFUNCTION("""COMPUTED_VALUE"""),228.16)</f>
        <v>228.16</v>
      </c>
      <c r="C2380" s="1">
        <f ca="1">IFERROR(__xludf.DUMMYFUNCTION("""COMPUTED_VALUE"""),230.1)</f>
        <v>230.1</v>
      </c>
      <c r="D2380" s="1">
        <f ca="1">IFERROR(__xludf.DUMMYFUNCTION("""COMPUTED_VALUE"""),222.28)</f>
        <v>222.28</v>
      </c>
      <c r="E2380" s="1">
        <f ca="1">IFERROR(__xludf.DUMMYFUNCTION("""COMPUTED_VALUE"""),225.31)</f>
        <v>225.31</v>
      </c>
      <c r="F2380" s="1">
        <f ca="1">IFERROR(__xludf.DUMMYFUNCTION("""COMPUTED_VALUE"""),111477636)</f>
        <v>111477636</v>
      </c>
    </row>
    <row r="2381" spans="1:6" x14ac:dyDescent="0.2">
      <c r="A2381" s="2">
        <f ca="1">IFERROR(__xludf.DUMMYFUNCTION("""COMPUTED_VALUE"""),45735.6666666666)</f>
        <v>45735.666666666599</v>
      </c>
      <c r="B2381" s="1">
        <f ca="1">IFERROR(__xludf.DUMMYFUNCTION("""COMPUTED_VALUE"""),231.61)</f>
        <v>231.61</v>
      </c>
      <c r="C2381" s="1">
        <f ca="1">IFERROR(__xludf.DUMMYFUNCTION("""COMPUTED_VALUE"""),241.41)</f>
        <v>241.41</v>
      </c>
      <c r="D2381" s="1">
        <f ca="1">IFERROR(__xludf.DUMMYFUNCTION("""COMPUTED_VALUE"""),229.2)</f>
        <v>229.2</v>
      </c>
      <c r="E2381" s="1">
        <f ca="1">IFERROR(__xludf.DUMMYFUNCTION("""COMPUTED_VALUE"""),235.86)</f>
        <v>235.86</v>
      </c>
      <c r="F2381" s="1">
        <f ca="1">IFERROR(__xludf.DUMMYFUNCTION("""COMPUTED_VALUE"""),111993753)</f>
        <v>111993753</v>
      </c>
    </row>
    <row r="2382" spans="1:6" x14ac:dyDescent="0.2">
      <c r="A2382" s="2">
        <f ca="1">IFERROR(__xludf.DUMMYFUNCTION("""COMPUTED_VALUE"""),45736.6666666666)</f>
        <v>45736.666666666599</v>
      </c>
      <c r="B2382" s="1">
        <f ca="1">IFERROR(__xludf.DUMMYFUNCTION("""COMPUTED_VALUE"""),233.35)</f>
        <v>233.35</v>
      </c>
      <c r="C2382" s="1">
        <f ca="1">IFERROR(__xludf.DUMMYFUNCTION("""COMPUTED_VALUE"""),238)</f>
        <v>238</v>
      </c>
      <c r="D2382" s="1">
        <f ca="1">IFERROR(__xludf.DUMMYFUNCTION("""COMPUTED_VALUE"""),230.05)</f>
        <v>230.05</v>
      </c>
      <c r="E2382" s="1">
        <f ca="1">IFERROR(__xludf.DUMMYFUNCTION("""COMPUTED_VALUE"""),236.26)</f>
        <v>236.26</v>
      </c>
      <c r="F2382" s="1">
        <f ca="1">IFERROR(__xludf.DUMMYFUNCTION("""COMPUTED_VALUE"""),99028270)</f>
        <v>99028270</v>
      </c>
    </row>
    <row r="2383" spans="1:6" x14ac:dyDescent="0.2">
      <c r="A2383" s="2">
        <f ca="1">IFERROR(__xludf.DUMMYFUNCTION("""COMPUTED_VALUE"""),45737.6666666666)</f>
        <v>45737.666666666599</v>
      </c>
      <c r="B2383" s="1">
        <f ca="1">IFERROR(__xludf.DUMMYFUNCTION("""COMPUTED_VALUE"""),234.99)</f>
        <v>234.99</v>
      </c>
      <c r="C2383" s="1">
        <f ca="1">IFERROR(__xludf.DUMMYFUNCTION("""COMPUTED_VALUE"""),249.52)</f>
        <v>249.52</v>
      </c>
      <c r="D2383" s="1">
        <f ca="1">IFERROR(__xludf.DUMMYFUNCTION("""COMPUTED_VALUE"""),234.55)</f>
        <v>234.55</v>
      </c>
      <c r="E2383" s="1">
        <f ca="1">IFERROR(__xludf.DUMMYFUNCTION("""COMPUTED_VALUE"""),248.71)</f>
        <v>248.71</v>
      </c>
      <c r="F2383" s="1">
        <f ca="1">IFERROR(__xludf.DUMMYFUNCTION("""COMPUTED_VALUE"""),132728684)</f>
        <v>132728684</v>
      </c>
    </row>
    <row r="2384" spans="1:6" x14ac:dyDescent="0.2">
      <c r="A2384" s="2">
        <f ca="1">IFERROR(__xludf.DUMMYFUNCTION("""COMPUTED_VALUE"""),45740.6666666666)</f>
        <v>45740.666666666599</v>
      </c>
      <c r="B2384" s="1">
        <f ca="1">IFERROR(__xludf.DUMMYFUNCTION("""COMPUTED_VALUE"""),258.08)</f>
        <v>258.08</v>
      </c>
      <c r="C2384" s="1">
        <f ca="1">IFERROR(__xludf.DUMMYFUNCTION("""COMPUTED_VALUE"""),278.64)</f>
        <v>278.64</v>
      </c>
      <c r="D2384" s="1">
        <f ca="1">IFERROR(__xludf.DUMMYFUNCTION("""COMPUTED_VALUE"""),256.33)</f>
        <v>256.33</v>
      </c>
      <c r="E2384" s="1">
        <f ca="1">IFERROR(__xludf.DUMMYFUNCTION("""COMPUTED_VALUE"""),278.39)</f>
        <v>278.39</v>
      </c>
      <c r="F2384" s="1">
        <f ca="1">IFERROR(__xludf.DUMMYFUNCTION("""COMPUTED_VALUE"""),169079865)</f>
        <v>169079865</v>
      </c>
    </row>
    <row r="2385" spans="1:6" x14ac:dyDescent="0.2">
      <c r="A2385" s="2">
        <f ca="1">IFERROR(__xludf.DUMMYFUNCTION("""COMPUTED_VALUE"""),45741.6666666666)</f>
        <v>45741.666666666599</v>
      </c>
      <c r="B2385" s="1">
        <f ca="1">IFERROR(__xludf.DUMMYFUNCTION("""COMPUTED_VALUE"""),283.6)</f>
        <v>283.60000000000002</v>
      </c>
      <c r="C2385" s="1">
        <f ca="1">IFERROR(__xludf.DUMMYFUNCTION("""COMPUTED_VALUE"""),288.2)</f>
        <v>288.2</v>
      </c>
      <c r="D2385" s="1">
        <f ca="1">IFERROR(__xludf.DUMMYFUNCTION("""COMPUTED_VALUE"""),271.28)</f>
        <v>271.27999999999997</v>
      </c>
      <c r="E2385" s="1">
        <f ca="1">IFERROR(__xludf.DUMMYFUNCTION("""COMPUTED_VALUE"""),288.14)</f>
        <v>288.14</v>
      </c>
      <c r="F2385" s="1">
        <f ca="1">IFERROR(__xludf.DUMMYFUNCTION("""COMPUTED_VALUE"""),150361538)</f>
        <v>150361538</v>
      </c>
    </row>
    <row r="2386" spans="1:6" x14ac:dyDescent="0.2">
      <c r="A2386" s="2">
        <f ca="1">IFERROR(__xludf.DUMMYFUNCTION("""COMPUTED_VALUE"""),45742.6666666666)</f>
        <v>45742.666666666599</v>
      </c>
      <c r="B2386" s="1">
        <f ca="1">IFERROR(__xludf.DUMMYFUNCTION("""COMPUTED_VALUE"""),282.66)</f>
        <v>282.66000000000003</v>
      </c>
      <c r="C2386" s="1">
        <f ca="1">IFERROR(__xludf.DUMMYFUNCTION("""COMPUTED_VALUE"""),284.9)</f>
        <v>284.89999999999998</v>
      </c>
      <c r="D2386" s="1">
        <f ca="1">IFERROR(__xludf.DUMMYFUNCTION("""COMPUTED_VALUE"""),266.51)</f>
        <v>266.51</v>
      </c>
      <c r="E2386" s="1">
        <f ca="1">IFERROR(__xludf.DUMMYFUNCTION("""COMPUTED_VALUE"""),272.06)</f>
        <v>272.06</v>
      </c>
      <c r="F2386" s="1">
        <f ca="1">IFERROR(__xludf.DUMMYFUNCTION("""COMPUTED_VALUE"""),156254441)</f>
        <v>156254441</v>
      </c>
    </row>
    <row r="2387" spans="1:6" x14ac:dyDescent="0.2">
      <c r="A2387" s="2">
        <f ca="1">IFERROR(__xludf.DUMMYFUNCTION("""COMPUTED_VALUE"""),45743.6666666666)</f>
        <v>45743.666666666599</v>
      </c>
      <c r="B2387" s="1">
        <f ca="1">IFERROR(__xludf.DUMMYFUNCTION("""COMPUTED_VALUE"""),272.48)</f>
        <v>272.48</v>
      </c>
      <c r="C2387" s="1">
        <f ca="1">IFERROR(__xludf.DUMMYFUNCTION("""COMPUTED_VALUE"""),291.85)</f>
        <v>291.85000000000002</v>
      </c>
      <c r="D2387" s="1">
        <f ca="1">IFERROR(__xludf.DUMMYFUNCTION("""COMPUTED_VALUE"""),271.82)</f>
        <v>271.82</v>
      </c>
      <c r="E2387" s="1">
        <f ca="1">IFERROR(__xludf.DUMMYFUNCTION("""COMPUTED_VALUE"""),273.13)</f>
        <v>273.13</v>
      </c>
      <c r="F2387" s="1">
        <f ca="1">IFERROR(__xludf.DUMMYFUNCTION("""COMPUTED_VALUE"""),162572146)</f>
        <v>162572146</v>
      </c>
    </row>
    <row r="2388" spans="1:6" x14ac:dyDescent="0.2">
      <c r="A2388" s="2">
        <f ca="1">IFERROR(__xludf.DUMMYFUNCTION("""COMPUTED_VALUE"""),45744.6666666666)</f>
        <v>45744.666666666599</v>
      </c>
      <c r="B2388" s="1">
        <f ca="1">IFERROR(__xludf.DUMMYFUNCTION("""COMPUTED_VALUE"""),275.58)</f>
        <v>275.58</v>
      </c>
      <c r="C2388" s="1">
        <f ca="1">IFERROR(__xludf.DUMMYFUNCTION("""COMPUTED_VALUE"""),276.1)</f>
        <v>276.10000000000002</v>
      </c>
      <c r="D2388" s="1">
        <f ca="1">IFERROR(__xludf.DUMMYFUNCTION("""COMPUTED_VALUE"""),260.57)</f>
        <v>260.57</v>
      </c>
      <c r="E2388" s="1">
        <f ca="1">IFERROR(__xludf.DUMMYFUNCTION("""COMPUTED_VALUE"""),263.55)</f>
        <v>263.55</v>
      </c>
      <c r="F2388" s="1">
        <f ca="1">IFERROR(__xludf.DUMMYFUNCTION("""COMPUTED_VALUE"""),123809389)</f>
        <v>123809389</v>
      </c>
    </row>
    <row r="2389" spans="1:6" x14ac:dyDescent="0.2">
      <c r="A2389" s="2">
        <f ca="1">IFERROR(__xludf.DUMMYFUNCTION("""COMPUTED_VALUE"""),45747.6666666666)</f>
        <v>45747.666666666599</v>
      </c>
      <c r="B2389" s="1">
        <f ca="1">IFERROR(__xludf.DUMMYFUNCTION("""COMPUTED_VALUE"""),249.31)</f>
        <v>249.31</v>
      </c>
      <c r="C2389" s="1">
        <f ca="1">IFERROR(__xludf.DUMMYFUNCTION("""COMPUTED_VALUE"""),260.56)</f>
        <v>260.56</v>
      </c>
      <c r="D2389" s="1">
        <f ca="1">IFERROR(__xludf.DUMMYFUNCTION("""COMPUTED_VALUE"""),243.36)</f>
        <v>243.36</v>
      </c>
      <c r="E2389" s="1">
        <f ca="1">IFERROR(__xludf.DUMMYFUNCTION("""COMPUTED_VALUE"""),259.16)</f>
        <v>259.16000000000003</v>
      </c>
      <c r="F2389" s="1">
        <f ca="1">IFERROR(__xludf.DUMMYFUNCTION("""COMPUTED_VALUE"""),134008936)</f>
        <v>134008936</v>
      </c>
    </row>
    <row r="2390" spans="1:6" x14ac:dyDescent="0.2">
      <c r="A2390" s="2">
        <f ca="1">IFERROR(__xludf.DUMMYFUNCTION("""COMPUTED_VALUE"""),45748.6666666666)</f>
        <v>45748.666666666599</v>
      </c>
      <c r="B2390" s="1">
        <f ca="1">IFERROR(__xludf.DUMMYFUNCTION("""COMPUTED_VALUE"""),263.8)</f>
        <v>263.8</v>
      </c>
      <c r="C2390" s="1">
        <f ca="1">IFERROR(__xludf.DUMMYFUNCTION("""COMPUTED_VALUE"""),277.45)</f>
        <v>277.45</v>
      </c>
      <c r="D2390" s="1">
        <f ca="1">IFERROR(__xludf.DUMMYFUNCTION("""COMPUTED_VALUE"""),259.25)</f>
        <v>259.25</v>
      </c>
      <c r="E2390" s="1">
        <f ca="1">IFERROR(__xludf.DUMMYFUNCTION("""COMPUTED_VALUE"""),268.46)</f>
        <v>268.45999999999998</v>
      </c>
      <c r="F2390" s="1">
        <f ca="1">IFERROR(__xludf.DUMMYFUNCTION("""COMPUTED_VALUE"""),146486911)</f>
        <v>146486911</v>
      </c>
    </row>
    <row r="2391" spans="1:6" x14ac:dyDescent="0.2">
      <c r="A2391" s="2">
        <f ca="1">IFERROR(__xludf.DUMMYFUNCTION("""COMPUTED_VALUE"""),45749.6666666666)</f>
        <v>45749.666666666599</v>
      </c>
      <c r="B2391" s="1">
        <f ca="1">IFERROR(__xludf.DUMMYFUNCTION("""COMPUTED_VALUE"""),254.6)</f>
        <v>254.6</v>
      </c>
      <c r="C2391" s="1">
        <f ca="1">IFERROR(__xludf.DUMMYFUNCTION("""COMPUTED_VALUE"""),284.99)</f>
        <v>284.99</v>
      </c>
      <c r="D2391" s="1">
        <f ca="1">IFERROR(__xludf.DUMMYFUNCTION("""COMPUTED_VALUE"""),251.27)</f>
        <v>251.27</v>
      </c>
      <c r="E2391" s="1">
        <f ca="1">IFERROR(__xludf.DUMMYFUNCTION("""COMPUTED_VALUE"""),282.76)</f>
        <v>282.76</v>
      </c>
      <c r="F2391" s="1">
        <f ca="1">IFERROR(__xludf.DUMMYFUNCTION("""COMPUTED_VALUE"""),212787817)</f>
        <v>212787817</v>
      </c>
    </row>
    <row r="2392" spans="1:6" x14ac:dyDescent="0.2">
      <c r="A2392" s="2">
        <f ca="1">IFERROR(__xludf.DUMMYFUNCTION("""COMPUTED_VALUE"""),45750.6666666666)</f>
        <v>45750.666666666599</v>
      </c>
      <c r="B2392" s="1">
        <f ca="1">IFERROR(__xludf.DUMMYFUNCTION("""COMPUTED_VALUE"""),265.29)</f>
        <v>265.29000000000002</v>
      </c>
      <c r="C2392" s="1">
        <f ca="1">IFERROR(__xludf.DUMMYFUNCTION("""COMPUTED_VALUE"""),276.3)</f>
        <v>276.3</v>
      </c>
      <c r="D2392" s="1">
        <f ca="1">IFERROR(__xludf.DUMMYFUNCTION("""COMPUTED_VALUE"""),261.51)</f>
        <v>261.51</v>
      </c>
      <c r="E2392" s="1">
        <f ca="1">IFERROR(__xludf.DUMMYFUNCTION("""COMPUTED_VALUE"""),267.28)</f>
        <v>267.27999999999997</v>
      </c>
      <c r="F2392" s="1">
        <f ca="1">IFERROR(__xludf.DUMMYFUNCTION("""COMPUTED_VALUE"""),136174291)</f>
        <v>136174291</v>
      </c>
    </row>
    <row r="2393" spans="1:6" x14ac:dyDescent="0.2">
      <c r="A2393" s="2">
        <f ca="1">IFERROR(__xludf.DUMMYFUNCTION("""COMPUTED_VALUE"""),45751.6666666666)</f>
        <v>45751.666666666599</v>
      </c>
      <c r="B2393" s="1">
        <f ca="1">IFERROR(__xludf.DUMMYFUNCTION("""COMPUTED_VALUE"""),255.38)</f>
        <v>255.38</v>
      </c>
      <c r="C2393" s="1">
        <f ca="1">IFERROR(__xludf.DUMMYFUNCTION("""COMPUTED_VALUE"""),261)</f>
        <v>261</v>
      </c>
      <c r="D2393" s="1">
        <f ca="1">IFERROR(__xludf.DUMMYFUNCTION("""COMPUTED_VALUE"""),236)</f>
        <v>236</v>
      </c>
      <c r="E2393" s="1">
        <f ca="1">IFERROR(__xludf.DUMMYFUNCTION("""COMPUTED_VALUE"""),239.43)</f>
        <v>239.43</v>
      </c>
      <c r="F2393" s="1">
        <f ca="1">IFERROR(__xludf.DUMMYFUNCTION("""COMPUTED_VALUE"""),181229353)</f>
        <v>181229353</v>
      </c>
    </row>
    <row r="2394" spans="1:6" x14ac:dyDescent="0.2">
      <c r="A2394" s="2">
        <f ca="1">IFERROR(__xludf.DUMMYFUNCTION("""COMPUTED_VALUE"""),45754.6666666666)</f>
        <v>45754.666666666599</v>
      </c>
      <c r="B2394" s="1">
        <f ca="1">IFERROR(__xludf.DUMMYFUNCTION("""COMPUTED_VALUE"""),223.78)</f>
        <v>223.78</v>
      </c>
      <c r="C2394" s="1">
        <f ca="1">IFERROR(__xludf.DUMMYFUNCTION("""COMPUTED_VALUE"""),252)</f>
        <v>252</v>
      </c>
      <c r="D2394" s="1">
        <f ca="1">IFERROR(__xludf.DUMMYFUNCTION("""COMPUTED_VALUE"""),214.25)</f>
        <v>214.25</v>
      </c>
      <c r="E2394" s="1">
        <f ca="1">IFERROR(__xludf.DUMMYFUNCTION("""COMPUTED_VALUE"""),233.29)</f>
        <v>233.29</v>
      </c>
      <c r="F2394" s="1">
        <f ca="1">IFERROR(__xludf.DUMMYFUNCTION("""COMPUTED_VALUE"""),183453776)</f>
        <v>183453776</v>
      </c>
    </row>
    <row r="2395" spans="1:6" x14ac:dyDescent="0.2">
      <c r="A2395" s="2">
        <f ca="1">IFERROR(__xludf.DUMMYFUNCTION("""COMPUTED_VALUE"""),45755.6666666666)</f>
        <v>45755.666666666599</v>
      </c>
      <c r="B2395" s="1">
        <f ca="1">IFERROR(__xludf.DUMMYFUNCTION("""COMPUTED_VALUE"""),245)</f>
        <v>245</v>
      </c>
      <c r="C2395" s="1">
        <f ca="1">IFERROR(__xludf.DUMMYFUNCTION("""COMPUTED_VALUE"""),250.44)</f>
        <v>250.44</v>
      </c>
      <c r="D2395" s="1">
        <f ca="1">IFERROR(__xludf.DUMMYFUNCTION("""COMPUTED_VALUE"""),217.8)</f>
        <v>217.8</v>
      </c>
      <c r="E2395" s="1">
        <f ca="1">IFERROR(__xludf.DUMMYFUNCTION("""COMPUTED_VALUE"""),221.86)</f>
        <v>221.86</v>
      </c>
      <c r="F2395" s="1">
        <f ca="1">IFERROR(__xludf.DUMMYFUNCTION("""COMPUTED_VALUE"""),171603472)</f>
        <v>171603472</v>
      </c>
    </row>
    <row r="2396" spans="1:6" x14ac:dyDescent="0.2">
      <c r="A2396" s="2">
        <f ca="1">IFERROR(__xludf.DUMMYFUNCTION("""COMPUTED_VALUE"""),45756.6666666666)</f>
        <v>45756.666666666599</v>
      </c>
      <c r="B2396" s="1">
        <f ca="1">IFERROR(__xludf.DUMMYFUNCTION("""COMPUTED_VALUE"""),224.69)</f>
        <v>224.69</v>
      </c>
      <c r="C2396" s="1">
        <f ca="1">IFERROR(__xludf.DUMMYFUNCTION("""COMPUTED_VALUE"""),274.69)</f>
        <v>274.69</v>
      </c>
      <c r="D2396" s="1">
        <f ca="1">IFERROR(__xludf.DUMMYFUNCTION("""COMPUTED_VALUE"""),223.88)</f>
        <v>223.88</v>
      </c>
      <c r="E2396" s="1">
        <f ca="1">IFERROR(__xludf.DUMMYFUNCTION("""COMPUTED_VALUE"""),272.2)</f>
        <v>272.2</v>
      </c>
      <c r="F2396" s="1">
        <f ca="1">IFERROR(__xludf.DUMMYFUNCTION("""COMPUTED_VALUE"""),219433373)</f>
        <v>219433373</v>
      </c>
    </row>
    <row r="2397" spans="1:6" x14ac:dyDescent="0.2">
      <c r="A2397" s="2">
        <f ca="1">IFERROR(__xludf.DUMMYFUNCTION("""COMPUTED_VALUE"""),45757.6666666666)</f>
        <v>45757.666666666599</v>
      </c>
      <c r="B2397" s="1">
        <f ca="1">IFERROR(__xludf.DUMMYFUNCTION("""COMPUTED_VALUE"""),260)</f>
        <v>260</v>
      </c>
      <c r="C2397" s="1">
        <f ca="1">IFERROR(__xludf.DUMMYFUNCTION("""COMPUTED_VALUE"""),262.49)</f>
        <v>262.49</v>
      </c>
      <c r="D2397" s="1">
        <f ca="1">IFERROR(__xludf.DUMMYFUNCTION("""COMPUTED_VALUE"""),239.33)</f>
        <v>239.33</v>
      </c>
      <c r="E2397" s="1">
        <f ca="1">IFERROR(__xludf.DUMMYFUNCTION("""COMPUTED_VALUE"""),252.4)</f>
        <v>252.4</v>
      </c>
      <c r="F2397" s="1">
        <f ca="1">IFERROR(__xludf.DUMMYFUNCTION("""COMPUTED_VALUE"""),181722604)</f>
        <v>181722604</v>
      </c>
    </row>
    <row r="2398" spans="1:6" x14ac:dyDescent="0.2">
      <c r="A2398" s="2">
        <f ca="1">IFERROR(__xludf.DUMMYFUNCTION("""COMPUTED_VALUE"""),45758.6666666666)</f>
        <v>45758.666666666599</v>
      </c>
      <c r="B2398" s="1">
        <f ca="1">IFERROR(__xludf.DUMMYFUNCTION("""COMPUTED_VALUE"""),251.84)</f>
        <v>251.84</v>
      </c>
      <c r="C2398" s="1">
        <f ca="1">IFERROR(__xludf.DUMMYFUNCTION("""COMPUTED_VALUE"""),257.74)</f>
        <v>257.74</v>
      </c>
      <c r="D2398" s="1">
        <f ca="1">IFERROR(__xludf.DUMMYFUNCTION("""COMPUTED_VALUE"""),241.36)</f>
        <v>241.36</v>
      </c>
      <c r="E2398" s="1">
        <f ca="1">IFERROR(__xludf.DUMMYFUNCTION("""COMPUTED_VALUE"""),252.31)</f>
        <v>252.31</v>
      </c>
      <c r="F2398" s="1">
        <f ca="1">IFERROR(__xludf.DUMMYFUNCTION("""COMPUTED_VALUE"""),128948085)</f>
        <v>128948085</v>
      </c>
    </row>
    <row r="2399" spans="1:6" x14ac:dyDescent="0.2">
      <c r="A2399" s="2">
        <f ca="1">IFERROR(__xludf.DUMMYFUNCTION("""COMPUTED_VALUE"""),45761.6666666666)</f>
        <v>45761.666666666599</v>
      </c>
      <c r="B2399" s="1">
        <f ca="1">IFERROR(__xludf.DUMMYFUNCTION("""COMPUTED_VALUE"""),258.36)</f>
        <v>258.36</v>
      </c>
      <c r="C2399" s="1">
        <f ca="1">IFERROR(__xludf.DUMMYFUNCTION("""COMPUTED_VALUE"""),261.8)</f>
        <v>261.8</v>
      </c>
      <c r="D2399" s="1">
        <f ca="1">IFERROR(__xludf.DUMMYFUNCTION("""COMPUTED_VALUE"""),245.93)</f>
        <v>245.93</v>
      </c>
      <c r="E2399" s="1">
        <f ca="1">IFERROR(__xludf.DUMMYFUNCTION("""COMPUTED_VALUE"""),252.35)</f>
        <v>252.35</v>
      </c>
      <c r="F2399" s="1">
        <f ca="1">IFERROR(__xludf.DUMMYFUNCTION("""COMPUTED_VALUE"""),100135241)</f>
        <v>100135241</v>
      </c>
    </row>
    <row r="2400" spans="1:6" x14ac:dyDescent="0.2">
      <c r="A2400" s="2">
        <f ca="1">IFERROR(__xludf.DUMMYFUNCTION("""COMPUTED_VALUE"""),45762.6666666666)</f>
        <v>45762.666666666599</v>
      </c>
      <c r="B2400" s="1">
        <f ca="1">IFERROR(__xludf.DUMMYFUNCTION("""COMPUTED_VALUE"""),249.91)</f>
        <v>249.91</v>
      </c>
      <c r="C2400" s="1">
        <f ca="1">IFERROR(__xludf.DUMMYFUNCTION("""COMPUTED_VALUE"""),258.75)</f>
        <v>258.75</v>
      </c>
      <c r="D2400" s="1">
        <f ca="1">IFERROR(__xludf.DUMMYFUNCTION("""COMPUTED_VALUE"""),247.54)</f>
        <v>247.54</v>
      </c>
      <c r="E2400" s="1">
        <f ca="1">IFERROR(__xludf.DUMMYFUNCTION("""COMPUTED_VALUE"""),254.11)</f>
        <v>254.11</v>
      </c>
      <c r="F2400" s="1">
        <f ca="1">IFERROR(__xludf.DUMMYFUNCTION("""COMPUTED_VALUE"""),79594318)</f>
        <v>79594318</v>
      </c>
    </row>
    <row r="2401" spans="1:6" x14ac:dyDescent="0.2">
      <c r="A2401" s="2">
        <f ca="1">IFERROR(__xludf.DUMMYFUNCTION("""COMPUTED_VALUE"""),45763.6666666666)</f>
        <v>45763.666666666599</v>
      </c>
      <c r="B2401" s="1">
        <f ca="1">IFERROR(__xludf.DUMMYFUNCTION("""COMPUTED_VALUE"""),247.61)</f>
        <v>247.61</v>
      </c>
      <c r="C2401" s="1">
        <f ca="1">IFERROR(__xludf.DUMMYFUNCTION("""COMPUTED_VALUE"""),251.97)</f>
        <v>251.97</v>
      </c>
      <c r="D2401" s="1">
        <f ca="1">IFERROR(__xludf.DUMMYFUNCTION("""COMPUTED_VALUE"""),233.89)</f>
        <v>233.89</v>
      </c>
      <c r="E2401" s="1">
        <f ca="1">IFERROR(__xludf.DUMMYFUNCTION("""COMPUTED_VALUE"""),241.55)</f>
        <v>241.55</v>
      </c>
      <c r="F2401" s="1">
        <f ca="1">IFERROR(__xludf.DUMMYFUNCTION("""COMPUTED_VALUE"""),112378737)</f>
        <v>112378737</v>
      </c>
    </row>
    <row r="2402" spans="1:6" x14ac:dyDescent="0.2">
      <c r="A2402" s="2">
        <f ca="1">IFERROR(__xludf.DUMMYFUNCTION("""COMPUTED_VALUE"""),45764.6666666666)</f>
        <v>45764.666666666599</v>
      </c>
      <c r="B2402" s="1">
        <f ca="1">IFERROR(__xludf.DUMMYFUNCTION("""COMPUTED_VALUE"""),243.47)</f>
        <v>243.47</v>
      </c>
      <c r="C2402" s="1">
        <f ca="1">IFERROR(__xludf.DUMMYFUNCTION("""COMPUTED_VALUE"""),244.34)</f>
        <v>244.34</v>
      </c>
      <c r="D2402" s="1">
        <f ca="1">IFERROR(__xludf.DUMMYFUNCTION("""COMPUTED_VALUE"""),237.68)</f>
        <v>237.68</v>
      </c>
      <c r="E2402" s="1">
        <f ca="1">IFERROR(__xludf.DUMMYFUNCTION("""COMPUTED_VALUE"""),241.37)</f>
        <v>241.37</v>
      </c>
      <c r="F2402" s="1">
        <f ca="1">IFERROR(__xludf.DUMMYFUNCTION("""COMPUTED_VALUE"""),83404775)</f>
        <v>83404775</v>
      </c>
    </row>
    <row r="2403" spans="1:6" x14ac:dyDescent="0.2">
      <c r="A2403" s="2">
        <f ca="1">IFERROR(__xludf.DUMMYFUNCTION("""COMPUTED_VALUE"""),45768.6666666666)</f>
        <v>45768.666666666599</v>
      </c>
      <c r="B2403" s="1">
        <f ca="1">IFERROR(__xludf.DUMMYFUNCTION("""COMPUTED_VALUE"""),230.26)</f>
        <v>230.26</v>
      </c>
      <c r="C2403" s="1">
        <f ca="1">IFERROR(__xludf.DUMMYFUNCTION("""COMPUTED_VALUE"""),232.21)</f>
        <v>232.21</v>
      </c>
      <c r="D2403" s="1">
        <f ca="1">IFERROR(__xludf.DUMMYFUNCTION("""COMPUTED_VALUE"""),222.79)</f>
        <v>222.79</v>
      </c>
      <c r="E2403" s="1">
        <f ca="1">IFERROR(__xludf.DUMMYFUNCTION("""COMPUTED_VALUE"""),227.5)</f>
        <v>227.5</v>
      </c>
      <c r="F2403" s="1">
        <f ca="1">IFERROR(__xludf.DUMMYFUNCTION("""COMPUTED_VALUE"""),97768007)</f>
        <v>97768007</v>
      </c>
    </row>
    <row r="2404" spans="1:6" x14ac:dyDescent="0.2">
      <c r="A2404" s="2">
        <f ca="1">IFERROR(__xludf.DUMMYFUNCTION("""COMPUTED_VALUE"""),45769.6666666666)</f>
        <v>45769.666666666599</v>
      </c>
      <c r="B2404" s="1">
        <f ca="1">IFERROR(__xludf.DUMMYFUNCTION("""COMPUTED_VALUE"""),230.96)</f>
        <v>230.96</v>
      </c>
      <c r="C2404" s="1">
        <f ca="1">IFERROR(__xludf.DUMMYFUNCTION("""COMPUTED_VALUE"""),242.79)</f>
        <v>242.79</v>
      </c>
      <c r="D2404" s="1">
        <f ca="1">IFERROR(__xludf.DUMMYFUNCTION("""COMPUTED_VALUE"""),229.85)</f>
        <v>229.85</v>
      </c>
      <c r="E2404" s="1">
        <f ca="1">IFERROR(__xludf.DUMMYFUNCTION("""COMPUTED_VALUE"""),237.97)</f>
        <v>237.97</v>
      </c>
      <c r="F2404" s="1">
        <f ca="1">IFERROR(__xludf.DUMMYFUNCTION("""COMPUTED_VALUE"""),120858452)</f>
        <v>120858452</v>
      </c>
    </row>
    <row r="2405" spans="1:6" x14ac:dyDescent="0.2">
      <c r="A2405" s="2">
        <f ca="1">IFERROR(__xludf.DUMMYFUNCTION("""COMPUTED_VALUE"""),45770.6666666666)</f>
        <v>45770.666666666599</v>
      </c>
      <c r="B2405" s="1">
        <f ca="1">IFERROR(__xludf.DUMMYFUNCTION("""COMPUTED_VALUE"""),254.86)</f>
        <v>254.86</v>
      </c>
      <c r="C2405" s="1">
        <f ca="1">IFERROR(__xludf.DUMMYFUNCTION("""COMPUTED_VALUE"""),259.45)</f>
        <v>259.45</v>
      </c>
      <c r="D2405" s="1">
        <f ca="1">IFERROR(__xludf.DUMMYFUNCTION("""COMPUTED_VALUE"""),244.43)</f>
        <v>244.43</v>
      </c>
      <c r="E2405" s="1">
        <f ca="1">IFERROR(__xludf.DUMMYFUNCTION("""COMPUTED_VALUE"""),250.74)</f>
        <v>250.74</v>
      </c>
      <c r="F2405" s="1">
        <f ca="1">IFERROR(__xludf.DUMMYFUNCTION("""COMPUTED_VALUE"""),150381903)</f>
        <v>150381903</v>
      </c>
    </row>
    <row r="2406" spans="1:6" x14ac:dyDescent="0.2">
      <c r="A2406" s="2">
        <f ca="1">IFERROR(__xludf.DUMMYFUNCTION("""COMPUTED_VALUE"""),45771.6666666666)</f>
        <v>45771.666666666599</v>
      </c>
      <c r="B2406" s="1">
        <f ca="1">IFERROR(__xludf.DUMMYFUNCTION("""COMPUTED_VALUE"""),250.5)</f>
        <v>250.5</v>
      </c>
      <c r="C2406" s="1">
        <f ca="1">IFERROR(__xludf.DUMMYFUNCTION("""COMPUTED_VALUE"""),259.54)</f>
        <v>259.54000000000002</v>
      </c>
      <c r="D2406" s="1">
        <f ca="1">IFERROR(__xludf.DUMMYFUNCTION("""COMPUTED_VALUE"""),249.2)</f>
        <v>249.2</v>
      </c>
      <c r="E2406" s="1">
        <f ca="1">IFERROR(__xludf.DUMMYFUNCTION("""COMPUTED_VALUE"""),259.51)</f>
        <v>259.51</v>
      </c>
      <c r="F2406" s="1">
        <f ca="1">IFERROR(__xludf.DUMMYFUNCTION("""COMPUTED_VALUE"""),94464195)</f>
        <v>94464195</v>
      </c>
    </row>
    <row r="2407" spans="1:6" x14ac:dyDescent="0.2">
      <c r="A2407" s="2">
        <f ca="1">IFERROR(__xludf.DUMMYFUNCTION("""COMPUTED_VALUE"""),45772.6666666666)</f>
        <v>45772.666666666599</v>
      </c>
      <c r="B2407" s="1">
        <f ca="1">IFERROR(__xludf.DUMMYFUNCTION("""COMPUTED_VALUE"""),261.69)</f>
        <v>261.69</v>
      </c>
      <c r="C2407" s="1">
        <f ca="1">IFERROR(__xludf.DUMMYFUNCTION("""COMPUTED_VALUE"""),286.85)</f>
        <v>286.85000000000002</v>
      </c>
      <c r="D2407" s="1">
        <f ca="1">IFERROR(__xludf.DUMMYFUNCTION("""COMPUTED_VALUE"""),259.63)</f>
        <v>259.63</v>
      </c>
      <c r="E2407" s="1">
        <f ca="1">IFERROR(__xludf.DUMMYFUNCTION("""COMPUTED_VALUE"""),284.95)</f>
        <v>284.95</v>
      </c>
      <c r="F2407" s="1">
        <f ca="1">IFERROR(__xludf.DUMMYFUNCTION("""COMPUTED_VALUE"""),167560688)</f>
        <v>167560688</v>
      </c>
    </row>
    <row r="2408" spans="1:6" x14ac:dyDescent="0.2">
      <c r="A2408" s="2">
        <f ca="1">IFERROR(__xludf.DUMMYFUNCTION("""COMPUTED_VALUE"""),45775.6666666666)</f>
        <v>45775.666666666599</v>
      </c>
      <c r="B2408" s="1">
        <f ca="1">IFERROR(__xludf.DUMMYFUNCTION("""COMPUTED_VALUE"""),288.98)</f>
        <v>288.98</v>
      </c>
      <c r="C2408" s="1">
        <f ca="1">IFERROR(__xludf.DUMMYFUNCTION("""COMPUTED_VALUE"""),294.86)</f>
        <v>294.86</v>
      </c>
      <c r="D2408" s="1">
        <f ca="1">IFERROR(__xludf.DUMMYFUNCTION("""COMPUTED_VALUE"""),272.42)</f>
        <v>272.42</v>
      </c>
      <c r="E2408" s="1">
        <f ca="1">IFERROR(__xludf.DUMMYFUNCTION("""COMPUTED_VALUE"""),285.88)</f>
        <v>285.88</v>
      </c>
      <c r="F2408" s="1">
        <f ca="1">IFERROR(__xludf.DUMMYFUNCTION("""COMPUTED_VALUE"""),151731771)</f>
        <v>151731771</v>
      </c>
    </row>
    <row r="2409" spans="1:6" x14ac:dyDescent="0.2">
      <c r="A2409" s="2">
        <f ca="1">IFERROR(__xludf.DUMMYFUNCTION("""COMPUTED_VALUE"""),45776.6666666666)</f>
        <v>45776.666666666599</v>
      </c>
      <c r="B2409" s="1">
        <f ca="1">IFERROR(__xludf.DUMMYFUNCTION("""COMPUTED_VALUE"""),285.5)</f>
        <v>285.5</v>
      </c>
      <c r="C2409" s="1">
        <f ca="1">IFERROR(__xludf.DUMMYFUNCTION("""COMPUTED_VALUE"""),293.32)</f>
        <v>293.32</v>
      </c>
      <c r="D2409" s="1">
        <f ca="1">IFERROR(__xludf.DUMMYFUNCTION("""COMPUTED_VALUE"""),279.47)</f>
        <v>279.47000000000003</v>
      </c>
      <c r="E2409" s="1">
        <f ca="1">IFERROR(__xludf.DUMMYFUNCTION("""COMPUTED_VALUE"""),292.03)</f>
        <v>292.02999999999997</v>
      </c>
      <c r="F2409" s="1">
        <f ca="1">IFERROR(__xludf.DUMMYFUNCTION("""COMPUTED_VALUE"""),108906553)</f>
        <v>108906553</v>
      </c>
    </row>
    <row r="2410" spans="1:6" x14ac:dyDescent="0.2">
      <c r="A2410" s="2">
        <f ca="1">IFERROR(__xludf.DUMMYFUNCTION("""COMPUTED_VALUE"""),45777.6666666666)</f>
        <v>45777.666666666599</v>
      </c>
      <c r="B2410" s="1">
        <f ca="1">IFERROR(__xludf.DUMMYFUNCTION("""COMPUTED_VALUE"""),279.9)</f>
        <v>279.89999999999998</v>
      </c>
      <c r="C2410" s="1">
        <f ca="1">IFERROR(__xludf.DUMMYFUNCTION("""COMPUTED_VALUE"""),284.45)</f>
        <v>284.45</v>
      </c>
      <c r="D2410" s="1">
        <f ca="1">IFERROR(__xludf.DUMMYFUNCTION("""COMPUTED_VALUE"""),270.78)</f>
        <v>270.77999999999997</v>
      </c>
      <c r="E2410" s="1">
        <f ca="1">IFERROR(__xludf.DUMMYFUNCTION("""COMPUTED_VALUE"""),282.16)</f>
        <v>282.16000000000003</v>
      </c>
      <c r="F2410" s="1">
        <f ca="1">IFERROR(__xludf.DUMMYFUNCTION("""COMPUTED_VALUE"""),128961057)</f>
        <v>128961057</v>
      </c>
    </row>
    <row r="2411" spans="1:6" x14ac:dyDescent="0.2">
      <c r="A2411" s="2">
        <f ca="1">IFERROR(__xludf.DUMMYFUNCTION("""COMPUTED_VALUE"""),45778.6666666666)</f>
        <v>45778.666666666599</v>
      </c>
      <c r="B2411" s="1">
        <f ca="1">IFERROR(__xludf.DUMMYFUNCTION("""COMPUTED_VALUE"""),280.01)</f>
        <v>280.01</v>
      </c>
      <c r="C2411" s="1">
        <f ca="1">IFERROR(__xludf.DUMMYFUNCTION("""COMPUTED_VALUE"""),290.87)</f>
        <v>290.87</v>
      </c>
      <c r="D2411" s="1">
        <f ca="1">IFERROR(__xludf.DUMMYFUNCTION("""COMPUTED_VALUE"""),279.81)</f>
        <v>279.81</v>
      </c>
      <c r="E2411" s="1">
        <f ca="1">IFERROR(__xludf.DUMMYFUNCTION("""COMPUTED_VALUE"""),280.52)</f>
        <v>280.52</v>
      </c>
      <c r="F2411" s="1">
        <f ca="1">IFERROR(__xludf.DUMMYFUNCTION("""COMPUTED_VALUE"""),99658974)</f>
        <v>99658974</v>
      </c>
    </row>
    <row r="2412" spans="1:6" x14ac:dyDescent="0.2">
      <c r="A2412" s="2">
        <f ca="1">IFERROR(__xludf.DUMMYFUNCTION("""COMPUTED_VALUE"""),45779.6666666666)</f>
        <v>45779.666666666599</v>
      </c>
      <c r="B2412" s="1">
        <f ca="1">IFERROR(__xludf.DUMMYFUNCTION("""COMPUTED_VALUE"""),284.9)</f>
        <v>284.89999999999998</v>
      </c>
      <c r="C2412" s="1">
        <f ca="1">IFERROR(__xludf.DUMMYFUNCTION("""COMPUTED_VALUE"""),294.78)</f>
        <v>294.77999999999997</v>
      </c>
      <c r="D2412" s="1">
        <f ca="1">IFERROR(__xludf.DUMMYFUNCTION("""COMPUTED_VALUE"""),279.81)</f>
        <v>279.81</v>
      </c>
      <c r="E2412" s="1">
        <f ca="1">IFERROR(__xludf.DUMMYFUNCTION("""COMPUTED_VALUE"""),287.21)</f>
        <v>287.20999999999998</v>
      </c>
      <c r="F2412" s="1">
        <f ca="1">IFERROR(__xludf.DUMMYFUNCTION("""COMPUTED_VALUE"""),114454683)</f>
        <v>114454683</v>
      </c>
    </row>
    <row r="2413" spans="1:6" x14ac:dyDescent="0.2">
      <c r="A2413" s="2">
        <f ca="1">IFERROR(__xludf.DUMMYFUNCTION("""COMPUTED_VALUE"""),45782.6666666666)</f>
        <v>45782.666666666599</v>
      </c>
      <c r="B2413" s="1">
        <f ca="1">IFERROR(__xludf.DUMMYFUNCTION("""COMPUTED_VALUE"""),284.57)</f>
        <v>284.57</v>
      </c>
      <c r="C2413" s="1">
        <f ca="1">IFERROR(__xludf.DUMMYFUNCTION("""COMPUTED_VALUE"""),284.85)</f>
        <v>284.85000000000002</v>
      </c>
      <c r="D2413" s="1">
        <f ca="1">IFERROR(__xludf.DUMMYFUNCTION("""COMPUTED_VALUE"""),274.4)</f>
        <v>274.39999999999998</v>
      </c>
      <c r="E2413" s="1">
        <f ca="1">IFERROR(__xludf.DUMMYFUNCTION("""COMPUTED_VALUE"""),280.26)</f>
        <v>280.26</v>
      </c>
      <c r="F2413" s="1">
        <f ca="1">IFERROR(__xludf.DUMMYFUNCTION("""COMPUTED_VALUE"""),94618882)</f>
        <v>94618882</v>
      </c>
    </row>
    <row r="2414" spans="1:6" x14ac:dyDescent="0.2">
      <c r="A2414" s="2">
        <f ca="1">IFERROR(__xludf.DUMMYFUNCTION("""COMPUTED_VALUE"""),45783.6666666666)</f>
        <v>45783.666666666599</v>
      </c>
      <c r="B2414" s="1">
        <f ca="1">IFERROR(__xludf.DUMMYFUNCTION("""COMPUTED_VALUE"""),273.11)</f>
        <v>273.11</v>
      </c>
      <c r="C2414" s="1">
        <f ca="1">IFERROR(__xludf.DUMMYFUNCTION("""COMPUTED_VALUE"""),277.73)</f>
        <v>277.73</v>
      </c>
      <c r="D2414" s="1">
        <f ca="1">IFERROR(__xludf.DUMMYFUNCTION("""COMPUTED_VALUE"""),271.35)</f>
        <v>271.35000000000002</v>
      </c>
      <c r="E2414" s="1">
        <f ca="1">IFERROR(__xludf.DUMMYFUNCTION("""COMPUTED_VALUE"""),275.35)</f>
        <v>275.35000000000002</v>
      </c>
      <c r="F2414" s="1">
        <f ca="1">IFERROR(__xludf.DUMMYFUNCTION("""COMPUTED_VALUE"""),76715792)</f>
        <v>76715792</v>
      </c>
    </row>
    <row r="2415" spans="1:6" x14ac:dyDescent="0.2">
      <c r="A2415" s="2">
        <f ca="1">IFERROR(__xludf.DUMMYFUNCTION("""COMPUTED_VALUE"""),45784.6666666666)</f>
        <v>45784.666666666599</v>
      </c>
      <c r="B2415" s="1">
        <f ca="1">IFERROR(__xludf.DUMMYFUNCTION("""COMPUTED_VALUE"""),276.88)</f>
        <v>276.88</v>
      </c>
      <c r="C2415" s="1">
        <f ca="1">IFERROR(__xludf.DUMMYFUNCTION("""COMPUTED_VALUE"""),277.92)</f>
        <v>277.92</v>
      </c>
      <c r="D2415" s="1">
        <f ca="1">IFERROR(__xludf.DUMMYFUNCTION("""COMPUTED_VALUE"""),271)</f>
        <v>271</v>
      </c>
      <c r="E2415" s="1">
        <f ca="1">IFERROR(__xludf.DUMMYFUNCTION("""COMPUTED_VALUE"""),276.22)</f>
        <v>276.22000000000003</v>
      </c>
      <c r="F2415" s="1">
        <f ca="1">IFERROR(__xludf.DUMMYFUNCTION("""COMPUTED_VALUE"""),71882408)</f>
        <v>71882408</v>
      </c>
    </row>
    <row r="2416" spans="1:6" x14ac:dyDescent="0.2">
      <c r="A2416" s="2">
        <f ca="1">IFERROR(__xludf.DUMMYFUNCTION("""COMPUTED_VALUE"""),45785.6666666666)</f>
        <v>45785.666666666599</v>
      </c>
      <c r="B2416" s="1">
        <f ca="1">IFERROR(__xludf.DUMMYFUNCTION("""COMPUTED_VALUE"""),279.63)</f>
        <v>279.63</v>
      </c>
      <c r="C2416" s="1">
        <f ca="1">IFERROR(__xludf.DUMMYFUNCTION("""COMPUTED_VALUE"""),289.8)</f>
        <v>289.8</v>
      </c>
      <c r="D2416" s="1">
        <f ca="1">IFERROR(__xludf.DUMMYFUNCTION("""COMPUTED_VALUE"""),279.41)</f>
        <v>279.41000000000003</v>
      </c>
      <c r="E2416" s="1">
        <f ca="1">IFERROR(__xludf.DUMMYFUNCTION("""COMPUTED_VALUE"""),284.82)</f>
        <v>284.82</v>
      </c>
      <c r="F2416" s="1">
        <f ca="1">IFERROR(__xludf.DUMMYFUNCTION("""COMPUTED_VALUE"""),97539448)</f>
        <v>97539448</v>
      </c>
    </row>
    <row r="2417" spans="1:6" x14ac:dyDescent="0.2">
      <c r="A2417" s="2">
        <f ca="1">IFERROR(__xludf.DUMMYFUNCTION("""COMPUTED_VALUE"""),45786.6666666666)</f>
        <v>45786.666666666599</v>
      </c>
      <c r="B2417" s="1">
        <f ca="1">IFERROR(__xludf.DUMMYFUNCTION("""COMPUTED_VALUE"""),290.21)</f>
        <v>290.20999999999998</v>
      </c>
      <c r="C2417" s="1">
        <f ca="1">IFERROR(__xludf.DUMMYFUNCTION("""COMPUTED_VALUE"""),307.04)</f>
        <v>307.04000000000002</v>
      </c>
      <c r="D2417" s="1">
        <f ca="1">IFERROR(__xludf.DUMMYFUNCTION("""COMPUTED_VALUE"""),290)</f>
        <v>290</v>
      </c>
      <c r="E2417" s="1">
        <f ca="1">IFERROR(__xludf.DUMMYFUNCTION("""COMPUTED_VALUE"""),298.26)</f>
        <v>298.26</v>
      </c>
      <c r="F2417" s="1">
        <f ca="1">IFERROR(__xludf.DUMMYFUNCTION("""COMPUTED_VALUE"""),132387835)</f>
        <v>132387835</v>
      </c>
    </row>
    <row r="2418" spans="1:6" x14ac:dyDescent="0.2">
      <c r="A2418" s="2">
        <f ca="1">IFERROR(__xludf.DUMMYFUNCTION("""COMPUTED_VALUE"""),45789.6666666666)</f>
        <v>45789.666666666599</v>
      </c>
      <c r="B2418" s="1">
        <f ca="1">IFERROR(__xludf.DUMMYFUNCTION("""COMPUTED_VALUE"""),321.99)</f>
        <v>321.99</v>
      </c>
      <c r="C2418" s="1">
        <f ca="1">IFERROR(__xludf.DUMMYFUNCTION("""COMPUTED_VALUE"""),322.21)</f>
        <v>322.20999999999998</v>
      </c>
      <c r="D2418" s="1">
        <f ca="1">IFERROR(__xludf.DUMMYFUNCTION("""COMPUTED_VALUE"""),311.5)</f>
        <v>311.5</v>
      </c>
      <c r="E2418" s="1">
        <f ca="1">IFERROR(__xludf.DUMMYFUNCTION("""COMPUTED_VALUE"""),318.38)</f>
        <v>318.38</v>
      </c>
      <c r="F2418" s="1">
        <f ca="1">IFERROR(__xludf.DUMMYFUNCTION("""COMPUTED_VALUE"""),112826661)</f>
        <v>112826661</v>
      </c>
    </row>
    <row r="2419" spans="1:6" x14ac:dyDescent="0.2">
      <c r="A2419" s="2">
        <f ca="1">IFERROR(__xludf.DUMMYFUNCTION("""COMPUTED_VALUE"""),45790.6666666666)</f>
        <v>45790.666666666599</v>
      </c>
      <c r="B2419" s="1">
        <f ca="1">IFERROR(__xludf.DUMMYFUNCTION("""COMPUTED_VALUE"""),320)</f>
        <v>320</v>
      </c>
      <c r="C2419" s="1">
        <f ca="1">IFERROR(__xludf.DUMMYFUNCTION("""COMPUTED_VALUE"""),337.59)</f>
        <v>337.59</v>
      </c>
      <c r="D2419" s="1">
        <f ca="1">IFERROR(__xludf.DUMMYFUNCTION("""COMPUTED_VALUE"""),316.8)</f>
        <v>316.8</v>
      </c>
      <c r="E2419" s="1">
        <f ca="1">IFERROR(__xludf.DUMMYFUNCTION("""COMPUTED_VALUE"""),334.07)</f>
        <v>334.07</v>
      </c>
      <c r="F2419" s="1">
        <f ca="1">IFERROR(__xludf.DUMMYFUNCTION("""COMPUTED_VALUE"""),136992574)</f>
        <v>136992574</v>
      </c>
    </row>
    <row r="2420" spans="1:6" x14ac:dyDescent="0.2">
      <c r="A2420" s="2">
        <f ca="1">IFERROR(__xludf.DUMMYFUNCTION("""COMPUTED_VALUE"""),45791.6666666666)</f>
        <v>45791.666666666599</v>
      </c>
      <c r="B2420" s="1">
        <f ca="1">IFERROR(__xludf.DUMMYFUNCTION("""COMPUTED_VALUE"""),342.5)</f>
        <v>342.5</v>
      </c>
      <c r="C2420" s="1">
        <f ca="1">IFERROR(__xludf.DUMMYFUNCTION("""COMPUTED_VALUE"""),350)</f>
        <v>350</v>
      </c>
      <c r="D2420" s="1">
        <f ca="1">IFERROR(__xludf.DUMMYFUNCTION("""COMPUTED_VALUE"""),337)</f>
        <v>337</v>
      </c>
      <c r="E2420" s="1">
        <f ca="1">IFERROR(__xludf.DUMMYFUNCTION("""COMPUTED_VALUE"""),347.68)</f>
        <v>347.68</v>
      </c>
      <c r="F2420" s="1">
        <f ca="1">IFERROR(__xludf.DUMMYFUNCTION("""COMPUTED_VALUE"""),136997264)</f>
        <v>136997264</v>
      </c>
    </row>
    <row r="2421" spans="1:6" x14ac:dyDescent="0.2">
      <c r="A2421" s="2">
        <f ca="1">IFERROR(__xludf.DUMMYFUNCTION("""COMPUTED_VALUE"""),45792.6666666666)</f>
        <v>45792.666666666599</v>
      </c>
      <c r="B2421" s="1">
        <f ca="1">IFERROR(__xludf.DUMMYFUNCTION("""COMPUTED_VALUE"""),340.34)</f>
        <v>340.34</v>
      </c>
      <c r="C2421" s="1">
        <f ca="1">IFERROR(__xludf.DUMMYFUNCTION("""COMPUTED_VALUE"""),346.14)</f>
        <v>346.14</v>
      </c>
      <c r="D2421" s="1">
        <f ca="1">IFERROR(__xludf.DUMMYFUNCTION("""COMPUTED_VALUE"""),334.72)</f>
        <v>334.72</v>
      </c>
      <c r="E2421" s="1">
        <f ca="1">IFERROR(__xludf.DUMMYFUNCTION("""COMPUTED_VALUE"""),342.82)</f>
        <v>342.82</v>
      </c>
      <c r="F2421" s="1">
        <f ca="1">IFERROR(__xludf.DUMMYFUNCTION("""COMPUTED_VALUE"""),97882596)</f>
        <v>97882596</v>
      </c>
    </row>
    <row r="2422" spans="1:6" x14ac:dyDescent="0.2">
      <c r="A2422" s="2">
        <f ca="1">IFERROR(__xludf.DUMMYFUNCTION("""COMPUTED_VALUE"""),45793.6666666666)</f>
        <v>45793.666666666599</v>
      </c>
      <c r="B2422" s="1">
        <f ca="1">IFERROR(__xludf.DUMMYFUNCTION("""COMPUTED_VALUE"""),346.24)</f>
        <v>346.24</v>
      </c>
      <c r="C2422" s="1">
        <f ca="1">IFERROR(__xludf.DUMMYFUNCTION("""COMPUTED_VALUE"""),351.62)</f>
        <v>351.62</v>
      </c>
      <c r="D2422" s="1">
        <f ca="1">IFERROR(__xludf.DUMMYFUNCTION("""COMPUTED_VALUE"""),342.33)</f>
        <v>342.33</v>
      </c>
      <c r="E2422" s="1">
        <f ca="1">IFERROR(__xludf.DUMMYFUNCTION("""COMPUTED_VALUE"""),349.98)</f>
        <v>349.98</v>
      </c>
      <c r="F2422" s="1">
        <f ca="1">IFERROR(__xludf.DUMMYFUNCTION("""COMPUTED_VALUE"""),95895665)</f>
        <v>95895665</v>
      </c>
    </row>
    <row r="2423" spans="1:6" x14ac:dyDescent="0.2">
      <c r="A2423" s="2">
        <f ca="1">IFERROR(__xludf.DUMMYFUNCTION("""COMPUTED_VALUE"""),45796.6666666666)</f>
        <v>45796.666666666599</v>
      </c>
      <c r="B2423" s="1">
        <f ca="1">IFERROR(__xludf.DUMMYFUNCTION("""COMPUTED_VALUE"""),336.3)</f>
        <v>336.3</v>
      </c>
      <c r="C2423" s="1">
        <f ca="1">IFERROR(__xludf.DUMMYFUNCTION("""COMPUTED_VALUE"""),343)</f>
        <v>343</v>
      </c>
      <c r="D2423" s="1">
        <f ca="1">IFERROR(__xludf.DUMMYFUNCTION("""COMPUTED_VALUE"""),333.37)</f>
        <v>333.37</v>
      </c>
      <c r="E2423" s="1">
        <f ca="1">IFERROR(__xludf.DUMMYFUNCTION("""COMPUTED_VALUE"""),342.09)</f>
        <v>342.09</v>
      </c>
      <c r="F2423" s="1">
        <f ca="1">IFERROR(__xludf.DUMMYFUNCTION("""COMPUTED_VALUE"""),88869853)</f>
        <v>88869853</v>
      </c>
    </row>
    <row r="2424" spans="1:6" x14ac:dyDescent="0.2">
      <c r="A2424" s="2">
        <f ca="1">IFERROR(__xludf.DUMMYFUNCTION("""COMPUTED_VALUE"""),45797.6666666666)</f>
        <v>45797.666666666599</v>
      </c>
      <c r="B2424" s="1">
        <f ca="1">IFERROR(__xludf.DUMMYFUNCTION("""COMPUTED_VALUE"""),347.87)</f>
        <v>347.87</v>
      </c>
      <c r="C2424" s="1">
        <f ca="1">IFERROR(__xludf.DUMMYFUNCTION("""COMPUTED_VALUE"""),354.99)</f>
        <v>354.99</v>
      </c>
      <c r="D2424" s="1">
        <f ca="1">IFERROR(__xludf.DUMMYFUNCTION("""COMPUTED_VALUE"""),341.63)</f>
        <v>341.63</v>
      </c>
      <c r="E2424" s="1">
        <f ca="1">IFERROR(__xludf.DUMMYFUNCTION("""COMPUTED_VALUE"""),343.82)</f>
        <v>343.82</v>
      </c>
      <c r="F2424" s="1">
        <f ca="1">IFERROR(__xludf.DUMMYFUNCTION("""COMPUTED_VALUE"""),131715548)</f>
        <v>131715548</v>
      </c>
    </row>
    <row r="2425" spans="1:6" x14ac:dyDescent="0.2">
      <c r="A2425" s="2">
        <f ca="1">IFERROR(__xludf.DUMMYFUNCTION("""COMPUTED_VALUE"""),45798.6666666666)</f>
        <v>45798.666666666599</v>
      </c>
      <c r="B2425" s="1">
        <f ca="1">IFERROR(__xludf.DUMMYFUNCTION("""COMPUTED_VALUE"""),344.43)</f>
        <v>344.43</v>
      </c>
      <c r="C2425" s="1">
        <f ca="1">IFERROR(__xludf.DUMMYFUNCTION("""COMPUTED_VALUE"""),347.35)</f>
        <v>347.35</v>
      </c>
      <c r="D2425" s="1">
        <f ca="1">IFERROR(__xludf.DUMMYFUNCTION("""COMPUTED_VALUE"""),332.2)</f>
        <v>332.2</v>
      </c>
      <c r="E2425" s="1">
        <f ca="1">IFERROR(__xludf.DUMMYFUNCTION("""COMPUTED_VALUE"""),334.62)</f>
        <v>334.62</v>
      </c>
      <c r="F2425" s="1">
        <f ca="1">IFERROR(__xludf.DUMMYFUNCTION("""COMPUTED_VALUE"""),102354844)</f>
        <v>102354844</v>
      </c>
    </row>
    <row r="2426" spans="1:6" x14ac:dyDescent="0.2">
      <c r="A2426" s="2">
        <f ca="1">IFERROR(__xludf.DUMMYFUNCTION("""COMPUTED_VALUE"""),45799.6666666666)</f>
        <v>45799.666666666599</v>
      </c>
      <c r="B2426" s="1">
        <f ca="1">IFERROR(__xludf.DUMMYFUNCTION("""COMPUTED_VALUE"""),344.43)</f>
        <v>344.43</v>
      </c>
      <c r="C2426" s="1">
        <f ca="1">IFERROR(__xludf.DUMMYFUNCTION("""COMPUTED_VALUE"""),347.35)</f>
        <v>347.35</v>
      </c>
      <c r="D2426" s="1">
        <f ca="1">IFERROR(__xludf.DUMMYFUNCTION("""COMPUTED_VALUE"""),332.2)</f>
        <v>332.2</v>
      </c>
      <c r="E2426" s="1">
        <f ca="1">IFERROR(__xludf.DUMMYFUNCTION("""COMPUTED_VALUE"""),334.62)</f>
        <v>334.62</v>
      </c>
      <c r="F2426" s="1">
        <f ca="1">IFERROR(__xludf.DUMMYFUNCTION("""COMPUTED_VALUE"""),5462213)</f>
        <v>5462213</v>
      </c>
    </row>
    <row r="2427" spans="1:6" x14ac:dyDescent="0.2">
      <c r="A2427" s="2">
        <f ca="1">IFERROR(__xludf.DUMMYFUNCTION("""COMPUTED_VALUE"""),45800.6666666666)</f>
        <v>45800.666666666599</v>
      </c>
      <c r="B2427" s="1">
        <f ca="1">IFERROR(__xludf.DUMMYFUNCTION("""COMPUTED_VALUE"""),337.92)</f>
        <v>337.92</v>
      </c>
      <c r="C2427" s="1">
        <f ca="1">IFERROR(__xludf.DUMMYFUNCTION("""COMPUTED_VALUE"""),343.18)</f>
        <v>343.18</v>
      </c>
      <c r="D2427" s="1">
        <f ca="1">IFERROR(__xludf.DUMMYFUNCTION("""COMPUTED_VALUE"""),333.21)</f>
        <v>333.21</v>
      </c>
      <c r="E2427" s="1">
        <f ca="1">IFERROR(__xludf.DUMMYFUNCTION("""COMPUTED_VALUE"""),339.34)</f>
        <v>339.34</v>
      </c>
      <c r="F2427" s="1">
        <f ca="1">IFERROR(__xludf.DUMMYFUNCTION("""COMPUTED_VALUE"""),84654818)</f>
        <v>84654818</v>
      </c>
    </row>
    <row r="2428" spans="1:6" x14ac:dyDescent="0.2">
      <c r="A2428" s="2">
        <f ca="1">IFERROR(__xludf.DUMMYFUNCTION("""COMPUTED_VALUE"""),45804.6666666666)</f>
        <v>45804.666666666599</v>
      </c>
      <c r="B2428" s="1">
        <f ca="1">IFERROR(__xludf.DUMMYFUNCTION("""COMPUTED_VALUE"""),347.35)</f>
        <v>347.35</v>
      </c>
      <c r="C2428" s="1">
        <f ca="1">IFERROR(__xludf.DUMMYFUNCTION("""COMPUTED_VALUE"""),363.79)</f>
        <v>363.79</v>
      </c>
      <c r="D2428" s="1">
        <f ca="1">IFERROR(__xludf.DUMMYFUNCTION("""COMPUTED_VALUE"""),347.32)</f>
        <v>347.32</v>
      </c>
      <c r="E2428" s="1">
        <f ca="1">IFERROR(__xludf.DUMMYFUNCTION("""COMPUTED_VALUE"""),362.89)</f>
        <v>362.89</v>
      </c>
      <c r="F2428" s="1">
        <f ca="1">IFERROR(__xludf.DUMMYFUNCTION("""COMPUTED_VALUE"""),120146414)</f>
        <v>120146414</v>
      </c>
    </row>
    <row r="2429" spans="1:6" x14ac:dyDescent="0.2">
      <c r="A2429" s="2">
        <f ca="1">IFERROR(__xludf.DUMMYFUNCTION("""COMPUTED_VALUE"""),45805.6666666666)</f>
        <v>45805.666666666599</v>
      </c>
      <c r="B2429" s="1">
        <f ca="1">IFERROR(__xludf.DUMMYFUNCTION("""COMPUTED_VALUE"""),364.84)</f>
        <v>364.84</v>
      </c>
      <c r="C2429" s="1">
        <f ca="1">IFERROR(__xludf.DUMMYFUNCTION("""COMPUTED_VALUE"""),365)</f>
        <v>365</v>
      </c>
      <c r="D2429" s="1">
        <f ca="1">IFERROR(__xludf.DUMMYFUNCTION("""COMPUTED_VALUE"""),355.91)</f>
        <v>355.91</v>
      </c>
      <c r="E2429" s="1">
        <f ca="1">IFERROR(__xludf.DUMMYFUNCTION("""COMPUTED_VALUE"""),356.9)</f>
        <v>356.9</v>
      </c>
      <c r="F2429" s="1">
        <f ca="1">IFERROR(__xludf.DUMMYFUNCTION("""COMPUTED_VALUE"""),91404309)</f>
        <v>91404309</v>
      </c>
    </row>
    <row r="2430" spans="1:6" x14ac:dyDescent="0.2">
      <c r="A2430" s="2">
        <f ca="1">IFERROR(__xludf.DUMMYFUNCTION("""COMPUTED_VALUE"""),45806.6666666666)</f>
        <v>45806.666666666599</v>
      </c>
      <c r="B2430" s="1">
        <f ca="1">IFERROR(__xludf.DUMMYFUNCTION("""COMPUTED_VALUE"""),365.29)</f>
        <v>365.29</v>
      </c>
      <c r="C2430" s="1">
        <f ca="1">IFERROR(__xludf.DUMMYFUNCTION("""COMPUTED_VALUE"""),367.71)</f>
        <v>367.71</v>
      </c>
      <c r="D2430" s="1">
        <f ca="1">IFERROR(__xludf.DUMMYFUNCTION("""COMPUTED_VALUE"""),356)</f>
        <v>356</v>
      </c>
      <c r="E2430" s="1">
        <f ca="1">IFERROR(__xludf.DUMMYFUNCTION("""COMPUTED_VALUE"""),358.43)</f>
        <v>358.43</v>
      </c>
      <c r="F2430" s="1">
        <f ca="1">IFERROR(__xludf.DUMMYFUNCTION("""COMPUTED_VALUE"""),88545666)</f>
        <v>88545666</v>
      </c>
    </row>
    <row r="2431" spans="1:6" x14ac:dyDescent="0.2">
      <c r="A2431" s="2">
        <f ca="1">IFERROR(__xludf.DUMMYFUNCTION("""COMPUTED_VALUE"""),45807.6666666666)</f>
        <v>45807.666666666599</v>
      </c>
      <c r="B2431" s="1">
        <f ca="1">IFERROR(__xludf.DUMMYFUNCTION("""COMPUTED_VALUE"""),355.52)</f>
        <v>355.52</v>
      </c>
      <c r="C2431" s="1">
        <f ca="1">IFERROR(__xludf.DUMMYFUNCTION("""COMPUTED_VALUE"""),363.68)</f>
        <v>363.68</v>
      </c>
      <c r="D2431" s="1">
        <f ca="1">IFERROR(__xludf.DUMMYFUNCTION("""COMPUTED_VALUE"""),345.29)</f>
        <v>345.29</v>
      </c>
      <c r="E2431" s="1">
        <f ca="1">IFERROR(__xludf.DUMMYFUNCTION("""COMPUTED_VALUE"""),346.46)</f>
        <v>346.46</v>
      </c>
      <c r="F2431" s="1">
        <f ca="1">IFERROR(__xludf.DUMMYFUNCTION("""COMPUTED_VALUE"""),123474938)</f>
        <v>123474938</v>
      </c>
    </row>
    <row r="2432" spans="1:6" x14ac:dyDescent="0.2">
      <c r="A2432" s="2">
        <f ca="1">IFERROR(__xludf.DUMMYFUNCTION("""COMPUTED_VALUE"""),45810.6666666666)</f>
        <v>45810.666666666599</v>
      </c>
      <c r="B2432" s="1">
        <f ca="1">IFERROR(__xludf.DUMMYFUNCTION("""COMPUTED_VALUE"""),343.5)</f>
        <v>343.5</v>
      </c>
      <c r="C2432" s="1">
        <f ca="1">IFERROR(__xludf.DUMMYFUNCTION("""COMPUTED_VALUE"""),348.02)</f>
        <v>348.02</v>
      </c>
      <c r="D2432" s="1">
        <f ca="1">IFERROR(__xludf.DUMMYFUNCTION("""COMPUTED_VALUE"""),333.33)</f>
        <v>333.33</v>
      </c>
      <c r="E2432" s="1">
        <f ca="1">IFERROR(__xludf.DUMMYFUNCTION("""COMPUTED_VALUE"""),342.69)</f>
        <v>342.69</v>
      </c>
      <c r="F2432" s="1">
        <f ca="1">IFERROR(__xludf.DUMMYFUNCTION("""COMPUTED_VALUE"""),81873829)</f>
        <v>81873829</v>
      </c>
    </row>
    <row r="2433" spans="1:6" x14ac:dyDescent="0.2">
      <c r="A2433" s="2">
        <f ca="1">IFERROR(__xludf.DUMMYFUNCTION("""COMPUTED_VALUE"""),45811.6666666666)</f>
        <v>45811.666666666599</v>
      </c>
      <c r="B2433" s="1">
        <f ca="1">IFERROR(__xludf.DUMMYFUNCTION("""COMPUTED_VALUE"""),346.6)</f>
        <v>346.6</v>
      </c>
      <c r="C2433" s="1">
        <f ca="1">IFERROR(__xludf.DUMMYFUNCTION("""COMPUTED_VALUE"""),355.4)</f>
        <v>355.4</v>
      </c>
      <c r="D2433" s="1">
        <f ca="1">IFERROR(__xludf.DUMMYFUNCTION("""COMPUTED_VALUE"""),343.04)</f>
        <v>343.04</v>
      </c>
      <c r="E2433" s="1">
        <f ca="1">IFERROR(__xludf.DUMMYFUNCTION("""COMPUTED_VALUE"""),344.27)</f>
        <v>344.27</v>
      </c>
      <c r="F2433" s="1">
        <f ca="1">IFERROR(__xludf.DUMMYFUNCTION("""COMPUTED_VALUE"""),99324544)</f>
        <v>99324544</v>
      </c>
    </row>
    <row r="2434" spans="1:6" x14ac:dyDescent="0.2">
      <c r="A2434" s="2">
        <f ca="1">IFERROR(__xludf.DUMMYFUNCTION("""COMPUTED_VALUE"""),45812.6666666666)</f>
        <v>45812.666666666599</v>
      </c>
      <c r="B2434" s="1">
        <f ca="1">IFERROR(__xludf.DUMMYFUNCTION("""COMPUTED_VALUE"""),345.1)</f>
        <v>345.1</v>
      </c>
      <c r="C2434" s="1">
        <f ca="1">IFERROR(__xludf.DUMMYFUNCTION("""COMPUTED_VALUE"""),345.6)</f>
        <v>345.6</v>
      </c>
      <c r="D2434" s="1">
        <f ca="1">IFERROR(__xludf.DUMMYFUNCTION("""COMPUTED_VALUE"""),327.33)</f>
        <v>327.33</v>
      </c>
      <c r="E2434" s="1">
        <f ca="1">IFERROR(__xludf.DUMMYFUNCTION("""COMPUTED_VALUE"""),332.05)</f>
        <v>332.05</v>
      </c>
      <c r="F2434" s="1">
        <f ca="1">IFERROR(__xludf.DUMMYFUNCTION("""COMPUTED_VALUE"""),98912075)</f>
        <v>98912075</v>
      </c>
    </row>
    <row r="2435" spans="1:6" x14ac:dyDescent="0.2">
      <c r="A2435" s="2">
        <f ca="1">IFERROR(__xludf.DUMMYFUNCTION("""COMPUTED_VALUE"""),45813.6666666666)</f>
        <v>45813.666666666599</v>
      </c>
      <c r="B2435" s="1">
        <f ca="1">IFERROR(__xludf.DUMMYFUNCTION("""COMPUTED_VALUE"""),322.49)</f>
        <v>322.49</v>
      </c>
      <c r="C2435" s="1">
        <f ca="1">IFERROR(__xludf.DUMMYFUNCTION("""COMPUTED_VALUE"""),324.55)</f>
        <v>324.55</v>
      </c>
      <c r="D2435" s="1">
        <f ca="1">IFERROR(__xludf.DUMMYFUNCTION("""COMPUTED_VALUE"""),273.21)</f>
        <v>273.20999999999998</v>
      </c>
      <c r="E2435" s="1">
        <f ca="1">IFERROR(__xludf.DUMMYFUNCTION("""COMPUTED_VALUE"""),284.7)</f>
        <v>284.7</v>
      </c>
      <c r="F2435" s="1">
        <f ca="1">IFERROR(__xludf.DUMMYFUNCTION("""COMPUTED_VALUE"""),292818655)</f>
        <v>292818655</v>
      </c>
    </row>
    <row r="2436" spans="1:6" x14ac:dyDescent="0.2">
      <c r="A2436" s="2">
        <f ca="1">IFERROR(__xludf.DUMMYFUNCTION("""COMPUTED_VALUE"""),45814.6666666666)</f>
        <v>45814.666666666599</v>
      </c>
      <c r="B2436" s="1">
        <f ca="1">IFERROR(__xludf.DUMMYFUNCTION("""COMPUTED_VALUE"""),298.83)</f>
        <v>298.83</v>
      </c>
      <c r="C2436" s="1">
        <f ca="1">IFERROR(__xludf.DUMMYFUNCTION("""COMPUTED_VALUE"""),305.5)</f>
        <v>305.5</v>
      </c>
      <c r="D2436" s="1">
        <f ca="1">IFERROR(__xludf.DUMMYFUNCTION("""COMPUTED_VALUE"""),291.14)</f>
        <v>291.14</v>
      </c>
      <c r="E2436" s="1">
        <f ca="1">IFERROR(__xludf.DUMMYFUNCTION("""COMPUTED_VALUE"""),295.14)</f>
        <v>295.14</v>
      </c>
      <c r="F2436" s="1">
        <f ca="1">IFERROR(__xludf.DUMMYFUNCTION("""COMPUTED_VALUE"""),164747685)</f>
        <v>164747685</v>
      </c>
    </row>
    <row r="2437" spans="1:6" x14ac:dyDescent="0.2">
      <c r="A2437" s="2">
        <f ca="1">IFERROR(__xludf.DUMMYFUNCTION("""COMPUTED_VALUE"""),45817.6666666666)</f>
        <v>45817.666666666599</v>
      </c>
      <c r="B2437" s="1">
        <f ca="1">IFERROR(__xludf.DUMMYFUNCTION("""COMPUTED_VALUE"""),285.96)</f>
        <v>285.95999999999998</v>
      </c>
      <c r="C2437" s="1">
        <f ca="1">IFERROR(__xludf.DUMMYFUNCTION("""COMPUTED_VALUE"""),309.83)</f>
        <v>309.83</v>
      </c>
      <c r="D2437" s="1">
        <f ca="1">IFERROR(__xludf.DUMMYFUNCTION("""COMPUTED_VALUE"""),281.85)</f>
        <v>281.85000000000002</v>
      </c>
      <c r="E2437" s="1">
        <f ca="1">IFERROR(__xludf.DUMMYFUNCTION("""COMPUTED_VALUE"""),308.58)</f>
        <v>308.58</v>
      </c>
      <c r="F2437" s="1">
        <f ca="1">IFERROR(__xludf.DUMMYFUNCTION("""COMPUTED_VALUE"""),140908876)</f>
        <v>140908876</v>
      </c>
    </row>
    <row r="2438" spans="1:6" x14ac:dyDescent="0.2">
      <c r="A2438" s="2">
        <f ca="1">IFERROR(__xludf.DUMMYFUNCTION("""COMPUTED_VALUE"""),45818.6666666666)</f>
        <v>45818.666666666599</v>
      </c>
      <c r="B2438" s="1">
        <f ca="1">IFERROR(__xludf.DUMMYFUNCTION("""COMPUTED_VALUE"""),314.94)</f>
        <v>314.94</v>
      </c>
      <c r="C2438" s="1">
        <f ca="1">IFERROR(__xludf.DUMMYFUNCTION("""COMPUTED_VALUE"""),327.83)</f>
        <v>327.83</v>
      </c>
      <c r="D2438" s="1">
        <f ca="1">IFERROR(__xludf.DUMMYFUNCTION("""COMPUTED_VALUE"""),310.67)</f>
        <v>310.67</v>
      </c>
      <c r="E2438" s="1">
        <f ca="1">IFERROR(__xludf.DUMMYFUNCTION("""COMPUTED_VALUE"""),326.09)</f>
        <v>326.08999999999997</v>
      </c>
      <c r="F2438" s="1">
        <f ca="1">IFERROR(__xludf.DUMMYFUNCTION("""COMPUTED_VALUE"""),151256520)</f>
        <v>151256520</v>
      </c>
    </row>
    <row r="2439" spans="1:6" x14ac:dyDescent="0.2">
      <c r="A2439" s="2">
        <f ca="1">IFERROR(__xludf.DUMMYFUNCTION("""COMPUTED_VALUE"""),45819.6666666666)</f>
        <v>45819.666666666599</v>
      </c>
      <c r="B2439" s="1">
        <f ca="1">IFERROR(__xludf.DUMMYFUNCTION("""COMPUTED_VALUE"""),334.4)</f>
        <v>334.4</v>
      </c>
      <c r="C2439" s="1">
        <f ca="1">IFERROR(__xludf.DUMMYFUNCTION("""COMPUTED_VALUE"""),335.5)</f>
        <v>335.5</v>
      </c>
      <c r="D2439" s="1">
        <f ca="1">IFERROR(__xludf.DUMMYFUNCTION("""COMPUTED_VALUE"""),322.5)</f>
        <v>322.5</v>
      </c>
      <c r="E2439" s="1">
        <f ca="1">IFERROR(__xludf.DUMMYFUNCTION("""COMPUTED_VALUE"""),326.43)</f>
        <v>326.43</v>
      </c>
      <c r="F2439" s="1">
        <f ca="1">IFERROR(__xludf.DUMMYFUNCTION("""COMPUTED_VALUE"""),122611360)</f>
        <v>122611360</v>
      </c>
    </row>
    <row r="2440" spans="1:6" x14ac:dyDescent="0.2">
      <c r="A2440" s="2">
        <f ca="1">IFERROR(__xludf.DUMMYFUNCTION("""COMPUTED_VALUE"""),45820.6666666666)</f>
        <v>45820.666666666599</v>
      </c>
      <c r="B2440" s="1">
        <f ca="1">IFERROR(__xludf.DUMMYFUNCTION("""COMPUTED_VALUE"""),323.08)</f>
        <v>323.08</v>
      </c>
      <c r="C2440" s="1">
        <f ca="1">IFERROR(__xludf.DUMMYFUNCTION("""COMPUTED_VALUE"""),332.56)</f>
        <v>332.56</v>
      </c>
      <c r="D2440" s="1">
        <f ca="1">IFERROR(__xludf.DUMMYFUNCTION("""COMPUTED_VALUE"""),316.86)</f>
        <v>316.86</v>
      </c>
      <c r="E2440" s="1">
        <f ca="1">IFERROR(__xludf.DUMMYFUNCTION("""COMPUTED_VALUE"""),319.11)</f>
        <v>319.11</v>
      </c>
      <c r="F2440" s="1">
        <f ca="1">IFERROR(__xludf.DUMMYFUNCTION("""COMPUTED_VALUE"""),105127536)</f>
        <v>105127536</v>
      </c>
    </row>
    <row r="2441" spans="1:6" x14ac:dyDescent="0.2">
      <c r="A2441" s="2">
        <f ca="1">IFERROR(__xludf.DUMMYFUNCTION("""COMPUTED_VALUE"""),45821.6666666666)</f>
        <v>45821.666666666599</v>
      </c>
      <c r="B2441" s="1">
        <f ca="1">IFERROR(__xludf.DUMMYFUNCTION("""COMPUTED_VALUE"""),313.97)</f>
        <v>313.97000000000003</v>
      </c>
      <c r="C2441" s="1">
        <f ca="1">IFERROR(__xludf.DUMMYFUNCTION("""COMPUTED_VALUE"""),332.99)</f>
        <v>332.99</v>
      </c>
      <c r="D2441" s="1">
        <f ca="1">IFERROR(__xludf.DUMMYFUNCTION("""COMPUTED_VALUE"""),313.3)</f>
        <v>313.3</v>
      </c>
      <c r="E2441" s="1">
        <f ca="1">IFERROR(__xludf.DUMMYFUNCTION("""COMPUTED_VALUE"""),325.31)</f>
        <v>325.31</v>
      </c>
      <c r="F2441" s="1">
        <f ca="1">IFERROR(__xludf.DUMMYFUNCTION("""COMPUTED_VALUE"""),128964279)</f>
        <v>128964279</v>
      </c>
    </row>
    <row r="2442" spans="1:6" x14ac:dyDescent="0.2">
      <c r="A2442" s="2">
        <f ca="1">IFERROR(__xludf.DUMMYFUNCTION("""COMPUTED_VALUE"""),45824.6666666666)</f>
        <v>45824.666666666599</v>
      </c>
      <c r="B2442" s="1">
        <f ca="1">IFERROR(__xludf.DUMMYFUNCTION("""COMPUTED_VALUE"""),331.29)</f>
        <v>331.29</v>
      </c>
      <c r="C2442" s="1">
        <f ca="1">IFERROR(__xludf.DUMMYFUNCTION("""COMPUTED_VALUE"""),332.05)</f>
        <v>332.05</v>
      </c>
      <c r="D2442" s="1">
        <f ca="1">IFERROR(__xludf.DUMMYFUNCTION("""COMPUTED_VALUE"""),326.41)</f>
        <v>326.41000000000003</v>
      </c>
      <c r="E2442" s="1">
        <f ca="1">IFERROR(__xludf.DUMMYFUNCTION("""COMPUTED_VALUE"""),329.13)</f>
        <v>329.13</v>
      </c>
      <c r="F2442" s="1">
        <f ca="1">IFERROR(__xludf.DUMMYFUNCTION("""COMPUTED_VALUE"""),83925858)</f>
        <v>83925858</v>
      </c>
    </row>
    <row r="2443" spans="1:6" x14ac:dyDescent="0.2">
      <c r="A2443" s="2">
        <f ca="1">IFERROR(__xludf.DUMMYFUNCTION("""COMPUTED_VALUE"""),45825.6666666666)</f>
        <v>45825.666666666599</v>
      </c>
      <c r="B2443" s="1">
        <f ca="1">IFERROR(__xludf.DUMMYFUNCTION("""COMPUTED_VALUE"""),326.09)</f>
        <v>326.08999999999997</v>
      </c>
      <c r="C2443" s="1">
        <f ca="1">IFERROR(__xludf.DUMMYFUNCTION("""COMPUTED_VALUE"""),327.26)</f>
        <v>327.26</v>
      </c>
      <c r="D2443" s="1">
        <f ca="1">IFERROR(__xludf.DUMMYFUNCTION("""COMPUTED_VALUE"""),314.74)</f>
        <v>314.74</v>
      </c>
      <c r="E2443" s="1">
        <f ca="1">IFERROR(__xludf.DUMMYFUNCTION("""COMPUTED_VALUE"""),316.35)</f>
        <v>316.35000000000002</v>
      </c>
      <c r="F2443" s="1">
        <f ca="1">IFERROR(__xludf.DUMMYFUNCTION("""COMPUTED_VALUE"""),88282669)</f>
        <v>88282669</v>
      </c>
    </row>
    <row r="2444" spans="1:6" x14ac:dyDescent="0.2">
      <c r="A2444" s="2">
        <f ca="1">IFERROR(__xludf.DUMMYFUNCTION("""COMPUTED_VALUE"""),45826.6666666666)</f>
        <v>45826.666666666599</v>
      </c>
      <c r="B2444" s="1">
        <f ca="1">IFERROR(__xludf.DUMMYFUNCTION("""COMPUTED_VALUE"""),317.31)</f>
        <v>317.31</v>
      </c>
      <c r="C2444" s="1">
        <f ca="1">IFERROR(__xludf.DUMMYFUNCTION("""COMPUTED_VALUE"""),329.32)</f>
        <v>329.32</v>
      </c>
      <c r="D2444" s="1">
        <f ca="1">IFERROR(__xludf.DUMMYFUNCTION("""COMPUTED_VALUE"""),315.45)</f>
        <v>315.45</v>
      </c>
      <c r="E2444" s="1">
        <f ca="1">IFERROR(__xludf.DUMMYFUNCTION("""COMPUTED_VALUE"""),322.05)</f>
        <v>322.05</v>
      </c>
      <c r="F2444" s="1">
        <f ca="1">IFERROR(__xludf.DUMMYFUNCTION("""COMPUTED_VALUE"""),95137686)</f>
        <v>95137686</v>
      </c>
    </row>
    <row r="2445" spans="1:6" x14ac:dyDescent="0.2">
      <c r="A2445" s="2">
        <f ca="1">IFERROR(__xludf.DUMMYFUNCTION("""COMPUTED_VALUE"""),45828.6666666666)</f>
        <v>45828.666666666599</v>
      </c>
      <c r="B2445" s="1">
        <f ca="1">IFERROR(__xludf.DUMMYFUNCTION("""COMPUTED_VALUE"""),327.95)</f>
        <v>327.95</v>
      </c>
      <c r="C2445" s="1">
        <f ca="1">IFERROR(__xludf.DUMMYFUNCTION("""COMPUTED_VALUE"""),332.36)</f>
        <v>332.36</v>
      </c>
      <c r="D2445" s="1">
        <f ca="1">IFERROR(__xludf.DUMMYFUNCTION("""COMPUTED_VALUE"""),317.78)</f>
        <v>317.77999999999997</v>
      </c>
      <c r="E2445" s="1">
        <f ca="1">IFERROR(__xludf.DUMMYFUNCTION("""COMPUTED_VALUE"""),322.16)</f>
        <v>322.16000000000003</v>
      </c>
      <c r="F2445" s="1">
        <f ca="1">IFERROR(__xludf.DUMMYFUNCTION("""COMPUTED_VALUE"""),108688008)</f>
        <v>108688008</v>
      </c>
    </row>
    <row r="2446" spans="1:6" x14ac:dyDescent="0.2">
      <c r="A2446" s="2">
        <f ca="1">IFERROR(__xludf.DUMMYFUNCTION("""COMPUTED_VALUE"""),45831.6666666666)</f>
        <v>45831.666666666599</v>
      </c>
      <c r="B2446" s="1">
        <f ca="1">IFERROR(__xludf.DUMMYFUNCTION("""COMPUTED_VALUE"""),327.54)</f>
        <v>327.54000000000002</v>
      </c>
      <c r="C2446" s="1">
        <f ca="1">IFERROR(__xludf.DUMMYFUNCTION("""COMPUTED_VALUE"""),357.54)</f>
        <v>357.54</v>
      </c>
      <c r="D2446" s="1">
        <f ca="1">IFERROR(__xludf.DUMMYFUNCTION("""COMPUTED_VALUE"""),327.48)</f>
        <v>327.48</v>
      </c>
      <c r="E2446" s="1">
        <f ca="1">IFERROR(__xludf.DUMMYFUNCTION("""COMPUTED_VALUE"""),348.68)</f>
        <v>348.68</v>
      </c>
      <c r="F2446" s="1">
        <f ca="1">IFERROR(__xludf.DUMMYFUNCTION("""COMPUTED_VALUE"""),190716815)</f>
        <v>190716815</v>
      </c>
    </row>
    <row r="2447" spans="1:6" x14ac:dyDescent="0.2">
      <c r="A2447" s="2">
        <f ca="1">IFERROR(__xludf.DUMMYFUNCTION("""COMPUTED_VALUE"""),45832.6666666666)</f>
        <v>45832.666666666599</v>
      </c>
      <c r="B2447" s="1">
        <f ca="1">IFERROR(__xludf.DUMMYFUNCTION("""COMPUTED_VALUE"""),356.17)</f>
        <v>356.17</v>
      </c>
      <c r="C2447" s="1">
        <f ca="1">IFERROR(__xludf.DUMMYFUNCTION("""COMPUTED_VALUE"""),356.26)</f>
        <v>356.26</v>
      </c>
      <c r="D2447" s="1">
        <f ca="1">IFERROR(__xludf.DUMMYFUNCTION("""COMPUTED_VALUE"""),340.44)</f>
        <v>340.44</v>
      </c>
      <c r="E2447" s="1">
        <f ca="1">IFERROR(__xludf.DUMMYFUNCTION("""COMPUTED_VALUE"""),340.47)</f>
        <v>340.47</v>
      </c>
      <c r="F2447" s="1">
        <f ca="1">IFERROR(__xludf.DUMMYFUNCTION("""COMPUTED_VALUE"""),114736245)</f>
        <v>114736245</v>
      </c>
    </row>
    <row r="2448" spans="1:6" x14ac:dyDescent="0.2">
      <c r="A2448" s="2">
        <f ca="1">IFERROR(__xludf.DUMMYFUNCTION("""COMPUTED_VALUE"""),45833.6666666666)</f>
        <v>45833.666666666599</v>
      </c>
      <c r="B2448" s="1">
        <f ca="1">IFERROR(__xludf.DUMMYFUNCTION("""COMPUTED_VALUE"""),342.7)</f>
        <v>342.7</v>
      </c>
      <c r="C2448" s="1">
        <f ca="1">IFERROR(__xludf.DUMMYFUNCTION("""COMPUTED_VALUE"""),343)</f>
        <v>343</v>
      </c>
      <c r="D2448" s="1">
        <f ca="1">IFERROR(__xludf.DUMMYFUNCTION("""COMPUTED_VALUE"""),320.4)</f>
        <v>320.39999999999998</v>
      </c>
      <c r="E2448" s="1">
        <f ca="1">IFERROR(__xludf.DUMMYFUNCTION("""COMPUTED_VALUE"""),327.55)</f>
        <v>327.55</v>
      </c>
      <c r="F2448" s="1">
        <f ca="1">IFERROR(__xludf.DUMMYFUNCTION("""COMPUTED_VALUE"""),119845050)</f>
        <v>119845050</v>
      </c>
    </row>
    <row r="2449" spans="1:6" x14ac:dyDescent="0.2">
      <c r="A2449" s="2">
        <f ca="1">IFERROR(__xludf.DUMMYFUNCTION("""COMPUTED_VALUE"""),45834.6666666666)</f>
        <v>45834.666666666599</v>
      </c>
      <c r="B2449" s="1">
        <f ca="1">IFERROR(__xludf.DUMMYFUNCTION("""COMPUTED_VALUE"""),324.61)</f>
        <v>324.61</v>
      </c>
      <c r="C2449" s="1">
        <f ca="1">IFERROR(__xludf.DUMMYFUNCTION("""COMPUTED_VALUE"""),331.05)</f>
        <v>331.05</v>
      </c>
      <c r="D2449" s="1">
        <f ca="1">IFERROR(__xludf.DUMMYFUNCTION("""COMPUTED_VALUE"""),323.61)</f>
        <v>323.61</v>
      </c>
      <c r="E2449" s="1">
        <f ca="1">IFERROR(__xludf.DUMMYFUNCTION("""COMPUTED_VALUE"""),325.78)</f>
        <v>325.77999999999997</v>
      </c>
      <c r="F2449" s="1">
        <f ca="1">IFERROR(__xludf.DUMMYFUNCTION("""COMPUTED_VALUE"""),80440907)</f>
        <v>80440907</v>
      </c>
    </row>
    <row r="2450" spans="1:6" x14ac:dyDescent="0.2">
      <c r="A2450" s="2">
        <f ca="1">IFERROR(__xludf.DUMMYFUNCTION("""COMPUTED_VALUE"""),45835.6666666666)</f>
        <v>45835.666666666599</v>
      </c>
      <c r="B2450" s="1">
        <f ca="1">IFERROR(__xludf.DUMMYFUNCTION("""COMPUTED_VALUE"""),324.51)</f>
        <v>324.51</v>
      </c>
      <c r="C2450" s="1">
        <f ca="1">IFERROR(__xludf.DUMMYFUNCTION("""COMPUTED_VALUE"""),329.34)</f>
        <v>329.34</v>
      </c>
      <c r="D2450" s="1">
        <f ca="1">IFERROR(__xludf.DUMMYFUNCTION("""COMPUTED_VALUE"""),317.5)</f>
        <v>317.5</v>
      </c>
      <c r="E2450" s="1">
        <f ca="1">IFERROR(__xludf.DUMMYFUNCTION("""COMPUTED_VALUE"""),323.63)</f>
        <v>323.63</v>
      </c>
      <c r="F2450" s="1">
        <f ca="1">IFERROR(__xludf.DUMMYFUNCTION("""COMPUTED_VALUE"""),89067049)</f>
        <v>89067049</v>
      </c>
    </row>
    <row r="2451" spans="1:6" x14ac:dyDescent="0.2">
      <c r="A2451" s="2">
        <f ca="1">IFERROR(__xludf.DUMMYFUNCTION("""COMPUTED_VALUE"""),45838.6666666666)</f>
        <v>45838.666666666599</v>
      </c>
      <c r="B2451" s="1">
        <f ca="1">IFERROR(__xludf.DUMMYFUNCTION("""COMPUTED_VALUE"""),319.9)</f>
        <v>319.89999999999998</v>
      </c>
      <c r="C2451" s="1">
        <f ca="1">IFERROR(__xludf.DUMMYFUNCTION("""COMPUTED_VALUE"""),325.58)</f>
        <v>325.58</v>
      </c>
      <c r="D2451" s="1">
        <f ca="1">IFERROR(__xludf.DUMMYFUNCTION("""COMPUTED_VALUE"""),316.6)</f>
        <v>316.60000000000002</v>
      </c>
      <c r="E2451" s="1">
        <f ca="1">IFERROR(__xludf.DUMMYFUNCTION("""COMPUTED_VALUE"""),317.66)</f>
        <v>317.66000000000003</v>
      </c>
      <c r="F2451" s="1">
        <f ca="1">IFERROR(__xludf.DUMMYFUNCTION("""COMPUTED_VALUE"""),76695081)</f>
        <v>76695081</v>
      </c>
    </row>
    <row r="2452" spans="1:6" x14ac:dyDescent="0.2">
      <c r="A2452" s="2">
        <f ca="1">IFERROR(__xludf.DUMMYFUNCTION("""COMPUTED_VALUE"""),45839.6666666666)</f>
        <v>45839.666666666599</v>
      </c>
      <c r="B2452" s="1">
        <f ca="1">IFERROR(__xludf.DUMMYFUNCTION("""COMPUTED_VALUE"""),298.46)</f>
        <v>298.45999999999998</v>
      </c>
      <c r="C2452" s="1">
        <f ca="1">IFERROR(__xludf.DUMMYFUNCTION("""COMPUTED_VALUE"""),305.89)</f>
        <v>305.89</v>
      </c>
      <c r="D2452" s="1">
        <f ca="1">IFERROR(__xludf.DUMMYFUNCTION("""COMPUTED_VALUE"""),293.21)</f>
        <v>293.20999999999998</v>
      </c>
      <c r="E2452" s="1">
        <f ca="1">IFERROR(__xludf.DUMMYFUNCTION("""COMPUTED_VALUE"""),300.71)</f>
        <v>300.70999999999998</v>
      </c>
      <c r="F2452" s="1">
        <f ca="1">IFERROR(__xludf.DUMMYFUNCTION("""COMPUTED_VALUE"""),145085665)</f>
        <v>145085665</v>
      </c>
    </row>
    <row r="2453" spans="1:6" x14ac:dyDescent="0.2">
      <c r="A2453" s="2">
        <f ca="1">IFERROR(__xludf.DUMMYFUNCTION("""COMPUTED_VALUE"""),45840.6666666666)</f>
        <v>45840.666666666599</v>
      </c>
      <c r="B2453" s="1">
        <f ca="1">IFERROR(__xludf.DUMMYFUNCTION("""COMPUTED_VALUE"""),312.63)</f>
        <v>312.63</v>
      </c>
      <c r="C2453" s="1">
        <f ca="1">IFERROR(__xludf.DUMMYFUNCTION("""COMPUTED_VALUE"""),316.83)</f>
        <v>316.83</v>
      </c>
      <c r="D2453" s="1">
        <f ca="1">IFERROR(__xludf.DUMMYFUNCTION("""COMPUTED_VALUE"""),303.82)</f>
        <v>303.82</v>
      </c>
      <c r="E2453" s="1">
        <f ca="1">IFERROR(__xludf.DUMMYFUNCTION("""COMPUTED_VALUE"""),315.65)</f>
        <v>315.64999999999998</v>
      </c>
      <c r="F2453" s="1">
        <f ca="1">IFERROR(__xludf.DUMMYFUNCTION("""COMPUTED_VALUE"""),119483730)</f>
        <v>119483730</v>
      </c>
    </row>
    <row r="2454" spans="1:6" x14ac:dyDescent="0.2">
      <c r="A2454" s="2">
        <f ca="1">IFERROR(__xludf.DUMMYFUNCTION("""COMPUTED_VALUE"""),45841.5451388888)</f>
        <v>45841.545138888803</v>
      </c>
      <c r="B2454" s="1">
        <f ca="1">IFERROR(__xludf.DUMMYFUNCTION("""COMPUTED_VALUE"""),317.99)</f>
        <v>317.99</v>
      </c>
      <c r="C2454" s="1">
        <f ca="1">IFERROR(__xludf.DUMMYFUNCTION("""COMPUTED_VALUE"""),318.45)</f>
        <v>318.45</v>
      </c>
      <c r="D2454" s="1">
        <f ca="1">IFERROR(__xludf.DUMMYFUNCTION("""COMPUTED_VALUE"""),312.76)</f>
        <v>312.76</v>
      </c>
      <c r="E2454" s="1">
        <f ca="1">IFERROR(__xludf.DUMMYFUNCTION("""COMPUTED_VALUE"""),315.35)</f>
        <v>315.35000000000002</v>
      </c>
      <c r="F2454" s="1">
        <f ca="1">IFERROR(__xludf.DUMMYFUNCTION("""COMPUTED_VALUE"""),58042302)</f>
        <v>58042302</v>
      </c>
    </row>
    <row r="2455" spans="1:6" x14ac:dyDescent="0.2">
      <c r="A2455" s="2">
        <f ca="1">IFERROR(__xludf.DUMMYFUNCTION("""COMPUTED_VALUE"""),45845.6666666666)</f>
        <v>45845.666666666599</v>
      </c>
      <c r="B2455" s="1">
        <f ca="1">IFERROR(__xludf.DUMMYFUNCTION("""COMPUTED_VALUE"""),291.37)</f>
        <v>291.37</v>
      </c>
      <c r="C2455" s="1">
        <f ca="1">IFERROR(__xludf.DUMMYFUNCTION("""COMPUTED_VALUE"""),296.15)</f>
        <v>296.14999999999998</v>
      </c>
      <c r="D2455" s="1">
        <f ca="1">IFERROR(__xludf.DUMMYFUNCTION("""COMPUTED_VALUE"""),288.77)</f>
        <v>288.77</v>
      </c>
      <c r="E2455" s="1">
        <f ca="1">IFERROR(__xludf.DUMMYFUNCTION("""COMPUTED_VALUE"""),293.94)</f>
        <v>293.94</v>
      </c>
      <c r="F2455" s="1">
        <f ca="1">IFERROR(__xludf.DUMMYFUNCTION("""COMPUTED_VALUE"""),131177949)</f>
        <v>131177949</v>
      </c>
    </row>
    <row r="2456" spans="1:6" x14ac:dyDescent="0.2">
      <c r="A2456" s="2">
        <f ca="1">IFERROR(__xludf.DUMMYFUNCTION("""COMPUTED_VALUE"""),45846.6666666666)</f>
        <v>45846.666666666599</v>
      </c>
      <c r="B2456" s="1">
        <f ca="1">IFERROR(__xludf.DUMMYFUNCTION("""COMPUTED_VALUE"""),297)</f>
        <v>297</v>
      </c>
      <c r="C2456" s="1">
        <f ca="1">IFERROR(__xludf.DUMMYFUNCTION("""COMPUTED_VALUE"""),304.05)</f>
        <v>304.05</v>
      </c>
      <c r="D2456" s="1">
        <f ca="1">IFERROR(__xludf.DUMMYFUNCTION("""COMPUTED_VALUE"""),294.35)</f>
        <v>294.35000000000002</v>
      </c>
      <c r="E2456" s="1">
        <f ca="1">IFERROR(__xludf.DUMMYFUNCTION("""COMPUTED_VALUE"""),297.81)</f>
        <v>297.81</v>
      </c>
      <c r="F2456" s="1">
        <f ca="1">IFERROR(__xludf.DUMMYFUNCTION("""COMPUTED_VALUE"""),103246742)</f>
        <v>103246742</v>
      </c>
    </row>
    <row r="2457" spans="1:6" x14ac:dyDescent="0.2">
      <c r="A2457" s="2">
        <f ca="1">IFERROR(__xludf.DUMMYFUNCTION("""COMPUTED_VALUE"""),45847.6666666666)</f>
        <v>45847.666666666599</v>
      </c>
      <c r="B2457" s="1">
        <f ca="1">IFERROR(__xludf.DUMMYFUNCTION("""COMPUTED_VALUE"""),297.55)</f>
        <v>297.55</v>
      </c>
      <c r="C2457" s="1">
        <f ca="1">IFERROR(__xludf.DUMMYFUNCTION("""COMPUTED_VALUE"""),300.15)</f>
        <v>300.14999999999998</v>
      </c>
      <c r="D2457" s="1">
        <f ca="1">IFERROR(__xludf.DUMMYFUNCTION("""COMPUTED_VALUE"""),293.55)</f>
        <v>293.55</v>
      </c>
      <c r="E2457" s="1">
        <f ca="1">IFERROR(__xludf.DUMMYFUNCTION("""COMPUTED_VALUE"""),295.88)</f>
        <v>295.88</v>
      </c>
      <c r="F2457" s="1">
        <f ca="1">IFERROR(__xludf.DUMMYFUNCTION("""COMPUTED_VALUE"""),75586771)</f>
        <v>75586771</v>
      </c>
    </row>
    <row r="2458" spans="1:6" x14ac:dyDescent="0.2">
      <c r="A2458" s="2">
        <f ca="1">IFERROR(__xludf.DUMMYFUNCTION("""COMPUTED_VALUE"""),45848.6666666666)</f>
        <v>45848.666666666599</v>
      </c>
      <c r="B2458" s="1">
        <f ca="1">IFERROR(__xludf.DUMMYFUNCTION("""COMPUTED_VALUE"""),300.05)</f>
        <v>300.05</v>
      </c>
      <c r="C2458" s="1">
        <f ca="1">IFERROR(__xludf.DUMMYFUNCTION("""COMPUTED_VALUE"""),310.48)</f>
        <v>310.48</v>
      </c>
      <c r="D2458" s="1">
        <f ca="1">IFERROR(__xludf.DUMMYFUNCTION("""COMPUTED_VALUE"""),300)</f>
        <v>300</v>
      </c>
      <c r="E2458" s="1">
        <f ca="1">IFERROR(__xludf.DUMMYFUNCTION("""COMPUTED_VALUE"""),309.87)</f>
        <v>309.87</v>
      </c>
      <c r="F2458" s="1">
        <f ca="1">IFERROR(__xludf.DUMMYFUNCTION("""COMPUTED_VALUE"""),104365271)</f>
        <v>104365271</v>
      </c>
    </row>
    <row r="2459" spans="1:6" x14ac:dyDescent="0.2">
      <c r="A2459" s="2">
        <f ca="1">IFERROR(__xludf.DUMMYFUNCTION("""COMPUTED_VALUE"""),45849.6666666666)</f>
        <v>45849.666666666599</v>
      </c>
      <c r="B2459" s="1">
        <f ca="1">IFERROR(__xludf.DUMMYFUNCTION("""COMPUTED_VALUE"""),307.89)</f>
        <v>307.89</v>
      </c>
      <c r="C2459" s="1">
        <f ca="1">IFERROR(__xludf.DUMMYFUNCTION("""COMPUTED_VALUE"""),314.09)</f>
        <v>314.08999999999997</v>
      </c>
      <c r="D2459" s="1">
        <f ca="1">IFERROR(__xludf.DUMMYFUNCTION("""COMPUTED_VALUE"""),305.65)</f>
        <v>305.64999999999998</v>
      </c>
      <c r="E2459" s="1">
        <f ca="1">IFERROR(__xludf.DUMMYFUNCTION("""COMPUTED_VALUE"""),313.51)</f>
        <v>313.51</v>
      </c>
      <c r="F2459" s="1">
        <f ca="1">IFERROR(__xludf.DUMMYFUNCTION("""COMPUTED_VALUE"""),79236442)</f>
        <v>79236442</v>
      </c>
    </row>
    <row r="2460" spans="1:6" x14ac:dyDescent="0.2">
      <c r="A2460" s="2">
        <f ca="1">IFERROR(__xludf.DUMMYFUNCTION("""COMPUTED_VALUE"""),45852.6666666666)</f>
        <v>45852.666666666599</v>
      </c>
      <c r="B2460" s="1">
        <f ca="1">IFERROR(__xludf.DUMMYFUNCTION("""COMPUTED_VALUE"""),317.73)</f>
        <v>317.73</v>
      </c>
      <c r="C2460" s="1">
        <f ca="1">IFERROR(__xludf.DUMMYFUNCTION("""COMPUTED_VALUE"""),322.6)</f>
        <v>322.60000000000002</v>
      </c>
      <c r="D2460" s="1">
        <f ca="1">IFERROR(__xludf.DUMMYFUNCTION("""COMPUTED_VALUE"""),312.67)</f>
        <v>312.67</v>
      </c>
      <c r="E2460" s="1">
        <f ca="1">IFERROR(__xludf.DUMMYFUNCTION("""COMPUTED_VALUE"""),316.9)</f>
        <v>316.89999999999998</v>
      </c>
      <c r="F2460" s="1">
        <f ca="1">IFERROR(__xludf.DUMMYFUNCTION("""COMPUTED_VALUE"""),78043430)</f>
        <v>78043430</v>
      </c>
    </row>
    <row r="2461" spans="1:6" x14ac:dyDescent="0.2">
      <c r="A2461" s="2">
        <f ca="1">IFERROR(__xludf.DUMMYFUNCTION("""COMPUTED_VALUE"""),45853.6666666666)</f>
        <v>45853.666666666599</v>
      </c>
      <c r="B2461" s="1">
        <f ca="1">IFERROR(__xludf.DUMMYFUNCTION("""COMPUTED_VALUE"""),319.68)</f>
        <v>319.68</v>
      </c>
      <c r="C2461" s="1">
        <f ca="1">IFERROR(__xludf.DUMMYFUNCTION("""COMPUTED_VALUE"""),321.2)</f>
        <v>321.2</v>
      </c>
      <c r="D2461" s="1">
        <f ca="1">IFERROR(__xludf.DUMMYFUNCTION("""COMPUTED_VALUE"""),310.5)</f>
        <v>310.5</v>
      </c>
      <c r="E2461" s="1">
        <f ca="1">IFERROR(__xludf.DUMMYFUNCTION("""COMPUTED_VALUE"""),310.78)</f>
        <v>310.77999999999997</v>
      </c>
      <c r="F2461" s="1">
        <f ca="1">IFERROR(__xludf.DUMMYFUNCTION("""COMPUTED_VALUE"""),77556346)</f>
        <v>77556346</v>
      </c>
    </row>
    <row r="2462" spans="1:6" x14ac:dyDescent="0.2">
      <c r="A2462" s="2">
        <f ca="1">IFERROR(__xludf.DUMMYFUNCTION("""COMPUTED_VALUE"""),45854.6666666666)</f>
        <v>45854.666666666599</v>
      </c>
      <c r="B2462" s="1">
        <f ca="1">IFERROR(__xludf.DUMMYFUNCTION("""COMPUTED_VALUE"""),312.8)</f>
        <v>312.8</v>
      </c>
      <c r="C2462" s="1">
        <f ca="1">IFERROR(__xludf.DUMMYFUNCTION("""COMPUTED_VALUE"""),323.5)</f>
        <v>323.5</v>
      </c>
      <c r="D2462" s="1">
        <f ca="1">IFERROR(__xludf.DUMMYFUNCTION("""COMPUTED_VALUE"""),312.62)</f>
        <v>312.62</v>
      </c>
      <c r="E2462" s="1">
        <f ca="1">IFERROR(__xludf.DUMMYFUNCTION("""COMPUTED_VALUE"""),321.67)</f>
        <v>321.67</v>
      </c>
      <c r="F2462" s="1">
        <f ca="1">IFERROR(__xludf.DUMMYFUNCTION("""COMPUTED_VALUE"""),97284786)</f>
        <v>97284786</v>
      </c>
    </row>
    <row r="2463" spans="1:6" x14ac:dyDescent="0.2">
      <c r="A2463" s="2">
        <f ca="1">IFERROR(__xludf.DUMMYFUNCTION("""COMPUTED_VALUE"""),45855.6666666666)</f>
        <v>45855.666666666599</v>
      </c>
      <c r="B2463" s="1">
        <f ca="1">IFERROR(__xludf.DUMMYFUNCTION("""COMPUTED_VALUE"""),323.15)</f>
        <v>323.14999999999998</v>
      </c>
      <c r="C2463" s="1">
        <f ca="1">IFERROR(__xludf.DUMMYFUNCTION("""COMPUTED_VALUE"""),324.34)</f>
        <v>324.33999999999997</v>
      </c>
      <c r="D2463" s="1">
        <f ca="1">IFERROR(__xludf.DUMMYFUNCTION("""COMPUTED_VALUE"""),317.06)</f>
        <v>317.06</v>
      </c>
      <c r="E2463" s="1">
        <f ca="1">IFERROR(__xludf.DUMMYFUNCTION("""COMPUTED_VALUE"""),319.41)</f>
        <v>319.41000000000003</v>
      </c>
      <c r="F2463" s="1">
        <f ca="1">IFERROR(__xludf.DUMMYFUNCTION("""COMPUTED_VALUE"""),73922870)</f>
        <v>73922870</v>
      </c>
    </row>
    <row r="2464" spans="1:6" x14ac:dyDescent="0.2">
      <c r="A2464" s="2">
        <f ca="1">IFERROR(__xludf.DUMMYFUNCTION("""COMPUTED_VALUE"""),45856.6666666666)</f>
        <v>45856.666666666599</v>
      </c>
      <c r="B2464" s="1">
        <f ca="1">IFERROR(__xludf.DUMMYFUNCTION("""COMPUTED_VALUE"""),321.66)</f>
        <v>321.66000000000003</v>
      </c>
      <c r="C2464" s="1">
        <f ca="1">IFERROR(__xludf.DUMMYFUNCTION("""COMPUTED_VALUE"""),330.9)</f>
        <v>330.9</v>
      </c>
      <c r="D2464" s="1">
        <f ca="1">IFERROR(__xludf.DUMMYFUNCTION("""COMPUTED_VALUE"""),321.42)</f>
        <v>321.42</v>
      </c>
      <c r="E2464" s="1">
        <f ca="1">IFERROR(__xludf.DUMMYFUNCTION("""COMPUTED_VALUE"""),329.65)</f>
        <v>329.65</v>
      </c>
      <c r="F2464" s="1">
        <f ca="1">IFERROR(__xludf.DUMMYFUNCTION("""COMPUTED_VALUE"""),94254993)</f>
        <v>94254993</v>
      </c>
    </row>
    <row r="2465" spans="1:6" x14ac:dyDescent="0.2">
      <c r="A2465" s="2">
        <f ca="1">IFERROR(__xludf.DUMMYFUNCTION("""COMPUTED_VALUE"""),45859.6666666666)</f>
        <v>45859.666666666599</v>
      </c>
      <c r="B2465" s="1">
        <f ca="1">IFERROR(__xludf.DUMMYFUNCTION("""COMPUTED_VALUE"""),334.4)</f>
        <v>334.4</v>
      </c>
      <c r="C2465" s="1">
        <f ca="1">IFERROR(__xludf.DUMMYFUNCTION("""COMPUTED_VALUE"""),338)</f>
        <v>338</v>
      </c>
      <c r="D2465" s="1">
        <f ca="1">IFERROR(__xludf.DUMMYFUNCTION("""COMPUTED_VALUE"""),326.88)</f>
        <v>326.88</v>
      </c>
      <c r="E2465" s="1">
        <f ca="1">IFERROR(__xludf.DUMMYFUNCTION("""COMPUTED_VALUE"""),328.49)</f>
        <v>328.49</v>
      </c>
      <c r="F2465" s="1">
        <f ca="1">IFERROR(__xludf.DUMMYFUNCTION("""COMPUTED_VALUE"""),75768797)</f>
        <v>75768797</v>
      </c>
    </row>
    <row r="2466" spans="1:6" x14ac:dyDescent="0.2">
      <c r="A2466" s="2">
        <f ca="1">IFERROR(__xludf.DUMMYFUNCTION("""COMPUTED_VALUE"""),45860.6666666666)</f>
        <v>45860.666666666599</v>
      </c>
      <c r="B2466" s="1">
        <f ca="1">IFERROR(__xludf.DUMMYFUNCTION("""COMPUTED_VALUE"""),329.74)</f>
        <v>329.74</v>
      </c>
      <c r="C2466" s="1">
        <f ca="1">IFERROR(__xludf.DUMMYFUNCTION("""COMPUTED_VALUE"""),335.41)</f>
        <v>335.41</v>
      </c>
      <c r="D2466" s="1">
        <f ca="1">IFERROR(__xludf.DUMMYFUNCTION("""COMPUTED_VALUE"""),321.55)</f>
        <v>321.55</v>
      </c>
      <c r="E2466" s="1">
        <f ca="1">IFERROR(__xludf.DUMMYFUNCTION("""COMPUTED_VALUE"""),332.11)</f>
        <v>332.11</v>
      </c>
      <c r="F2466" s="1">
        <f ca="1">IFERROR(__xludf.DUMMYFUNCTION("""COMPUTED_VALUE"""),77370371)</f>
        <v>77370371</v>
      </c>
    </row>
    <row r="2467" spans="1:6" x14ac:dyDescent="0.2">
      <c r="A2467" s="2">
        <f ca="1">IFERROR(__xludf.DUMMYFUNCTION("""COMPUTED_VALUE"""),45861.6666666666)</f>
        <v>45861.666666666599</v>
      </c>
      <c r="B2467" s="1">
        <f ca="1">IFERROR(__xludf.DUMMYFUNCTION("""COMPUTED_VALUE"""),330.9)</f>
        <v>330.9</v>
      </c>
      <c r="C2467" s="1">
        <f ca="1">IFERROR(__xludf.DUMMYFUNCTION("""COMPUTED_VALUE"""),336.2)</f>
        <v>336.2</v>
      </c>
      <c r="D2467" s="1">
        <f ca="1">IFERROR(__xludf.DUMMYFUNCTION("""COMPUTED_VALUE"""),328.67)</f>
        <v>328.67</v>
      </c>
      <c r="E2467" s="1">
        <f ca="1">IFERROR(__xludf.DUMMYFUNCTION("""COMPUTED_VALUE"""),332.56)</f>
        <v>332.56</v>
      </c>
      <c r="F2467" s="1">
        <f ca="1">IFERROR(__xludf.DUMMYFUNCTION("""COMPUTED_VALUE"""),92553756)</f>
        <v>92553756</v>
      </c>
    </row>
    <row r="2468" spans="1:6" x14ac:dyDescent="0.2">
      <c r="A2468" s="2">
        <f ca="1">IFERROR(__xludf.DUMMYFUNCTION("""COMPUTED_VALUE"""),45862.6666666666)</f>
        <v>45862.666666666599</v>
      </c>
      <c r="B2468" s="1">
        <f ca="1">IFERROR(__xludf.DUMMYFUNCTION("""COMPUTED_VALUE"""),310)</f>
        <v>310</v>
      </c>
      <c r="C2468" s="1">
        <f ca="1">IFERROR(__xludf.DUMMYFUNCTION("""COMPUTED_VALUE"""),310.15)</f>
        <v>310.14999999999998</v>
      </c>
      <c r="D2468" s="1">
        <f ca="1">IFERROR(__xludf.DUMMYFUNCTION("""COMPUTED_VALUE"""),300.41)</f>
        <v>300.41000000000003</v>
      </c>
      <c r="E2468" s="1">
        <f ca="1">IFERROR(__xludf.DUMMYFUNCTION("""COMPUTED_VALUE"""),305.3)</f>
        <v>305.3</v>
      </c>
      <c r="F2468" s="1">
        <f ca="1">IFERROR(__xludf.DUMMYFUNCTION("""COMPUTED_VALUE"""),156966023)</f>
        <v>156966023</v>
      </c>
    </row>
    <row r="2469" spans="1:6" x14ac:dyDescent="0.2">
      <c r="A2469" s="2">
        <f ca="1">IFERROR(__xludf.DUMMYFUNCTION("""COMPUTED_VALUE"""),45863.6666666666)</f>
        <v>45863.666666666599</v>
      </c>
      <c r="B2469" s="1">
        <f ca="1">IFERROR(__xludf.DUMMYFUNCTION("""COMPUTED_VALUE"""),308.74)</f>
        <v>308.74</v>
      </c>
      <c r="C2469" s="1">
        <f ca="1">IFERROR(__xludf.DUMMYFUNCTION("""COMPUTED_VALUE"""),323.63)</f>
        <v>323.63</v>
      </c>
      <c r="D2469" s="1">
        <f ca="1">IFERROR(__xludf.DUMMYFUNCTION("""COMPUTED_VALUE"""),308.01)</f>
        <v>308.01</v>
      </c>
      <c r="E2469" s="1">
        <f ca="1">IFERROR(__xludf.DUMMYFUNCTION("""COMPUTED_VALUE"""),316.06)</f>
        <v>316.06</v>
      </c>
      <c r="F2469" s="1">
        <f ca="1">IFERROR(__xludf.DUMMYFUNCTION("""COMPUTED_VALUE"""),148227027)</f>
        <v>148227027</v>
      </c>
    </row>
    <row r="2470" spans="1:6" x14ac:dyDescent="0.2">
      <c r="A2470" s="2">
        <f ca="1">IFERROR(__xludf.DUMMYFUNCTION("""COMPUTED_VALUE"""),45866.6666666666)</f>
        <v>45866.666666666599</v>
      </c>
      <c r="B2470" s="1">
        <f ca="1">IFERROR(__xludf.DUMMYFUNCTION("""COMPUTED_VALUE"""),318.45)</f>
        <v>318.45</v>
      </c>
      <c r="C2470" s="1">
        <f ca="1">IFERROR(__xludf.DUMMYFUNCTION("""COMPUTED_VALUE"""),330.49)</f>
        <v>330.49</v>
      </c>
      <c r="D2470" s="1">
        <f ca="1">IFERROR(__xludf.DUMMYFUNCTION("""COMPUTED_VALUE"""),315.69)</f>
        <v>315.69</v>
      </c>
      <c r="E2470" s="1">
        <f ca="1">IFERROR(__xludf.DUMMYFUNCTION("""COMPUTED_VALUE"""),325.59)</f>
        <v>325.58999999999997</v>
      </c>
      <c r="F2470" s="1">
        <f ca="1">IFERROR(__xludf.DUMMYFUNCTION("""COMPUTED_VALUE"""),112673755)</f>
        <v>112673755</v>
      </c>
    </row>
    <row r="2471" spans="1:6" x14ac:dyDescent="0.2">
      <c r="A2471" s="2">
        <f ca="1">IFERROR(__xludf.DUMMYFUNCTION("""COMPUTED_VALUE"""),45867.6666666666)</f>
        <v>45867.666666666599</v>
      </c>
      <c r="B2471" s="1">
        <f ca="1">IFERROR(__xludf.DUMMYFUNCTION("""COMPUTED_VALUE"""),325.55)</f>
        <v>325.55</v>
      </c>
      <c r="C2471" s="1">
        <f ca="1">IFERROR(__xludf.DUMMYFUNCTION("""COMPUTED_VALUE"""),326.25)</f>
        <v>326.25</v>
      </c>
      <c r="D2471" s="1">
        <f ca="1">IFERROR(__xludf.DUMMYFUNCTION("""COMPUTED_VALUE"""),318.25)</f>
        <v>318.25</v>
      </c>
      <c r="E2471" s="1">
        <f ca="1">IFERROR(__xludf.DUMMYFUNCTION("""COMPUTED_VALUE"""),321.2)</f>
        <v>321.2</v>
      </c>
      <c r="F2471" s="1">
        <f ca="1">IFERROR(__xludf.DUMMYFUNCTION("""COMPUTED_VALUE"""),87358861)</f>
        <v>87358861</v>
      </c>
    </row>
    <row r="2472" spans="1:6" x14ac:dyDescent="0.2">
      <c r="A2472" s="2">
        <f ca="1">IFERROR(__xludf.DUMMYFUNCTION("""COMPUTED_VALUE"""),45868.6666666666)</f>
        <v>45868.666666666599</v>
      </c>
      <c r="B2472" s="1">
        <f ca="1">IFERROR(__xludf.DUMMYFUNCTION("""COMPUTED_VALUE"""),322.18)</f>
        <v>322.18</v>
      </c>
      <c r="C2472" s="1">
        <f ca="1">IFERROR(__xludf.DUMMYFUNCTION("""COMPUTED_VALUE"""),324.45)</f>
        <v>324.45</v>
      </c>
      <c r="D2472" s="1">
        <f ca="1">IFERROR(__xludf.DUMMYFUNCTION("""COMPUTED_VALUE"""),311.62)</f>
        <v>311.62</v>
      </c>
      <c r="E2472" s="1">
        <f ca="1">IFERROR(__xludf.DUMMYFUNCTION("""COMPUTED_VALUE"""),319.04)</f>
        <v>319.04000000000002</v>
      </c>
      <c r="F2472" s="1">
        <f ca="1">IFERROR(__xludf.DUMMYFUNCTION("""COMPUTED_VALUE"""),83931942)</f>
        <v>83931942</v>
      </c>
    </row>
    <row r="2473" spans="1:6" x14ac:dyDescent="0.2">
      <c r="A2473" s="2">
        <f ca="1">IFERROR(__xludf.DUMMYFUNCTION("""COMPUTED_VALUE"""),45869.6666666666)</f>
        <v>45869.666666666599</v>
      </c>
      <c r="B2473" s="1">
        <f ca="1">IFERROR(__xludf.DUMMYFUNCTION("""COMPUTED_VALUE"""),319.61)</f>
        <v>319.61</v>
      </c>
      <c r="C2473" s="1">
        <f ca="1">IFERROR(__xludf.DUMMYFUNCTION("""COMPUTED_VALUE"""),321.37)</f>
        <v>321.37</v>
      </c>
      <c r="D2473" s="1">
        <f ca="1">IFERROR(__xludf.DUMMYFUNCTION("""COMPUTED_VALUE"""),306.1)</f>
        <v>306.10000000000002</v>
      </c>
      <c r="E2473" s="1">
        <f ca="1">IFERROR(__xludf.DUMMYFUNCTION("""COMPUTED_VALUE"""),308.27)</f>
        <v>308.27</v>
      </c>
      <c r="F2473" s="1">
        <f ca="1">IFERROR(__xludf.DUMMYFUNCTION("""COMPUTED_VALUE"""),85270919)</f>
        <v>85270919</v>
      </c>
    </row>
    <row r="2474" spans="1:6" x14ac:dyDescent="0.2">
      <c r="A2474" s="2">
        <f ca="1">IFERROR(__xludf.DUMMYFUNCTION("""COMPUTED_VALUE"""),45870.6666666666)</f>
        <v>45870.666666666599</v>
      </c>
      <c r="B2474" s="1">
        <f ca="1">IFERROR(__xludf.DUMMYFUNCTION("""COMPUTED_VALUE"""),306.21)</f>
        <v>306.20999999999998</v>
      </c>
      <c r="C2474" s="1">
        <f ca="1">IFERROR(__xludf.DUMMYFUNCTION("""COMPUTED_VALUE"""),309.31)</f>
        <v>309.31</v>
      </c>
      <c r="D2474" s="1">
        <f ca="1">IFERROR(__xludf.DUMMYFUNCTION("""COMPUTED_VALUE"""),297.82)</f>
        <v>297.82</v>
      </c>
      <c r="E2474" s="1">
        <f ca="1">IFERROR(__xludf.DUMMYFUNCTION("""COMPUTED_VALUE"""),302.63)</f>
        <v>302.63</v>
      </c>
      <c r="F2474" s="1">
        <f ca="1">IFERROR(__xludf.DUMMYFUNCTION("""COMPUTED_VALUE"""),89121446)</f>
        <v>89121446</v>
      </c>
    </row>
    <row r="2475" spans="1:6" x14ac:dyDescent="0.2">
      <c r="A2475" s="2">
        <f ca="1">IFERROR(__xludf.DUMMYFUNCTION("""COMPUTED_VALUE"""),45873.6666666666)</f>
        <v>45873.666666666599</v>
      </c>
      <c r="B2475" s="1">
        <f ca="1">IFERROR(__xludf.DUMMYFUNCTION("""COMPUTED_VALUE"""),309.08)</f>
        <v>309.08</v>
      </c>
      <c r="C2475" s="1">
        <f ca="1">IFERROR(__xludf.DUMMYFUNCTION("""COMPUTED_VALUE"""),312.12)</f>
        <v>312.12</v>
      </c>
      <c r="D2475" s="1">
        <f ca="1">IFERROR(__xludf.DUMMYFUNCTION("""COMPUTED_VALUE"""),303)</f>
        <v>303</v>
      </c>
      <c r="E2475" s="1">
        <f ca="1">IFERROR(__xludf.DUMMYFUNCTION("""COMPUTED_VALUE"""),309.26)</f>
        <v>309.26</v>
      </c>
      <c r="F2475" s="1">
        <f ca="1">IFERROR(__xludf.DUMMYFUNCTION("""COMPUTED_VALUE"""),78683905)</f>
        <v>78683905</v>
      </c>
    </row>
    <row r="2476" spans="1:6" x14ac:dyDescent="0.2">
      <c r="A2476" s="2">
        <f ca="1">IFERROR(__xludf.DUMMYFUNCTION("""COMPUTED_VALUE"""),45874.6666666666)</f>
        <v>45874.666666666599</v>
      </c>
      <c r="B2476" s="1">
        <f ca="1">IFERROR(__xludf.DUMMYFUNCTION("""COMPUTED_VALUE"""),308.95)</f>
        <v>308.95</v>
      </c>
      <c r="C2476" s="1">
        <f ca="1">IFERROR(__xludf.DUMMYFUNCTION("""COMPUTED_VALUE"""),312.45)</f>
        <v>312.45</v>
      </c>
      <c r="D2476" s="1">
        <f ca="1">IFERROR(__xludf.DUMMYFUNCTION("""COMPUTED_VALUE"""),305.5)</f>
        <v>305.5</v>
      </c>
      <c r="E2476" s="1">
        <f ca="1">IFERROR(__xludf.DUMMYFUNCTION("""COMPUTED_VALUE"""),308.72)</f>
        <v>308.72000000000003</v>
      </c>
      <c r="F2476" s="1">
        <f ca="1">IFERROR(__xludf.DUMMYFUNCTION("""COMPUTED_VALUE"""),57961278)</f>
        <v>57961278</v>
      </c>
    </row>
    <row r="2477" spans="1:6" x14ac:dyDescent="0.2">
      <c r="A2477" s="2">
        <f ca="1">IFERROR(__xludf.DUMMYFUNCTION("""COMPUTED_VALUE"""),45875.6666666666)</f>
        <v>45875.666666666599</v>
      </c>
      <c r="B2477" s="1">
        <f ca="1">IFERROR(__xludf.DUMMYFUNCTION("""COMPUTED_VALUE"""),307.89)</f>
        <v>307.89</v>
      </c>
      <c r="C2477" s="1">
        <f ca="1">IFERROR(__xludf.DUMMYFUNCTION("""COMPUTED_VALUE"""),320.47)</f>
        <v>320.47000000000003</v>
      </c>
      <c r="D2477" s="1">
        <f ca="1">IFERROR(__xludf.DUMMYFUNCTION("""COMPUTED_VALUE"""),306.93)</f>
        <v>306.93</v>
      </c>
      <c r="E2477" s="1">
        <f ca="1">IFERROR(__xludf.DUMMYFUNCTION("""COMPUTED_VALUE"""),319.91)</f>
        <v>319.91000000000003</v>
      </c>
      <c r="F2477" s="1">
        <f ca="1">IFERROR(__xludf.DUMMYFUNCTION("""COMPUTED_VALUE"""),78523579)</f>
        <v>78523579</v>
      </c>
    </row>
    <row r="2478" spans="1:6" x14ac:dyDescent="0.2">
      <c r="A2478" s="2">
        <f ca="1">IFERROR(__xludf.DUMMYFUNCTION("""COMPUTED_VALUE"""),45876.6666666666)</f>
        <v>45876.666666666599</v>
      </c>
      <c r="B2478" s="1">
        <f ca="1">IFERROR(__xludf.DUMMYFUNCTION("""COMPUTED_VALUE"""),319.79)</f>
        <v>319.79000000000002</v>
      </c>
      <c r="C2478" s="1">
        <f ca="1">IFERROR(__xludf.DUMMYFUNCTION("""COMPUTED_VALUE"""),322.4)</f>
        <v>322.39999999999998</v>
      </c>
      <c r="D2478" s="1">
        <f ca="1">IFERROR(__xludf.DUMMYFUNCTION("""COMPUTED_VALUE"""),316.16)</f>
        <v>316.16000000000003</v>
      </c>
      <c r="E2478" s="1">
        <f ca="1">IFERROR(__xludf.DUMMYFUNCTION("""COMPUTED_VALUE"""),322.27)</f>
        <v>322.27</v>
      </c>
      <c r="F2478" s="1">
        <f ca="1">IFERROR(__xludf.DUMMYFUNCTION("""COMPUTED_VALUE"""),66658672)</f>
        <v>66658672</v>
      </c>
    </row>
    <row r="2479" spans="1:6" x14ac:dyDescent="0.2">
      <c r="A2479" s="2">
        <f ca="1">IFERROR(__xludf.DUMMYFUNCTION("""COMPUTED_VALUE"""),45877.6666666666)</f>
        <v>45877.666666666599</v>
      </c>
      <c r="B2479" s="1">
        <f ca="1">IFERROR(__xludf.DUMMYFUNCTION("""COMPUTED_VALUE"""),321.43)</f>
        <v>321.43</v>
      </c>
      <c r="C2479" s="1">
        <f ca="1">IFERROR(__xludf.DUMMYFUNCTION("""COMPUTED_VALUE"""),335.15)</f>
        <v>335.15</v>
      </c>
      <c r="D2479" s="1">
        <f ca="1">IFERROR(__xludf.DUMMYFUNCTION("""COMPUTED_VALUE"""),320.98)</f>
        <v>320.98</v>
      </c>
      <c r="E2479" s="1">
        <f ca="1">IFERROR(__xludf.DUMMYFUNCTION("""COMPUTED_VALUE"""),329.65)</f>
        <v>329.65</v>
      </c>
      <c r="F2479" s="1">
        <f ca="1">IFERROR(__xludf.DUMMYFUNCTION("""COMPUTED_VALUE"""),91200319)</f>
        <v>91200319</v>
      </c>
    </row>
    <row r="2480" spans="1:6" x14ac:dyDescent="0.2">
      <c r="A2480" s="2">
        <f ca="1">IFERROR(__xludf.DUMMYFUNCTION("""COMPUTED_VALUE"""),45880.6666666666)</f>
        <v>45880.666666666599</v>
      </c>
      <c r="B2480" s="1">
        <f ca="1">IFERROR(__xludf.DUMMYFUNCTION("""COMPUTED_VALUE"""),335)</f>
        <v>335</v>
      </c>
      <c r="C2480" s="1">
        <f ca="1">IFERROR(__xludf.DUMMYFUNCTION("""COMPUTED_VALUE"""),346.64)</f>
        <v>346.64</v>
      </c>
      <c r="D2480" s="1">
        <f ca="1">IFERROR(__xludf.DUMMYFUNCTION("""COMPUTED_VALUE"""),334.15)</f>
        <v>334.15</v>
      </c>
      <c r="E2480" s="1">
        <f ca="1">IFERROR(__xludf.DUMMYFUNCTION("""COMPUTED_VALUE"""),339.03)</f>
        <v>339.03</v>
      </c>
      <c r="F2480" s="1">
        <f ca="1">IFERROR(__xludf.DUMMYFUNCTION("""COMPUTED_VALUE"""),105320174)</f>
        <v>105320174</v>
      </c>
    </row>
    <row r="2481" spans="1:6" x14ac:dyDescent="0.2">
      <c r="A2481" s="2">
        <f ca="1">IFERROR(__xludf.DUMMYFUNCTION("""COMPUTED_VALUE"""),45881.6666666666)</f>
        <v>45881.666666666599</v>
      </c>
      <c r="B2481" s="1">
        <f ca="1">IFERROR(__xludf.DUMMYFUNCTION("""COMPUTED_VALUE"""),345)</f>
        <v>345</v>
      </c>
      <c r="C2481" s="1">
        <f ca="1">IFERROR(__xludf.DUMMYFUNCTION("""COMPUTED_VALUE"""),345.26)</f>
        <v>345.26</v>
      </c>
      <c r="D2481" s="1">
        <f ca="1">IFERROR(__xludf.DUMMYFUNCTION("""COMPUTED_VALUE"""),332.94)</f>
        <v>332.94</v>
      </c>
      <c r="E2481" s="1">
        <f ca="1">IFERROR(__xludf.DUMMYFUNCTION("""COMPUTED_VALUE"""),340.84)</f>
        <v>340.84</v>
      </c>
      <c r="F2481" s="1">
        <f ca="1">IFERROR(__xludf.DUMMYFUNCTION("""COMPUTED_VALUE"""),80690111)</f>
        <v>80690111</v>
      </c>
    </row>
    <row r="2482" spans="1:6" x14ac:dyDescent="0.2">
      <c r="A2482" s="2">
        <f ca="1">IFERROR(__xludf.DUMMYFUNCTION("""COMPUTED_VALUE"""),45882.6666666666)</f>
        <v>45882.666666666599</v>
      </c>
      <c r="B2482" s="1">
        <f ca="1">IFERROR(__xludf.DUMMYFUNCTION("""COMPUTED_VALUE"""),341.5)</f>
        <v>341.5</v>
      </c>
      <c r="C2482" s="1">
        <f ca="1">IFERROR(__xludf.DUMMYFUNCTION("""COMPUTED_VALUE"""),348.98)</f>
        <v>348.98</v>
      </c>
      <c r="D2482" s="1">
        <f ca="1">IFERROR(__xludf.DUMMYFUNCTION("""COMPUTED_VALUE"""),338.2)</f>
        <v>338.2</v>
      </c>
      <c r="E2482" s="1">
        <f ca="1">IFERROR(__xludf.DUMMYFUNCTION("""COMPUTED_VALUE"""),339.38)</f>
        <v>339.38</v>
      </c>
      <c r="F2482" s="1">
        <f ca="1">IFERROR(__xludf.DUMMYFUNCTION("""COMPUTED_VALUE"""),67838892)</f>
        <v>67838892</v>
      </c>
    </row>
    <row r="2483" spans="1:6" x14ac:dyDescent="0.2">
      <c r="A2483" s="2">
        <f ca="1">IFERROR(__xludf.DUMMYFUNCTION("""COMPUTED_VALUE"""),45883.6666666666)</f>
        <v>45883.666666666599</v>
      </c>
      <c r="B2483" s="1">
        <f ca="1">IFERROR(__xludf.DUMMYFUNCTION("""COMPUTED_VALUE"""),335.76)</f>
        <v>335.76</v>
      </c>
      <c r="C2483" s="1">
        <f ca="1">IFERROR(__xludf.DUMMYFUNCTION("""COMPUTED_VALUE"""),340.47)</f>
        <v>340.47</v>
      </c>
      <c r="D2483" s="1">
        <f ca="1">IFERROR(__xludf.DUMMYFUNCTION("""COMPUTED_VALUE"""),330.4)</f>
        <v>330.4</v>
      </c>
      <c r="E2483" s="1">
        <f ca="1">IFERROR(__xludf.DUMMYFUNCTION("""COMPUTED_VALUE"""),335.58)</f>
        <v>335.58</v>
      </c>
      <c r="F2483" s="1">
        <f ca="1">IFERROR(__xludf.DUMMYFUNCTION("""COMPUTED_VALUE"""),75000662)</f>
        <v>75000662</v>
      </c>
    </row>
    <row r="2484" spans="1:6" x14ac:dyDescent="0.2">
      <c r="A2484" s="2">
        <f ca="1">IFERROR(__xludf.DUMMYFUNCTION("""COMPUTED_VALUE"""),45884.6666666666)</f>
        <v>45884.666666666599</v>
      </c>
      <c r="B2484" s="1">
        <f ca="1">IFERROR(__xludf.DUMMYFUNCTION("""COMPUTED_VALUE"""),337.66)</f>
        <v>337.66</v>
      </c>
      <c r="C2484" s="1">
        <f ca="1">IFERROR(__xludf.DUMMYFUNCTION("""COMPUTED_VALUE"""),339.3)</f>
        <v>339.3</v>
      </c>
      <c r="D2484" s="1">
        <f ca="1">IFERROR(__xludf.DUMMYFUNCTION("""COMPUTED_VALUE"""),327.02)</f>
        <v>327.02</v>
      </c>
      <c r="E2484" s="1">
        <f ca="1">IFERROR(__xludf.DUMMYFUNCTION("""COMPUTED_VALUE"""),330.56)</f>
        <v>330.56</v>
      </c>
      <c r="F2484" s="1">
        <f ca="1">IFERROR(__xludf.DUMMYFUNCTION("""COMPUTED_VALUE"""),74319792)</f>
        <v>74319792</v>
      </c>
    </row>
    <row r="2485" spans="1:6" x14ac:dyDescent="0.2">
      <c r="A2485" s="2">
        <f ca="1">IFERROR(__xludf.DUMMYFUNCTION("""COMPUTED_VALUE"""),45887.6666666666)</f>
        <v>45887.666666666599</v>
      </c>
      <c r="B2485" s="1">
        <f ca="1">IFERROR(__xludf.DUMMYFUNCTION("""COMPUTED_VALUE"""),329.62)</f>
        <v>329.62</v>
      </c>
      <c r="C2485" s="1">
        <f ca="1">IFERROR(__xludf.DUMMYFUNCTION("""COMPUTED_VALUE"""),336.27)</f>
        <v>336.27</v>
      </c>
      <c r="D2485" s="1">
        <f ca="1">IFERROR(__xludf.DUMMYFUNCTION("""COMPUTED_VALUE"""),329.59)</f>
        <v>329.59</v>
      </c>
      <c r="E2485" s="1">
        <f ca="1">IFERROR(__xludf.DUMMYFUNCTION("""COMPUTED_VALUE"""),335.16)</f>
        <v>335.16</v>
      </c>
      <c r="F2485" s="1">
        <f ca="1">IFERROR(__xludf.DUMMYFUNCTION("""COMPUTED_VALUE"""),56956552)</f>
        <v>56956552</v>
      </c>
    </row>
    <row r="2486" spans="1:6" x14ac:dyDescent="0.2">
      <c r="A2486" s="2">
        <f ca="1">IFERROR(__xludf.DUMMYFUNCTION("""COMPUTED_VALUE"""),45888.6666666666)</f>
        <v>45888.666666666599</v>
      </c>
      <c r="B2486" s="1">
        <f ca="1">IFERROR(__xludf.DUMMYFUNCTION("""COMPUTED_VALUE"""),335.79)</f>
        <v>335.79</v>
      </c>
      <c r="C2486" s="1">
        <f ca="1">IFERROR(__xludf.DUMMYFUNCTION("""COMPUTED_VALUE"""),340.55)</f>
        <v>340.55</v>
      </c>
      <c r="D2486" s="1">
        <f ca="1">IFERROR(__xludf.DUMMYFUNCTION("""COMPUTED_VALUE"""),327.85)</f>
        <v>327.85</v>
      </c>
      <c r="E2486" s="1">
        <f ca="1">IFERROR(__xludf.DUMMYFUNCTION("""COMPUTED_VALUE"""),329.31)</f>
        <v>329.31</v>
      </c>
      <c r="F2486" s="1">
        <f ca="1">IFERROR(__xludf.DUMMYFUNCTION("""COMPUTED_VALUE"""),75956002)</f>
        <v>75956002</v>
      </c>
    </row>
    <row r="2487" spans="1:6" x14ac:dyDescent="0.2">
      <c r="A2487" s="2">
        <f ca="1">IFERROR(__xludf.DUMMYFUNCTION("""COMPUTED_VALUE"""),45889.6666666666)</f>
        <v>45889.666666666599</v>
      </c>
      <c r="B2487" s="1">
        <f ca="1">IFERROR(__xludf.DUMMYFUNCTION("""COMPUTED_VALUE"""),329.22)</f>
        <v>329.22</v>
      </c>
      <c r="C2487" s="1">
        <f ca="1">IFERROR(__xludf.DUMMYFUNCTION("""COMPUTED_VALUE"""),331.37)</f>
        <v>331.37</v>
      </c>
      <c r="D2487" s="1">
        <f ca="1">IFERROR(__xludf.DUMMYFUNCTION("""COMPUTED_VALUE"""),314.6)</f>
        <v>314.60000000000002</v>
      </c>
      <c r="E2487" s="1">
        <f ca="1">IFERROR(__xludf.DUMMYFUNCTION("""COMPUTED_VALUE"""),323.9)</f>
        <v>323.89999999999998</v>
      </c>
      <c r="F2487" s="1">
        <f ca="1">IFERROR(__xludf.DUMMYFUNCTION("""COMPUTED_VALUE"""),77481768)</f>
        <v>77481768</v>
      </c>
    </row>
    <row r="2488" spans="1:6" x14ac:dyDescent="0.2">
      <c r="A2488" s="2">
        <f ca="1">IFERROR(__xludf.DUMMYFUNCTION("""COMPUTED_VALUE"""),45890.6666666666)</f>
        <v>45890.666666666599</v>
      </c>
      <c r="B2488" s="1">
        <f ca="1">IFERROR(__xludf.DUMMYFUNCTION("""COMPUTED_VALUE"""),322.08)</f>
        <v>322.08</v>
      </c>
      <c r="C2488" s="1">
        <f ca="1">IFERROR(__xludf.DUMMYFUNCTION("""COMPUTED_VALUE"""),324.9)</f>
        <v>324.89999999999998</v>
      </c>
      <c r="D2488" s="1">
        <f ca="1">IFERROR(__xludf.DUMMYFUNCTION("""COMPUTED_VALUE"""),318.68)</f>
        <v>318.68</v>
      </c>
      <c r="E2488" s="1">
        <f ca="1">IFERROR(__xludf.DUMMYFUNCTION("""COMPUTED_VALUE"""),320.11)</f>
        <v>320.11</v>
      </c>
      <c r="F2488" s="1">
        <f ca="1">IFERROR(__xludf.DUMMYFUNCTION("""COMPUTED_VALUE"""),55744445)</f>
        <v>55744445</v>
      </c>
    </row>
    <row r="2489" spans="1:6" x14ac:dyDescent="0.2">
      <c r="A2489" s="2">
        <f ca="1">IFERROR(__xludf.DUMMYFUNCTION("""COMPUTED_VALUE"""),45891.6666666666)</f>
        <v>45891.666666666599</v>
      </c>
      <c r="B2489" s="1">
        <f ca="1">IFERROR(__xludf.DUMMYFUNCTION("""COMPUTED_VALUE"""),321.66)</f>
        <v>321.66000000000003</v>
      </c>
      <c r="C2489" s="1">
        <f ca="1">IFERROR(__xludf.DUMMYFUNCTION("""COMPUTED_VALUE"""),340.25)</f>
        <v>340.25</v>
      </c>
      <c r="D2489" s="1">
        <f ca="1">IFERROR(__xludf.DUMMYFUNCTION("""COMPUTED_VALUE"""),319.69)</f>
        <v>319.69</v>
      </c>
      <c r="E2489" s="1">
        <f ca="1">IFERROR(__xludf.DUMMYFUNCTION("""COMPUTED_VALUE"""),340.01)</f>
        <v>340.01</v>
      </c>
      <c r="F2489" s="1">
        <f ca="1">IFERROR(__xludf.DUMMYFUNCTION("""COMPUTED_VALUE"""),94016347)</f>
        <v>94016347</v>
      </c>
    </row>
    <row r="2490" spans="1:6" x14ac:dyDescent="0.2">
      <c r="A2490" s="2">
        <f ca="1">IFERROR(__xludf.DUMMYFUNCTION("""COMPUTED_VALUE"""),45894.6666666666)</f>
        <v>45894.666666666599</v>
      </c>
      <c r="B2490" s="1">
        <f ca="1">IFERROR(__xludf.DUMMYFUNCTION("""COMPUTED_VALUE"""),338.9)</f>
        <v>338.9</v>
      </c>
      <c r="C2490" s="1">
        <f ca="1">IFERROR(__xludf.DUMMYFUNCTION("""COMPUTED_VALUE"""),349.53)</f>
        <v>349.53</v>
      </c>
      <c r="D2490" s="1">
        <f ca="1">IFERROR(__xludf.DUMMYFUNCTION("""COMPUTED_VALUE"""),335.03)</f>
        <v>335.03</v>
      </c>
      <c r="E2490" s="1">
        <f ca="1">IFERROR(__xludf.DUMMYFUNCTION("""COMPUTED_VALUE"""),346.6)</f>
        <v>346.6</v>
      </c>
      <c r="F2490" s="1">
        <f ca="1">IFERROR(__xludf.DUMMYFUNCTION("""COMPUTED_VALUE"""),86670037)</f>
        <v>86670037</v>
      </c>
    </row>
    <row r="2491" spans="1:6" x14ac:dyDescent="0.2">
      <c r="A2491" s="2">
        <f ca="1">IFERROR(__xludf.DUMMYFUNCTION("""COMPUTED_VALUE"""),45895.6666666666)</f>
        <v>45895.666666666599</v>
      </c>
      <c r="B2491" s="1">
        <f ca="1">IFERROR(__xludf.DUMMYFUNCTION("""COMPUTED_VALUE"""),344.93)</f>
        <v>344.93</v>
      </c>
      <c r="C2491" s="1">
        <f ca="1">IFERROR(__xludf.DUMMYFUNCTION("""COMPUTED_VALUE"""),351.9)</f>
        <v>351.9</v>
      </c>
      <c r="D2491" s="1">
        <f ca="1">IFERROR(__xludf.DUMMYFUNCTION("""COMPUTED_VALUE"""),343.72)</f>
        <v>343.72</v>
      </c>
      <c r="E2491" s="1">
        <f ca="1">IFERROR(__xludf.DUMMYFUNCTION("""COMPUTED_VALUE"""),351.67)</f>
        <v>351.67</v>
      </c>
      <c r="F2491" s="1">
        <f ca="1">IFERROR(__xludf.DUMMYFUNCTION("""COMPUTED_VALUE"""),76651550)</f>
        <v>76651550</v>
      </c>
    </row>
    <row r="2492" spans="1:6" x14ac:dyDescent="0.2">
      <c r="A2492" s="2">
        <f ca="1">IFERROR(__xludf.DUMMYFUNCTION("""COMPUTED_VALUE"""),45896.6666666666)</f>
        <v>45896.666666666599</v>
      </c>
      <c r="B2492" s="1">
        <f ca="1">IFERROR(__xludf.DUMMYFUNCTION("""COMPUTED_VALUE"""),351.94)</f>
        <v>351.94</v>
      </c>
      <c r="C2492" s="1">
        <f ca="1">IFERROR(__xludf.DUMMYFUNCTION("""COMPUTED_VALUE"""),355.39)</f>
        <v>355.39</v>
      </c>
      <c r="D2492" s="1">
        <f ca="1">IFERROR(__xludf.DUMMYFUNCTION("""COMPUTED_VALUE"""),349.16)</f>
        <v>349.16</v>
      </c>
      <c r="E2492" s="1">
        <f ca="1">IFERROR(__xludf.DUMMYFUNCTION("""COMPUTED_VALUE"""),349.6)</f>
        <v>349.6</v>
      </c>
      <c r="F2492" s="1">
        <f ca="1">IFERROR(__xludf.DUMMYFUNCTION("""COMPUTED_VALUE"""),65519012)</f>
        <v>65519012</v>
      </c>
    </row>
    <row r="2493" spans="1:6" x14ac:dyDescent="0.2">
      <c r="A2493" s="2">
        <f ca="1">IFERROR(__xludf.DUMMYFUNCTION("""COMPUTED_VALUE"""),45897.6666666666)</f>
        <v>45897.666666666599</v>
      </c>
      <c r="B2493" s="1">
        <f ca="1">IFERROR(__xludf.DUMMYFUNCTION("""COMPUTED_VALUE"""),350.91)</f>
        <v>350.91</v>
      </c>
      <c r="C2493" s="1">
        <f ca="1">IFERROR(__xludf.DUMMYFUNCTION("""COMPUTED_VALUE"""),353.55)</f>
        <v>353.55</v>
      </c>
      <c r="D2493" s="1">
        <f ca="1">IFERROR(__xludf.DUMMYFUNCTION("""COMPUTED_VALUE"""),340.26)</f>
        <v>340.26</v>
      </c>
      <c r="E2493" s="1">
        <f ca="1">IFERROR(__xludf.DUMMYFUNCTION("""COMPUTED_VALUE"""),345.98)</f>
        <v>345.98</v>
      </c>
      <c r="F2493" s="1">
        <f ca="1">IFERROR(__xludf.DUMMYFUNCTION("""COMPUTED_VALUE"""),67903224)</f>
        <v>67903224</v>
      </c>
    </row>
    <row r="2494" spans="1:6" x14ac:dyDescent="0.2">
      <c r="A2494" s="2">
        <f ca="1">IFERROR(__xludf.DUMMYFUNCTION("""COMPUTED_VALUE"""),45898.6666666666)</f>
        <v>45898.666666666599</v>
      </c>
      <c r="B2494" s="1">
        <f ca="1">IFERROR(__xludf.DUMMYFUNCTION("""COMPUTED_VALUE"""),347.23)</f>
        <v>347.23</v>
      </c>
      <c r="C2494" s="1">
        <f ca="1">IFERROR(__xludf.DUMMYFUNCTION("""COMPUTED_VALUE"""),348.75)</f>
        <v>348.75</v>
      </c>
      <c r="D2494" s="1">
        <f ca="1">IFERROR(__xludf.DUMMYFUNCTION("""COMPUTED_VALUE"""),331.7)</f>
        <v>331.7</v>
      </c>
      <c r="E2494" s="1">
        <f ca="1">IFERROR(__xludf.DUMMYFUNCTION("""COMPUTED_VALUE"""),333.87)</f>
        <v>333.87</v>
      </c>
      <c r="F2494" s="1">
        <f ca="1">IFERROR(__xludf.DUMMYFUNCTION("""COMPUTED_VALUE"""),81145660)</f>
        <v>81145660</v>
      </c>
    </row>
    <row r="2495" spans="1:6" x14ac:dyDescent="0.2">
      <c r="A2495" s="2">
        <f ca="1">IFERROR(__xludf.DUMMYFUNCTION("""COMPUTED_VALUE"""),45902.6666666666)</f>
        <v>45902.666666666599</v>
      </c>
      <c r="B2495" s="1">
        <f ca="1">IFERROR(__xludf.DUMMYFUNCTION("""COMPUTED_VALUE"""),328.23)</f>
        <v>328.23</v>
      </c>
      <c r="C2495" s="1">
        <f ca="1">IFERROR(__xludf.DUMMYFUNCTION("""COMPUTED_VALUE"""),333.33)</f>
        <v>333.33</v>
      </c>
      <c r="D2495" s="1">
        <f ca="1">IFERROR(__xludf.DUMMYFUNCTION("""COMPUTED_VALUE"""),325.6)</f>
        <v>325.60000000000002</v>
      </c>
      <c r="E2495" s="1">
        <f ca="1">IFERROR(__xludf.DUMMYFUNCTION("""COMPUTED_VALUE"""),329.36)</f>
        <v>329.36</v>
      </c>
      <c r="F2495" s="1">
        <f ca="1">IFERROR(__xludf.DUMMYFUNCTION("""COMPUTED_VALUE"""),58391952)</f>
        <v>58391952</v>
      </c>
    </row>
    <row r="2496" spans="1:6" x14ac:dyDescent="0.2">
      <c r="A2496" s="2">
        <f ca="1">IFERROR(__xludf.DUMMYFUNCTION("""COMPUTED_VALUE"""),45903.6666666666)</f>
        <v>45903.666666666599</v>
      </c>
      <c r="B2496" s="1">
        <f ca="1">IFERROR(__xludf.DUMMYFUNCTION("""COMPUTED_VALUE"""),335.2)</f>
        <v>335.2</v>
      </c>
      <c r="C2496" s="1">
        <f ca="1">IFERROR(__xludf.DUMMYFUNCTION("""COMPUTED_VALUE"""),343.33)</f>
        <v>343.33</v>
      </c>
      <c r="D2496" s="1">
        <f ca="1">IFERROR(__xludf.DUMMYFUNCTION("""COMPUTED_VALUE"""),328.51)</f>
        <v>328.51</v>
      </c>
      <c r="E2496" s="1">
        <f ca="1">IFERROR(__xludf.DUMMYFUNCTION("""COMPUTED_VALUE"""),334.09)</f>
        <v>334.09</v>
      </c>
      <c r="F2496" s="1">
        <f ca="1">IFERROR(__xludf.DUMMYFUNCTION("""COMPUTED_VALUE"""),88733288)</f>
        <v>88733288</v>
      </c>
    </row>
    <row r="2497" spans="1:6" x14ac:dyDescent="0.2">
      <c r="A2497" s="2">
        <f ca="1">IFERROR(__xludf.DUMMYFUNCTION("""COMPUTED_VALUE"""),45904.6666666666)</f>
        <v>45904.666666666599</v>
      </c>
      <c r="B2497" s="1">
        <f ca="1">IFERROR(__xludf.DUMMYFUNCTION("""COMPUTED_VALUE"""),336.15)</f>
        <v>336.15</v>
      </c>
      <c r="C2497" s="1">
        <f ca="1">IFERROR(__xludf.DUMMYFUNCTION("""COMPUTED_VALUE"""),338.89)</f>
        <v>338.89</v>
      </c>
      <c r="D2497" s="1">
        <f ca="1">IFERROR(__xludf.DUMMYFUNCTION("""COMPUTED_VALUE"""),331.48)</f>
        <v>331.48</v>
      </c>
      <c r="E2497" s="1">
        <f ca="1">IFERROR(__xludf.DUMMYFUNCTION("""COMPUTED_VALUE"""),338.53)</f>
        <v>338.53</v>
      </c>
      <c r="F2497" s="1">
        <f ca="1">IFERROR(__xludf.DUMMYFUNCTION("""COMPUTED_VALUE"""),60711033)</f>
        <v>60711033</v>
      </c>
    </row>
    <row r="2498" spans="1:6" x14ac:dyDescent="0.2">
      <c r="A2498" s="2">
        <f ca="1">IFERROR(__xludf.DUMMYFUNCTION("""COMPUTED_VALUE"""),45905.6666666666)</f>
        <v>45905.666666666599</v>
      </c>
      <c r="B2498" s="1">
        <f ca="1">IFERROR(__xludf.DUMMYFUNCTION("""COMPUTED_VALUE"""),348)</f>
        <v>348</v>
      </c>
      <c r="C2498" s="1">
        <f ca="1">IFERROR(__xludf.DUMMYFUNCTION("""COMPUTED_VALUE"""),355.87)</f>
        <v>355.87</v>
      </c>
      <c r="D2498" s="1">
        <f ca="1">IFERROR(__xludf.DUMMYFUNCTION("""COMPUTED_VALUE"""),344.68)</f>
        <v>344.68</v>
      </c>
      <c r="E2498" s="1">
        <f ca="1">IFERROR(__xludf.DUMMYFUNCTION("""COMPUTED_VALUE"""),350.84)</f>
        <v>350.84</v>
      </c>
      <c r="F2498" s="1">
        <f ca="1">IFERROR(__xludf.DUMMYFUNCTION("""COMPUTED_VALUE"""),108989785)</f>
        <v>108989785</v>
      </c>
    </row>
    <row r="2499" spans="1:6" x14ac:dyDescent="0.2">
      <c r="A2499" s="2">
        <f ca="1">IFERROR(__xludf.DUMMYFUNCTION("""COMPUTED_VALUE"""),45908.6666666666)</f>
        <v>45908.666666666599</v>
      </c>
      <c r="B2499" s="1">
        <f ca="1">IFERROR(__xludf.DUMMYFUNCTION("""COMPUTED_VALUE"""),354.64)</f>
        <v>354.64</v>
      </c>
      <c r="C2499" s="1">
        <f ca="1">IFERROR(__xludf.DUMMYFUNCTION("""COMPUTED_VALUE"""),358.44)</f>
        <v>358.44</v>
      </c>
      <c r="D2499" s="1">
        <f ca="1">IFERROR(__xludf.DUMMYFUNCTION("""COMPUTED_VALUE"""),344.84)</f>
        <v>344.84</v>
      </c>
      <c r="E2499" s="1">
        <f ca="1">IFERROR(__xludf.DUMMYFUNCTION("""COMPUTED_VALUE"""),346.4)</f>
        <v>346.4</v>
      </c>
      <c r="F2499" s="1">
        <f ca="1">IFERROR(__xludf.DUMMYFUNCTION("""COMPUTED_VALUE"""),75208290)</f>
        <v>75208290</v>
      </c>
    </row>
    <row r="2500" spans="1:6" x14ac:dyDescent="0.2">
      <c r="A2500" s="2">
        <f ca="1">IFERROR(__xludf.DUMMYFUNCTION("""COMPUTED_VALUE"""),45909.6666666666)</f>
        <v>45909.666666666599</v>
      </c>
      <c r="B2500" s="1">
        <f ca="1">IFERROR(__xludf.DUMMYFUNCTION("""COMPUTED_VALUE"""),348.44)</f>
        <v>348.44</v>
      </c>
      <c r="C2500" s="1">
        <f ca="1">IFERROR(__xludf.DUMMYFUNCTION("""COMPUTED_VALUE"""),350.77)</f>
        <v>350.77</v>
      </c>
      <c r="D2500" s="1">
        <f ca="1">IFERROR(__xludf.DUMMYFUNCTION("""COMPUTED_VALUE"""),343.82)</f>
        <v>343.82</v>
      </c>
      <c r="E2500" s="1">
        <f ca="1">IFERROR(__xludf.DUMMYFUNCTION("""COMPUTED_VALUE"""),346.97)</f>
        <v>346.97</v>
      </c>
      <c r="F2500" s="1">
        <f ca="1">IFERROR(__xludf.DUMMYFUNCTION("""COMPUTED_VALUE"""),53815991)</f>
        <v>53815991</v>
      </c>
    </row>
    <row r="2501" spans="1:6" x14ac:dyDescent="0.2">
      <c r="A2501" s="2">
        <f ca="1">IFERROR(__xludf.DUMMYFUNCTION("""COMPUTED_VALUE"""),45910.6666666666)</f>
        <v>45910.666666666599</v>
      </c>
      <c r="B2501" s="1">
        <f ca="1">IFERROR(__xludf.DUMMYFUNCTION("""COMPUTED_VALUE"""),350.55)</f>
        <v>350.55</v>
      </c>
      <c r="C2501" s="1">
        <f ca="1">IFERROR(__xludf.DUMMYFUNCTION("""COMPUTED_VALUE"""),356.33)</f>
        <v>356.33</v>
      </c>
      <c r="D2501" s="1">
        <f ca="1">IFERROR(__xludf.DUMMYFUNCTION("""COMPUTED_VALUE"""),346.07)</f>
        <v>346.07</v>
      </c>
      <c r="E2501" s="1">
        <f ca="1">IFERROR(__xludf.DUMMYFUNCTION("""COMPUTED_VALUE"""),347.79)</f>
        <v>347.79</v>
      </c>
      <c r="F2501" s="1">
        <f ca="1">IFERROR(__xludf.DUMMYFUNCTION("""COMPUTED_VALUE"""),72121679)</f>
        <v>72121679</v>
      </c>
    </row>
    <row r="2502" spans="1:6" x14ac:dyDescent="0.2">
      <c r="A2502" s="2">
        <f ca="1">IFERROR(__xludf.DUMMYFUNCTION("""COMPUTED_VALUE"""),45911.6666666666)</f>
        <v>45911.666666666599</v>
      </c>
      <c r="B2502" s="1">
        <f ca="1">IFERROR(__xludf.DUMMYFUNCTION("""COMPUTED_VALUE"""),350.17)</f>
        <v>350.17</v>
      </c>
      <c r="C2502" s="1">
        <f ca="1">IFERROR(__xludf.DUMMYFUNCTION("""COMPUTED_VALUE"""),368.99)</f>
        <v>368.99</v>
      </c>
      <c r="D2502" s="1">
        <f ca="1">IFERROR(__xludf.DUMMYFUNCTION("""COMPUTED_VALUE"""),347.6)</f>
        <v>347.6</v>
      </c>
      <c r="E2502" s="1">
        <f ca="1">IFERROR(__xludf.DUMMYFUNCTION("""COMPUTED_VALUE"""),368.81)</f>
        <v>368.81</v>
      </c>
      <c r="F2502" s="1">
        <f ca="1">IFERROR(__xludf.DUMMYFUNCTION("""COMPUTED_VALUE"""),103756010)</f>
        <v>103756010</v>
      </c>
    </row>
    <row r="2503" spans="1:6" x14ac:dyDescent="0.2">
      <c r="A2503" s="2">
        <f ca="1">IFERROR(__xludf.DUMMYFUNCTION("""COMPUTED_VALUE"""),45912.6666666666)</f>
        <v>45912.666666666599</v>
      </c>
      <c r="B2503" s="1">
        <f ca="1">IFERROR(__xludf.DUMMYFUNCTION("""COMPUTED_VALUE"""),370.94)</f>
        <v>370.94</v>
      </c>
      <c r="C2503" s="1">
        <f ca="1">IFERROR(__xludf.DUMMYFUNCTION("""COMPUTED_VALUE"""),396.69)</f>
        <v>396.69</v>
      </c>
      <c r="D2503" s="1">
        <f ca="1">IFERROR(__xludf.DUMMYFUNCTION("""COMPUTED_VALUE"""),370.24)</f>
        <v>370.24</v>
      </c>
      <c r="E2503" s="1">
        <f ca="1">IFERROR(__xludf.DUMMYFUNCTION("""COMPUTED_VALUE"""),395.94)</f>
        <v>395.94</v>
      </c>
      <c r="F2503" s="1">
        <f ca="1">IFERROR(__xludf.DUMMYFUNCTION("""COMPUTED_VALUE"""),168156391)</f>
        <v>168156391</v>
      </c>
    </row>
    <row r="2504" spans="1:6" x14ac:dyDescent="0.2">
      <c r="A2504" s="2">
        <f ca="1">IFERROR(__xludf.DUMMYFUNCTION("""COMPUTED_VALUE"""),45915.6666666666)</f>
        <v>45915.666666666599</v>
      </c>
      <c r="B2504" s="1">
        <f ca="1">IFERROR(__xludf.DUMMYFUNCTION("""COMPUTED_VALUE"""),423.13)</f>
        <v>423.13</v>
      </c>
      <c r="C2504" s="1">
        <f ca="1">IFERROR(__xludf.DUMMYFUNCTION("""COMPUTED_VALUE"""),425.7)</f>
        <v>425.7</v>
      </c>
      <c r="D2504" s="1">
        <f ca="1">IFERROR(__xludf.DUMMYFUNCTION("""COMPUTED_VALUE"""),402.43)</f>
        <v>402.43</v>
      </c>
      <c r="E2504" s="1">
        <f ca="1">IFERROR(__xludf.DUMMYFUNCTION("""COMPUTED_VALUE"""),410.04)</f>
        <v>410.04</v>
      </c>
      <c r="F2504" s="1">
        <f ca="1">IFERROR(__xludf.DUMMYFUNCTION("""COMPUTED_VALUE"""),163823667)</f>
        <v>163823667</v>
      </c>
    </row>
    <row r="2505" spans="1:6" x14ac:dyDescent="0.2">
      <c r="A2505" s="2">
        <f ca="1">IFERROR(__xludf.DUMMYFUNCTION("""COMPUTED_VALUE"""),45916.6666666666)</f>
        <v>45916.666666666599</v>
      </c>
      <c r="B2505" s="1">
        <f ca="1">IFERROR(__xludf.DUMMYFUNCTION("""COMPUTED_VALUE"""),414.5)</f>
        <v>414.5</v>
      </c>
      <c r="C2505" s="1">
        <f ca="1">IFERROR(__xludf.DUMMYFUNCTION("""COMPUTED_VALUE"""),423.25)</f>
        <v>423.25</v>
      </c>
      <c r="D2505" s="1">
        <f ca="1">IFERROR(__xludf.DUMMYFUNCTION("""COMPUTED_VALUE"""),411.43)</f>
        <v>411.43</v>
      </c>
      <c r="E2505" s="1">
        <f ca="1">IFERROR(__xludf.DUMMYFUNCTION("""COMPUTED_VALUE"""),421.62)</f>
        <v>421.62</v>
      </c>
      <c r="F2505" s="1">
        <f ca="1">IFERROR(__xludf.DUMMYFUNCTION("""COMPUTED_VALUE"""),104285721)</f>
        <v>104285721</v>
      </c>
    </row>
    <row r="2506" spans="1:6" x14ac:dyDescent="0.2">
      <c r="A2506" s="2">
        <f ca="1">IFERROR(__xludf.DUMMYFUNCTION("""COMPUTED_VALUE"""),45917.6666666666)</f>
        <v>45917.666666666599</v>
      </c>
      <c r="B2506" s="1">
        <f ca="1">IFERROR(__xludf.DUMMYFUNCTION("""COMPUTED_VALUE"""),415.75)</f>
        <v>415.75</v>
      </c>
      <c r="C2506" s="1">
        <f ca="1">IFERROR(__xludf.DUMMYFUNCTION("""COMPUTED_VALUE"""),428.31)</f>
        <v>428.31</v>
      </c>
      <c r="D2506" s="1">
        <f ca="1">IFERROR(__xludf.DUMMYFUNCTION("""COMPUTED_VALUE"""),409.67)</f>
        <v>409.67</v>
      </c>
      <c r="E2506" s="1">
        <f ca="1">IFERROR(__xludf.DUMMYFUNCTION("""COMPUTED_VALUE"""),425.86)</f>
        <v>425.86</v>
      </c>
      <c r="F2506" s="1">
        <f ca="1">IFERROR(__xludf.DUMMYFUNCTION("""COMPUTED_VALUE"""),106133532)</f>
        <v>106133532</v>
      </c>
    </row>
    <row r="2507" spans="1:6" x14ac:dyDescent="0.2">
      <c r="A2507" s="2">
        <f ca="1">IFERROR(__xludf.DUMMYFUNCTION("""COMPUTED_VALUE"""),45918.6666666666)</f>
        <v>45918.666666666599</v>
      </c>
      <c r="B2507" s="1">
        <f ca="1">IFERROR(__xludf.DUMMYFUNCTION("""COMPUTED_VALUE"""),428.87)</f>
        <v>428.87</v>
      </c>
      <c r="C2507" s="1">
        <f ca="1">IFERROR(__xludf.DUMMYFUNCTION("""COMPUTED_VALUE"""),432.22)</f>
        <v>432.22</v>
      </c>
      <c r="D2507" s="1">
        <f ca="1">IFERROR(__xludf.DUMMYFUNCTION("""COMPUTED_VALUE"""),416.56)</f>
        <v>416.56</v>
      </c>
      <c r="E2507" s="1">
        <f ca="1">IFERROR(__xludf.DUMMYFUNCTION("""COMPUTED_VALUE"""),416.85)</f>
        <v>416.85</v>
      </c>
      <c r="F2507" s="1">
        <f ca="1">IFERROR(__xludf.DUMMYFUNCTION("""COMPUTED_VALUE"""),90454509)</f>
        <v>90454509</v>
      </c>
    </row>
    <row r="2508" spans="1:6" x14ac:dyDescent="0.2">
      <c r="A2508" s="2">
        <f ca="1">IFERROR(__xludf.DUMMYFUNCTION("""COMPUTED_VALUE"""),45919.6666666666)</f>
        <v>45919.666666666599</v>
      </c>
      <c r="B2508" s="1">
        <f ca="1">IFERROR(__xludf.DUMMYFUNCTION("""COMPUTED_VALUE"""),421.82)</f>
        <v>421.82</v>
      </c>
      <c r="C2508" s="1">
        <f ca="1">IFERROR(__xludf.DUMMYFUNCTION("""COMPUTED_VALUE"""),429.47)</f>
        <v>429.47</v>
      </c>
      <c r="D2508" s="1">
        <f ca="1">IFERROR(__xludf.DUMMYFUNCTION("""COMPUTED_VALUE"""),421.72)</f>
        <v>421.72</v>
      </c>
      <c r="E2508" s="1">
        <f ca="1">IFERROR(__xludf.DUMMYFUNCTION("""COMPUTED_VALUE"""),426.07)</f>
        <v>426.07</v>
      </c>
      <c r="F2508" s="1">
        <f ca="1">IFERROR(__xludf.DUMMYFUNCTION("""COMPUTED_VALUE"""),93131034)</f>
        <v>93131034</v>
      </c>
    </row>
    <row r="2509" spans="1:6" x14ac:dyDescent="0.2">
      <c r="A2509" s="2">
        <f ca="1">IFERROR(__xludf.DUMMYFUNCTION("""COMPUTED_VALUE"""),45922.6666666666)</f>
        <v>45922.666666666599</v>
      </c>
      <c r="B2509" s="1">
        <f ca="1">IFERROR(__xludf.DUMMYFUNCTION("""COMPUTED_VALUE"""),431.11)</f>
        <v>431.11</v>
      </c>
      <c r="C2509" s="1">
        <f ca="1">IFERROR(__xludf.DUMMYFUNCTION("""COMPUTED_VALUE"""),444.98)</f>
        <v>444.98</v>
      </c>
      <c r="D2509" s="1">
        <f ca="1">IFERROR(__xludf.DUMMYFUNCTION("""COMPUTED_VALUE"""),429.13)</f>
        <v>429.13</v>
      </c>
      <c r="E2509" s="1">
        <f ca="1">IFERROR(__xludf.DUMMYFUNCTION("""COMPUTED_VALUE"""),434.21)</f>
        <v>434.21</v>
      </c>
      <c r="F2509" s="1">
        <f ca="1">IFERROR(__xludf.DUMMYFUNCTION("""COMPUTED_VALUE"""),97108777)</f>
        <v>97108777</v>
      </c>
    </row>
    <row r="2510" spans="1:6" x14ac:dyDescent="0.2">
      <c r="A2510" s="2">
        <f ca="1">IFERROR(__xludf.DUMMYFUNCTION("""COMPUTED_VALUE"""),45923.6666666666)</f>
        <v>45923.666666666599</v>
      </c>
      <c r="B2510" s="1">
        <f ca="1">IFERROR(__xludf.DUMMYFUNCTION("""COMPUTED_VALUE"""),439.88)</f>
        <v>439.88</v>
      </c>
      <c r="C2510" s="1">
        <f ca="1">IFERROR(__xludf.DUMMYFUNCTION("""COMPUTED_VALUE"""),440.97)</f>
        <v>440.97</v>
      </c>
      <c r="D2510" s="1">
        <f ca="1">IFERROR(__xludf.DUMMYFUNCTION("""COMPUTED_VALUE"""),423.72)</f>
        <v>423.72</v>
      </c>
      <c r="E2510" s="1">
        <f ca="1">IFERROR(__xludf.DUMMYFUNCTION("""COMPUTED_VALUE"""),425.85)</f>
        <v>425.85</v>
      </c>
      <c r="F2510" s="1">
        <f ca="1">IFERROR(__xludf.DUMMYFUNCTION("""COMPUTED_VALUE"""),83422691)</f>
        <v>83422691</v>
      </c>
    </row>
    <row r="2511" spans="1:6" x14ac:dyDescent="0.2">
      <c r="A2511" s="2">
        <f ca="1">IFERROR(__xludf.DUMMYFUNCTION("""COMPUTED_VALUE"""),45924.6666666666)</f>
        <v>45924.666666666599</v>
      </c>
      <c r="B2511" s="1">
        <f ca="1">IFERROR(__xludf.DUMMYFUNCTION("""COMPUTED_VALUE"""),439.88)</f>
        <v>439.88</v>
      </c>
      <c r="C2511" s="1">
        <f ca="1">IFERROR(__xludf.DUMMYFUNCTION("""COMPUTED_VALUE"""),440.97)</f>
        <v>440.97</v>
      </c>
      <c r="D2511" s="1">
        <f ca="1">IFERROR(__xludf.DUMMYFUNCTION("""COMPUTED_VALUE"""),423.72)</f>
        <v>423.72</v>
      </c>
      <c r="E2511" s="1">
        <f ca="1">IFERROR(__xludf.DUMMYFUNCTION("""COMPUTED_VALUE"""),425.85)</f>
        <v>425.85</v>
      </c>
      <c r="F2511" s="1">
        <f ca="1">IFERROR(__xludf.DUMMYFUNCTION("""COMPUTED_VALUE"""),1669878)</f>
        <v>1669878</v>
      </c>
    </row>
    <row r="2512" spans="1:6" x14ac:dyDescent="0.2">
      <c r="A2512" s="2">
        <f ca="1">IFERROR(__xludf.DUMMYFUNCTION("""COMPUTED_VALUE"""),45926.6666666666)</f>
        <v>45926.666666666599</v>
      </c>
      <c r="B2512" s="1">
        <f ca="1">IFERROR(__xludf.DUMMYFUNCTION("""COMPUTED_VALUE"""),428.3)</f>
        <v>428.3</v>
      </c>
      <c r="C2512" s="1">
        <f ca="1">IFERROR(__xludf.DUMMYFUNCTION("""COMPUTED_VALUE"""),440.47)</f>
        <v>440.47</v>
      </c>
      <c r="D2512" s="1">
        <f ca="1">IFERROR(__xludf.DUMMYFUNCTION("""COMPUTED_VALUE"""),421.02)</f>
        <v>421.02</v>
      </c>
      <c r="E2512" s="1">
        <f ca="1">IFERROR(__xludf.DUMMYFUNCTION("""COMPUTED_VALUE"""),440.4)</f>
        <v>440.4</v>
      </c>
      <c r="F2512" s="1">
        <f ca="1">IFERROR(__xludf.DUMMYFUNCTION("""COMPUTED_VALUE"""),101628160)</f>
        <v>101628160</v>
      </c>
    </row>
    <row r="2513" spans="1:6" x14ac:dyDescent="0.2">
      <c r="A2513" s="2">
        <f ca="1">IFERROR(__xludf.DUMMYFUNCTION("""COMPUTED_VALUE"""),45929.6666666666)</f>
        <v>45929.666666666599</v>
      </c>
      <c r="B2513" s="1">
        <f ca="1">IFERROR(__xludf.DUMMYFUNCTION("""COMPUTED_VALUE"""),444.35)</f>
        <v>444.35</v>
      </c>
      <c r="C2513" s="1">
        <f ca="1">IFERROR(__xludf.DUMMYFUNCTION("""COMPUTED_VALUE"""),450.98)</f>
        <v>450.98</v>
      </c>
      <c r="D2513" s="1">
        <f ca="1">IFERROR(__xludf.DUMMYFUNCTION("""COMPUTED_VALUE"""),439.5)</f>
        <v>439.5</v>
      </c>
      <c r="E2513" s="1">
        <f ca="1">IFERROR(__xludf.DUMMYFUNCTION("""COMPUTED_VALUE"""),443.21)</f>
        <v>443.21</v>
      </c>
      <c r="F2513" s="1">
        <f ca="1">IFERROR(__xludf.DUMMYFUNCTION("""COMPUTED_VALUE"""),79491510)</f>
        <v>79491510</v>
      </c>
    </row>
    <row r="2514" spans="1:6" x14ac:dyDescent="0.2">
      <c r="A2514" s="2">
        <f ca="1">IFERROR(__xludf.DUMMYFUNCTION("""COMPUTED_VALUE"""),45930.6666666666)</f>
        <v>45930.666666666599</v>
      </c>
      <c r="B2514" s="1">
        <f ca="1">IFERROR(__xludf.DUMMYFUNCTION("""COMPUTED_VALUE"""),441.52)</f>
        <v>441.52</v>
      </c>
      <c r="C2514" s="1">
        <f ca="1">IFERROR(__xludf.DUMMYFUNCTION("""COMPUTED_VALUE"""),445)</f>
        <v>445</v>
      </c>
      <c r="D2514" s="1">
        <f ca="1">IFERROR(__xludf.DUMMYFUNCTION("""COMPUTED_VALUE"""),433.12)</f>
        <v>433.12</v>
      </c>
      <c r="E2514" s="1">
        <f ca="1">IFERROR(__xludf.DUMMYFUNCTION("""COMPUTED_VALUE"""),444.72)</f>
        <v>444.72</v>
      </c>
      <c r="F2514" s="1">
        <f ca="1">IFERROR(__xludf.DUMMYFUNCTION("""COMPUTED_VALUE"""),74357960)</f>
        <v>74357960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514"/>
  <sheetViews>
    <sheetView zoomScaleNormal="100" workbookViewId="0">
      <selection activeCell="A2514" sqref="A2514"/>
    </sheetView>
  </sheetViews>
  <sheetFormatPr defaultColWidth="12.5703125" defaultRowHeight="12.75" x14ac:dyDescent="0.2"/>
  <cols>
    <col min="1" max="1" width="18.140625" bestFit="1" customWidth="1"/>
    <col min="7" max="7" width="22.42578125" style="5" bestFit="1" customWidth="1"/>
    <col min="8" max="8" width="12.5703125" style="14"/>
    <col min="9" max="9" width="16" bestFit="1" customWidth="1"/>
    <col min="10" max="10" width="23.42578125" bestFit="1" customWidth="1"/>
    <col min="11" max="11" width="20.7109375" bestFit="1" customWidth="1"/>
  </cols>
  <sheetData>
    <row r="1" spans="1:10" x14ac:dyDescent="0.2">
      <c r="A1" s="1" t="str">
        <f ca="1">IFERROR(__xludf.DUMMYFUNCTION("GOOGLEFINANCE(""NASDAQ:TSLA"",""all"",DATE(2015,10,1),TODAY(),""DAILY"")
"),"Date")</f>
        <v>Date</v>
      </c>
      <c r="B1" s="1" t="str">
        <f ca="1">IFERROR(__xludf.DUMMYFUNCTION("""COMPUTED_VALUE"""),"Open")</f>
        <v>Open</v>
      </c>
      <c r="C1" s="1" t="str">
        <f ca="1">IFERROR(__xludf.DUMMYFUNCTION("""COMPUTED_VALUE"""),"High")</f>
        <v>High</v>
      </c>
      <c r="D1" s="1" t="str">
        <f ca="1">IFERROR(__xludf.DUMMYFUNCTION("""COMPUTED_VALUE"""),"Low")</f>
        <v>Low</v>
      </c>
      <c r="E1" s="1" t="str">
        <f ca="1">IFERROR(__xludf.DUMMYFUNCTION("""COMPUTED_VALUE"""),"Close")</f>
        <v>Close</v>
      </c>
      <c r="F1" s="1" t="str">
        <f ca="1">IFERROR(__xludf.DUMMYFUNCTION("""COMPUTED_VALUE"""),"Volume")</f>
        <v>Volume</v>
      </c>
      <c r="G1" s="4" t="s">
        <v>0</v>
      </c>
      <c r="H1" s="14" t="s">
        <v>1</v>
      </c>
      <c r="I1" s="9" t="s">
        <v>7</v>
      </c>
    </row>
    <row r="2" spans="1:10" x14ac:dyDescent="0.2">
      <c r="A2" s="3">
        <v>42278</v>
      </c>
      <c r="B2" s="1">
        <f ca="1">IFERROR(__xludf.DUMMYFUNCTION("""COMPUTED_VALUE"""),16.5)</f>
        <v>16.5</v>
      </c>
      <c r="C2" s="1">
        <f ca="1">IFERROR(__xludf.DUMMYFUNCTION("""COMPUTED_VALUE"""),16.57)</f>
        <v>16.57</v>
      </c>
      <c r="D2" s="1">
        <f ca="1">IFERROR(__xludf.DUMMYFUNCTION("""COMPUTED_VALUE"""),15.81)</f>
        <v>15.81</v>
      </c>
      <c r="E2" s="1">
        <f ca="1">IFERROR(__xludf.DUMMYFUNCTION("""COMPUTED_VALUE"""),15.99)</f>
        <v>15.99</v>
      </c>
      <c r="F2" s="1">
        <f ca="1">IFERROR(__xludf.DUMMYFUNCTION("""COMPUTED_VALUE"""),4572964)</f>
        <v>4572964</v>
      </c>
      <c r="G2" s="5">
        <f ca="1">(E3-E2)/E2</f>
        <v>3.1894934333958708E-2</v>
      </c>
      <c r="H2" s="14">
        <f>YEAR(A2)</f>
        <v>2015</v>
      </c>
      <c r="I2" s="5">
        <f ca="1">((E2 - B2) / B2)</f>
        <v>-3.0909090909090896E-2</v>
      </c>
      <c r="J2" s="16"/>
    </row>
    <row r="3" spans="1:10" x14ac:dyDescent="0.2">
      <c r="A3" s="3">
        <v>42279</v>
      </c>
      <c r="B3" s="1">
        <f ca="1">IFERROR(__xludf.DUMMYFUNCTION("""COMPUTED_VALUE"""),15.71)</f>
        <v>15.71</v>
      </c>
      <c r="C3" s="1">
        <f ca="1">IFERROR(__xludf.DUMMYFUNCTION("""COMPUTED_VALUE"""),16.51)</f>
        <v>16.510000000000002</v>
      </c>
      <c r="D3" s="1">
        <f ca="1">IFERROR(__xludf.DUMMYFUNCTION("""COMPUTED_VALUE"""),15.66)</f>
        <v>15.66</v>
      </c>
      <c r="E3" s="1">
        <f ca="1">IFERROR(__xludf.DUMMYFUNCTION("""COMPUTED_VALUE"""),16.5)</f>
        <v>16.5</v>
      </c>
      <c r="F3" s="1">
        <f ca="1">IFERROR(__xludf.DUMMYFUNCTION("""COMPUTED_VALUE"""),4423982)</f>
        <v>4423982</v>
      </c>
      <c r="G3" s="5">
        <f t="shared" ref="G3:G66" ca="1" si="0">(E4-E3)/E3</f>
        <v>-5.4545454545454463E-3</v>
      </c>
      <c r="H3" s="14">
        <f t="shared" ref="H3:H66" si="1">YEAR(A3)</f>
        <v>2015</v>
      </c>
      <c r="I3" s="5">
        <f t="shared" ref="I3:I66" ca="1" si="2">((E3 - B3) / B3)</f>
        <v>5.0286441756842722E-2</v>
      </c>
      <c r="J3" s="16"/>
    </row>
    <row r="4" spans="1:10" x14ac:dyDescent="0.2">
      <c r="A4" s="3">
        <v>42282</v>
      </c>
      <c r="B4" s="1">
        <f ca="1">IFERROR(__xludf.DUMMYFUNCTION("""COMPUTED_VALUE"""),16.59)</f>
        <v>16.59</v>
      </c>
      <c r="C4" s="1">
        <f ca="1">IFERROR(__xludf.DUMMYFUNCTION("""COMPUTED_VALUE"""),16.66)</f>
        <v>16.66</v>
      </c>
      <c r="D4" s="1">
        <f ca="1">IFERROR(__xludf.DUMMYFUNCTION("""COMPUTED_VALUE"""),16.28)</f>
        <v>16.28</v>
      </c>
      <c r="E4" s="1">
        <f ca="1">IFERROR(__xludf.DUMMYFUNCTION("""COMPUTED_VALUE"""),16.41)</f>
        <v>16.41</v>
      </c>
      <c r="F4" s="1">
        <f ca="1">IFERROR(__xludf.DUMMYFUNCTION("""COMPUTED_VALUE"""),3689865)</f>
        <v>3689865</v>
      </c>
      <c r="G4" s="5">
        <f t="shared" ca="1" si="0"/>
        <v>-1.8890920170627587E-2</v>
      </c>
      <c r="H4" s="14">
        <f t="shared" si="1"/>
        <v>2015</v>
      </c>
      <c r="I4" s="5">
        <f t="shared" ca="1" si="2"/>
        <v>-1.0849909584086782E-2</v>
      </c>
      <c r="J4" s="16"/>
    </row>
    <row r="5" spans="1:10" x14ac:dyDescent="0.2">
      <c r="A5" s="3">
        <v>42283</v>
      </c>
      <c r="B5" s="1">
        <f ca="1">IFERROR(__xludf.DUMMYFUNCTION("""COMPUTED_VALUE"""),16)</f>
        <v>16</v>
      </c>
      <c r="C5" s="1">
        <f ca="1">IFERROR(__xludf.DUMMYFUNCTION("""COMPUTED_VALUE"""),16.2)</f>
        <v>16.2</v>
      </c>
      <c r="D5" s="1">
        <f ca="1">IFERROR(__xludf.DUMMYFUNCTION("""COMPUTED_VALUE"""),15.71)</f>
        <v>15.71</v>
      </c>
      <c r="E5" s="1">
        <f ca="1">IFERROR(__xludf.DUMMYFUNCTION("""COMPUTED_VALUE"""),16.1)</f>
        <v>16.100000000000001</v>
      </c>
      <c r="F5" s="1">
        <f ca="1">IFERROR(__xludf.DUMMYFUNCTION("""COMPUTED_VALUE"""),5235897)</f>
        <v>5235897</v>
      </c>
      <c r="G5" s="5">
        <f t="shared" ca="1" si="0"/>
        <v>-3.9751552795031085E-2</v>
      </c>
      <c r="H5" s="14">
        <f t="shared" si="1"/>
        <v>2015</v>
      </c>
      <c r="I5" s="5">
        <f t="shared" ca="1" si="2"/>
        <v>6.2500000000000888E-3</v>
      </c>
      <c r="J5" s="16"/>
    </row>
    <row r="6" spans="1:10" x14ac:dyDescent="0.2">
      <c r="A6" s="3">
        <v>42284</v>
      </c>
      <c r="B6" s="1">
        <f ca="1">IFERROR(__xludf.DUMMYFUNCTION("""COMPUTED_VALUE"""),15.78)</f>
        <v>15.78</v>
      </c>
      <c r="C6" s="1">
        <f ca="1">IFERROR(__xludf.DUMMYFUNCTION("""COMPUTED_VALUE"""),15.85)</f>
        <v>15.85</v>
      </c>
      <c r="D6" s="1">
        <f ca="1">IFERROR(__xludf.DUMMYFUNCTION("""COMPUTED_VALUE"""),15.27)</f>
        <v>15.27</v>
      </c>
      <c r="E6" s="1">
        <f ca="1">IFERROR(__xludf.DUMMYFUNCTION("""COMPUTED_VALUE"""),15.46)</f>
        <v>15.46</v>
      </c>
      <c r="F6" s="1">
        <f ca="1">IFERROR(__xludf.DUMMYFUNCTION("""COMPUTED_VALUE"""),6813959)</f>
        <v>6813959</v>
      </c>
      <c r="G6" s="5">
        <f t="shared" ca="1" si="0"/>
        <v>-2.2639068564036312E-2</v>
      </c>
      <c r="H6" s="14">
        <f t="shared" si="1"/>
        <v>2015</v>
      </c>
      <c r="I6" s="5">
        <f t="shared" ca="1" si="2"/>
        <v>-2.02788339670468E-2</v>
      </c>
      <c r="J6" s="16"/>
    </row>
    <row r="7" spans="1:10" x14ac:dyDescent="0.2">
      <c r="A7" s="3">
        <v>42285</v>
      </c>
      <c r="B7" s="1">
        <f ca="1">IFERROR(__xludf.DUMMYFUNCTION("""COMPUTED_VALUE"""),15.34)</f>
        <v>15.34</v>
      </c>
      <c r="C7" s="1">
        <f ca="1">IFERROR(__xludf.DUMMYFUNCTION("""COMPUTED_VALUE"""),15.38)</f>
        <v>15.38</v>
      </c>
      <c r="D7" s="1">
        <f ca="1">IFERROR(__xludf.DUMMYFUNCTION("""COMPUTED_VALUE"""),14.75)</f>
        <v>14.75</v>
      </c>
      <c r="E7" s="1">
        <f ca="1">IFERROR(__xludf.DUMMYFUNCTION("""COMPUTED_VALUE"""),15.11)</f>
        <v>15.11</v>
      </c>
      <c r="F7" s="1">
        <f ca="1">IFERROR(__xludf.DUMMYFUNCTION("""COMPUTED_VALUE"""),6133216)</f>
        <v>6133216</v>
      </c>
      <c r="G7" s="5">
        <f t="shared" ca="1" si="0"/>
        <v>-2.647253474520176E-2</v>
      </c>
      <c r="H7" s="14">
        <f t="shared" si="1"/>
        <v>2015</v>
      </c>
      <c r="I7" s="5">
        <f t="shared" ca="1" si="2"/>
        <v>-1.4993481095176038E-2</v>
      </c>
      <c r="J7" s="16"/>
    </row>
    <row r="8" spans="1:10" x14ac:dyDescent="0.2">
      <c r="A8" s="3">
        <v>42286</v>
      </c>
      <c r="B8" s="1">
        <f ca="1">IFERROR(__xludf.DUMMYFUNCTION("""COMPUTED_VALUE"""),14.73)</f>
        <v>14.73</v>
      </c>
      <c r="C8" s="1">
        <f ca="1">IFERROR(__xludf.DUMMYFUNCTION("""COMPUTED_VALUE"""),14.96)</f>
        <v>14.96</v>
      </c>
      <c r="D8" s="1">
        <f ca="1">IFERROR(__xludf.DUMMYFUNCTION("""COMPUTED_VALUE"""),14.56)</f>
        <v>14.56</v>
      </c>
      <c r="E8" s="1">
        <f ca="1">IFERROR(__xludf.DUMMYFUNCTION("""COMPUTED_VALUE"""),14.71)</f>
        <v>14.71</v>
      </c>
      <c r="F8" s="1">
        <f ca="1">IFERROR(__xludf.DUMMYFUNCTION("""COMPUTED_VALUE"""),6158370)</f>
        <v>6158370</v>
      </c>
      <c r="G8" s="5">
        <f t="shared" ca="1" si="0"/>
        <v>-2.311352821210072E-2</v>
      </c>
      <c r="H8" s="14">
        <f t="shared" si="1"/>
        <v>2015</v>
      </c>
      <c r="I8" s="5">
        <f t="shared" ca="1" si="2"/>
        <v>-1.3577732518669093E-3</v>
      </c>
      <c r="J8" s="16"/>
    </row>
    <row r="9" spans="1:10" x14ac:dyDescent="0.2">
      <c r="A9" s="3">
        <v>42289</v>
      </c>
      <c r="B9" s="1">
        <f ca="1">IFERROR(__xludf.DUMMYFUNCTION("""COMPUTED_VALUE"""),14.87)</f>
        <v>14.87</v>
      </c>
      <c r="C9" s="1">
        <f ca="1">IFERROR(__xludf.DUMMYFUNCTION("""COMPUTED_VALUE"""),14.87)</f>
        <v>14.87</v>
      </c>
      <c r="D9" s="1">
        <f ca="1">IFERROR(__xludf.DUMMYFUNCTION("""COMPUTED_VALUE"""),14.35)</f>
        <v>14.35</v>
      </c>
      <c r="E9" s="1">
        <f ca="1">IFERROR(__xludf.DUMMYFUNCTION("""COMPUTED_VALUE"""),14.37)</f>
        <v>14.37</v>
      </c>
      <c r="F9" s="1">
        <f ca="1">IFERROR(__xludf.DUMMYFUNCTION("""COMPUTED_VALUE"""),3836303)</f>
        <v>3836303</v>
      </c>
      <c r="G9" s="5">
        <f t="shared" ca="1" si="0"/>
        <v>1.7397355601948505E-2</v>
      </c>
      <c r="H9" s="14">
        <f t="shared" si="1"/>
        <v>2015</v>
      </c>
      <c r="I9" s="5">
        <f t="shared" ca="1" si="2"/>
        <v>-3.3624747814391391E-2</v>
      </c>
      <c r="J9" s="16"/>
    </row>
    <row r="10" spans="1:10" x14ac:dyDescent="0.2">
      <c r="A10" s="3">
        <v>42290</v>
      </c>
      <c r="B10" s="1">
        <f ca="1">IFERROR(__xludf.DUMMYFUNCTION("""COMPUTED_VALUE"""),14.22)</f>
        <v>14.22</v>
      </c>
      <c r="C10" s="1">
        <f ca="1">IFERROR(__xludf.DUMMYFUNCTION("""COMPUTED_VALUE"""),14.83)</f>
        <v>14.83</v>
      </c>
      <c r="D10" s="1">
        <f ca="1">IFERROR(__xludf.DUMMYFUNCTION("""COMPUTED_VALUE"""),14.08)</f>
        <v>14.08</v>
      </c>
      <c r="E10" s="1">
        <f ca="1">IFERROR(__xludf.DUMMYFUNCTION("""COMPUTED_VALUE"""),14.62)</f>
        <v>14.62</v>
      </c>
      <c r="F10" s="1">
        <f ca="1">IFERROR(__xludf.DUMMYFUNCTION("""COMPUTED_VALUE"""),5171535)</f>
        <v>5171535</v>
      </c>
      <c r="G10" s="5">
        <f t="shared" ca="1" si="0"/>
        <v>-1.0943912448700299E-2</v>
      </c>
      <c r="H10" s="14">
        <f t="shared" si="1"/>
        <v>2015</v>
      </c>
      <c r="I10" s="5">
        <f t="shared" ca="1" si="2"/>
        <v>2.8129395218002711E-2</v>
      </c>
      <c r="J10" s="16"/>
    </row>
    <row r="11" spans="1:10" x14ac:dyDescent="0.2">
      <c r="A11" s="3">
        <v>42291</v>
      </c>
      <c r="B11" s="1">
        <f ca="1">IFERROR(__xludf.DUMMYFUNCTION("""COMPUTED_VALUE"""),14.71)</f>
        <v>14.71</v>
      </c>
      <c r="C11" s="1">
        <f ca="1">IFERROR(__xludf.DUMMYFUNCTION("""COMPUTED_VALUE"""),14.73)</f>
        <v>14.73</v>
      </c>
      <c r="D11" s="1">
        <f ca="1">IFERROR(__xludf.DUMMYFUNCTION("""COMPUTED_VALUE"""),14.36)</f>
        <v>14.36</v>
      </c>
      <c r="E11" s="1">
        <f ca="1">IFERROR(__xludf.DUMMYFUNCTION("""COMPUTED_VALUE"""),14.46)</f>
        <v>14.46</v>
      </c>
      <c r="F11" s="1">
        <f ca="1">IFERROR(__xludf.DUMMYFUNCTION("""COMPUTED_VALUE"""),3104446)</f>
        <v>3104446</v>
      </c>
      <c r="G11" s="5">
        <f t="shared" ca="1" si="0"/>
        <v>2.0055325034578086E-2</v>
      </c>
      <c r="H11" s="14">
        <f t="shared" si="1"/>
        <v>2015</v>
      </c>
      <c r="I11" s="5">
        <f t="shared" ca="1" si="2"/>
        <v>-1.6995241332426921E-2</v>
      </c>
      <c r="J11" s="16"/>
    </row>
    <row r="12" spans="1:10" x14ac:dyDescent="0.2">
      <c r="A12" s="3">
        <v>42292</v>
      </c>
      <c r="B12" s="1">
        <f ca="1">IFERROR(__xludf.DUMMYFUNCTION("""COMPUTED_VALUE"""),14.43)</f>
        <v>14.43</v>
      </c>
      <c r="C12" s="1">
        <f ca="1">IFERROR(__xludf.DUMMYFUNCTION("""COMPUTED_VALUE"""),14.78)</f>
        <v>14.78</v>
      </c>
      <c r="D12" s="1">
        <f ca="1">IFERROR(__xludf.DUMMYFUNCTION("""COMPUTED_VALUE"""),14.25)</f>
        <v>14.25</v>
      </c>
      <c r="E12" s="1">
        <f ca="1">IFERROR(__xludf.DUMMYFUNCTION("""COMPUTED_VALUE"""),14.75)</f>
        <v>14.75</v>
      </c>
      <c r="F12" s="1">
        <f ca="1">IFERROR(__xludf.DUMMYFUNCTION("""COMPUTED_VALUE"""),2844233)</f>
        <v>2844233</v>
      </c>
      <c r="G12" s="5">
        <f t="shared" ca="1" si="0"/>
        <v>2.5762711864406831E-2</v>
      </c>
      <c r="H12" s="14">
        <f t="shared" si="1"/>
        <v>2015</v>
      </c>
      <c r="I12" s="5">
        <f t="shared" ca="1" si="2"/>
        <v>2.2176022176022197E-2</v>
      </c>
      <c r="J12" s="16"/>
    </row>
    <row r="13" spans="1:10" x14ac:dyDescent="0.2">
      <c r="A13" s="3">
        <v>42293</v>
      </c>
      <c r="B13" s="1">
        <f ca="1">IFERROR(__xludf.DUMMYFUNCTION("""COMPUTED_VALUE"""),14.87)</f>
        <v>14.87</v>
      </c>
      <c r="C13" s="1">
        <f ca="1">IFERROR(__xludf.DUMMYFUNCTION("""COMPUTED_VALUE"""),15.37)</f>
        <v>15.37</v>
      </c>
      <c r="D13" s="1">
        <f ca="1">IFERROR(__xludf.DUMMYFUNCTION("""COMPUTED_VALUE"""),14.86)</f>
        <v>14.86</v>
      </c>
      <c r="E13" s="1">
        <f ca="1">IFERROR(__xludf.DUMMYFUNCTION("""COMPUTED_VALUE"""),15.13)</f>
        <v>15.13</v>
      </c>
      <c r="F13" s="1">
        <f ca="1">IFERROR(__xludf.DUMMYFUNCTION("""COMPUTED_VALUE"""),4334493)</f>
        <v>4334493</v>
      </c>
      <c r="G13" s="5">
        <f t="shared" ca="1" si="0"/>
        <v>5.287508261731663E-3</v>
      </c>
      <c r="H13" s="14">
        <f t="shared" si="1"/>
        <v>2015</v>
      </c>
      <c r="I13" s="5">
        <f t="shared" ca="1" si="2"/>
        <v>1.7484868863483629E-2</v>
      </c>
      <c r="J13" s="16"/>
    </row>
    <row r="14" spans="1:10" x14ac:dyDescent="0.2">
      <c r="A14" s="3">
        <v>42296</v>
      </c>
      <c r="B14" s="1">
        <f ca="1">IFERROR(__xludf.DUMMYFUNCTION("""COMPUTED_VALUE"""),15.1)</f>
        <v>15.1</v>
      </c>
      <c r="C14" s="1">
        <f ca="1">IFERROR(__xludf.DUMMYFUNCTION("""COMPUTED_VALUE"""),15.41)</f>
        <v>15.41</v>
      </c>
      <c r="D14" s="1">
        <f ca="1">IFERROR(__xludf.DUMMYFUNCTION("""COMPUTED_VALUE"""),15)</f>
        <v>15</v>
      </c>
      <c r="E14" s="1">
        <f ca="1">IFERROR(__xludf.DUMMYFUNCTION("""COMPUTED_VALUE"""),15.21)</f>
        <v>15.21</v>
      </c>
      <c r="F14" s="1">
        <f ca="1">IFERROR(__xludf.DUMMYFUNCTION("""COMPUTED_VALUE"""),2507895)</f>
        <v>2507895</v>
      </c>
      <c r="G14" s="5">
        <f t="shared" ca="1" si="0"/>
        <v>-6.6403681788297267E-2</v>
      </c>
      <c r="H14" s="14">
        <f t="shared" si="1"/>
        <v>2015</v>
      </c>
      <c r="I14" s="5">
        <f t="shared" ca="1" si="2"/>
        <v>7.28476821192061E-3</v>
      </c>
      <c r="J14" s="16"/>
    </row>
    <row r="15" spans="1:10" x14ac:dyDescent="0.2">
      <c r="A15" s="3">
        <v>42297</v>
      </c>
      <c r="B15" s="1">
        <f ca="1">IFERROR(__xludf.DUMMYFUNCTION("""COMPUTED_VALUE"""),15.18)</f>
        <v>15.18</v>
      </c>
      <c r="C15" s="1">
        <f ca="1">IFERROR(__xludf.DUMMYFUNCTION("""COMPUTED_VALUE"""),15.24)</f>
        <v>15.24</v>
      </c>
      <c r="D15" s="1">
        <f ca="1">IFERROR(__xludf.DUMMYFUNCTION("""COMPUTED_VALUE"""),13.47)</f>
        <v>13.47</v>
      </c>
      <c r="E15" s="1">
        <f ca="1">IFERROR(__xludf.DUMMYFUNCTION("""COMPUTED_VALUE"""),14.2)</f>
        <v>14.2</v>
      </c>
      <c r="F15" s="1">
        <f ca="1">IFERROR(__xludf.DUMMYFUNCTION("""COMPUTED_VALUE"""),14900047)</f>
        <v>14900047</v>
      </c>
      <c r="G15" s="5">
        <f t="shared" ca="1" si="0"/>
        <v>-1.338028169014081E-2</v>
      </c>
      <c r="H15" s="14">
        <f t="shared" si="1"/>
        <v>2015</v>
      </c>
      <c r="I15" s="5">
        <f t="shared" ca="1" si="2"/>
        <v>-6.4558629776021115E-2</v>
      </c>
      <c r="J15" s="16"/>
    </row>
    <row r="16" spans="1:10" x14ac:dyDescent="0.2">
      <c r="A16" s="3">
        <v>42298</v>
      </c>
      <c r="B16" s="1">
        <f ca="1">IFERROR(__xludf.DUMMYFUNCTION("""COMPUTED_VALUE"""),14.13)</f>
        <v>14.13</v>
      </c>
      <c r="C16" s="1">
        <f ca="1">IFERROR(__xludf.DUMMYFUNCTION("""COMPUTED_VALUE"""),14.32)</f>
        <v>14.32</v>
      </c>
      <c r="D16" s="1">
        <f ca="1">IFERROR(__xludf.DUMMYFUNCTION("""COMPUTED_VALUE"""),13.92)</f>
        <v>13.92</v>
      </c>
      <c r="E16" s="1">
        <f ca="1">IFERROR(__xludf.DUMMYFUNCTION("""COMPUTED_VALUE"""),14.01)</f>
        <v>14.01</v>
      </c>
      <c r="F16" s="1">
        <f ca="1">IFERROR(__xludf.DUMMYFUNCTION("""COMPUTED_VALUE"""),4183471)</f>
        <v>4183471</v>
      </c>
      <c r="G16" s="5">
        <f t="shared" ca="1" si="0"/>
        <v>7.1377587437544358E-3</v>
      </c>
      <c r="H16" s="14">
        <f t="shared" si="1"/>
        <v>2015</v>
      </c>
      <c r="I16" s="5">
        <f t="shared" ca="1" si="2"/>
        <v>-8.4925690021232115E-3</v>
      </c>
      <c r="J16" s="16"/>
    </row>
    <row r="17" spans="1:10" x14ac:dyDescent="0.2">
      <c r="A17" s="3">
        <v>42299</v>
      </c>
      <c r="B17" s="1">
        <f ca="1">IFERROR(__xludf.DUMMYFUNCTION("""COMPUTED_VALUE"""),14.1)</f>
        <v>14.1</v>
      </c>
      <c r="C17" s="1">
        <f ca="1">IFERROR(__xludf.DUMMYFUNCTION("""COMPUTED_VALUE"""),14.38)</f>
        <v>14.38</v>
      </c>
      <c r="D17" s="1">
        <f ca="1">IFERROR(__xludf.DUMMYFUNCTION("""COMPUTED_VALUE"""),13.96)</f>
        <v>13.96</v>
      </c>
      <c r="E17" s="1">
        <f ca="1">IFERROR(__xludf.DUMMYFUNCTION("""COMPUTED_VALUE"""),14.11)</f>
        <v>14.11</v>
      </c>
      <c r="F17" s="1">
        <f ca="1">IFERROR(__xludf.DUMMYFUNCTION("""COMPUTED_VALUE"""),2825159)</f>
        <v>2825159</v>
      </c>
      <c r="G17" s="5">
        <f t="shared" ca="1" si="0"/>
        <v>-1.2048192771084333E-2</v>
      </c>
      <c r="H17" s="14">
        <f t="shared" si="1"/>
        <v>2015</v>
      </c>
      <c r="I17" s="5">
        <f t="shared" ca="1" si="2"/>
        <v>7.0921985815601324E-4</v>
      </c>
      <c r="J17" s="16"/>
    </row>
    <row r="18" spans="1:10" x14ac:dyDescent="0.2">
      <c r="A18" s="3">
        <v>42300</v>
      </c>
      <c r="B18" s="1">
        <f ca="1">IFERROR(__xludf.DUMMYFUNCTION("""COMPUTED_VALUE"""),14.33)</f>
        <v>14.33</v>
      </c>
      <c r="C18" s="1">
        <f ca="1">IFERROR(__xludf.DUMMYFUNCTION("""COMPUTED_VALUE"""),14.36)</f>
        <v>14.36</v>
      </c>
      <c r="D18" s="1">
        <f ca="1">IFERROR(__xludf.DUMMYFUNCTION("""COMPUTED_VALUE"""),13.85)</f>
        <v>13.85</v>
      </c>
      <c r="E18" s="1">
        <f ca="1">IFERROR(__xludf.DUMMYFUNCTION("""COMPUTED_VALUE"""),13.94)</f>
        <v>13.94</v>
      </c>
      <c r="F18" s="1">
        <f ca="1">IFERROR(__xludf.DUMMYFUNCTION("""COMPUTED_VALUE"""),4235462)</f>
        <v>4235462</v>
      </c>
      <c r="G18" s="5">
        <f t="shared" ca="1" si="0"/>
        <v>2.9411764705882363E-2</v>
      </c>
      <c r="H18" s="14">
        <f t="shared" si="1"/>
        <v>2015</v>
      </c>
      <c r="I18" s="5">
        <f t="shared" ca="1" si="2"/>
        <v>-2.7215631542219159E-2</v>
      </c>
      <c r="J18" s="16"/>
    </row>
    <row r="19" spans="1:10" x14ac:dyDescent="0.2">
      <c r="A19" s="3">
        <v>42303</v>
      </c>
      <c r="B19" s="1">
        <f ca="1">IFERROR(__xludf.DUMMYFUNCTION("""COMPUTED_VALUE"""),14.09)</f>
        <v>14.09</v>
      </c>
      <c r="C19" s="1">
        <f ca="1">IFERROR(__xludf.DUMMYFUNCTION("""COMPUTED_VALUE"""),14.39)</f>
        <v>14.39</v>
      </c>
      <c r="D19" s="1">
        <f ca="1">IFERROR(__xludf.DUMMYFUNCTION("""COMPUTED_VALUE"""),14)</f>
        <v>14</v>
      </c>
      <c r="E19" s="1">
        <f ca="1">IFERROR(__xludf.DUMMYFUNCTION("""COMPUTED_VALUE"""),14.35)</f>
        <v>14.35</v>
      </c>
      <c r="F19" s="1">
        <f ca="1">IFERROR(__xludf.DUMMYFUNCTION("""COMPUTED_VALUE"""),3391438)</f>
        <v>3391438</v>
      </c>
      <c r="G19" s="5">
        <f t="shared" ca="1" si="0"/>
        <v>-2.2996515679442515E-2</v>
      </c>
      <c r="H19" s="14">
        <f t="shared" si="1"/>
        <v>2015</v>
      </c>
      <c r="I19" s="5">
        <f t="shared" ca="1" si="2"/>
        <v>1.8452803406671384E-2</v>
      </c>
      <c r="J19" s="16"/>
    </row>
    <row r="20" spans="1:10" x14ac:dyDescent="0.2">
      <c r="A20" s="3">
        <v>42304</v>
      </c>
      <c r="B20" s="1">
        <f ca="1">IFERROR(__xludf.DUMMYFUNCTION("""COMPUTED_VALUE"""),14.32)</f>
        <v>14.32</v>
      </c>
      <c r="C20" s="1">
        <f ca="1">IFERROR(__xludf.DUMMYFUNCTION("""COMPUTED_VALUE"""),14.47)</f>
        <v>14.47</v>
      </c>
      <c r="D20" s="1">
        <f ca="1">IFERROR(__xludf.DUMMYFUNCTION("""COMPUTED_VALUE"""),13.83)</f>
        <v>13.83</v>
      </c>
      <c r="E20" s="1">
        <f ca="1">IFERROR(__xludf.DUMMYFUNCTION("""COMPUTED_VALUE"""),14.02)</f>
        <v>14.02</v>
      </c>
      <c r="F20" s="1">
        <f ca="1">IFERROR(__xludf.DUMMYFUNCTION("""COMPUTED_VALUE"""),3519449)</f>
        <v>3519449</v>
      </c>
      <c r="G20" s="5">
        <f t="shared" ca="1" si="0"/>
        <v>1.2838801711840209E-2</v>
      </c>
      <c r="H20" s="14">
        <f t="shared" si="1"/>
        <v>2015</v>
      </c>
      <c r="I20" s="5">
        <f t="shared" ca="1" si="2"/>
        <v>-2.0949720670391112E-2</v>
      </c>
      <c r="J20" s="16"/>
    </row>
    <row r="21" spans="1:10" x14ac:dyDescent="0.2">
      <c r="A21" s="3">
        <v>42305</v>
      </c>
      <c r="B21" s="1">
        <f ca="1">IFERROR(__xludf.DUMMYFUNCTION("""COMPUTED_VALUE"""),14.09)</f>
        <v>14.09</v>
      </c>
      <c r="C21" s="1">
        <f ca="1">IFERROR(__xludf.DUMMYFUNCTION("""COMPUTED_VALUE"""),14.23)</f>
        <v>14.23</v>
      </c>
      <c r="D21" s="1">
        <f ca="1">IFERROR(__xludf.DUMMYFUNCTION("""COMPUTED_VALUE"""),13.89)</f>
        <v>13.89</v>
      </c>
      <c r="E21" s="1">
        <f ca="1">IFERROR(__xludf.DUMMYFUNCTION("""COMPUTED_VALUE"""),14.2)</f>
        <v>14.2</v>
      </c>
      <c r="F21" s="1">
        <f ca="1">IFERROR(__xludf.DUMMYFUNCTION("""COMPUTED_VALUE"""),2728593)</f>
        <v>2728593</v>
      </c>
      <c r="G21" s="5">
        <f t="shared" ca="1" si="0"/>
        <v>-6.3380281690140752E-3</v>
      </c>
      <c r="H21" s="14">
        <f t="shared" si="1"/>
        <v>2015</v>
      </c>
      <c r="I21" s="5">
        <f t="shared" ca="1" si="2"/>
        <v>7.8069552874378591E-3</v>
      </c>
      <c r="J21" s="16"/>
    </row>
    <row r="22" spans="1:10" x14ac:dyDescent="0.2">
      <c r="A22" s="3">
        <v>42306</v>
      </c>
      <c r="B22" s="1">
        <f ca="1">IFERROR(__xludf.DUMMYFUNCTION("""COMPUTED_VALUE"""),14.12)</f>
        <v>14.12</v>
      </c>
      <c r="C22" s="1">
        <f ca="1">IFERROR(__xludf.DUMMYFUNCTION("""COMPUTED_VALUE"""),14.25)</f>
        <v>14.25</v>
      </c>
      <c r="D22" s="1">
        <f ca="1">IFERROR(__xludf.DUMMYFUNCTION("""COMPUTED_VALUE"""),14.04)</f>
        <v>14.04</v>
      </c>
      <c r="E22" s="1">
        <f ca="1">IFERROR(__xludf.DUMMYFUNCTION("""COMPUTED_VALUE"""),14.11)</f>
        <v>14.11</v>
      </c>
      <c r="F22" s="1">
        <f ca="1">IFERROR(__xludf.DUMMYFUNCTION("""COMPUTED_VALUE"""),1805032)</f>
        <v>1805032</v>
      </c>
      <c r="G22" s="5">
        <f t="shared" ca="1" si="0"/>
        <v>-2.1970233876683114E-2</v>
      </c>
      <c r="H22" s="14">
        <f t="shared" si="1"/>
        <v>2015</v>
      </c>
      <c r="I22" s="5">
        <f t="shared" ca="1" si="2"/>
        <v>-7.0821529745040989E-4</v>
      </c>
      <c r="J22" s="16"/>
    </row>
    <row r="23" spans="1:10" x14ac:dyDescent="0.2">
      <c r="A23" s="3">
        <v>42307</v>
      </c>
      <c r="B23" s="1">
        <f ca="1">IFERROR(__xludf.DUMMYFUNCTION("""COMPUTED_VALUE"""),14.03)</f>
        <v>14.03</v>
      </c>
      <c r="C23" s="1">
        <f ca="1">IFERROR(__xludf.DUMMYFUNCTION("""COMPUTED_VALUE"""),14.11)</f>
        <v>14.11</v>
      </c>
      <c r="D23" s="1">
        <f ca="1">IFERROR(__xludf.DUMMYFUNCTION("""COMPUTED_VALUE"""),13.59)</f>
        <v>13.59</v>
      </c>
      <c r="E23" s="1">
        <f ca="1">IFERROR(__xludf.DUMMYFUNCTION("""COMPUTED_VALUE"""),13.8)</f>
        <v>13.8</v>
      </c>
      <c r="F23" s="1">
        <f ca="1">IFERROR(__xludf.DUMMYFUNCTION("""COMPUTED_VALUE"""),4438901)</f>
        <v>4438901</v>
      </c>
      <c r="G23" s="5">
        <f t="shared" ca="1" si="0"/>
        <v>3.2608695652173857E-2</v>
      </c>
      <c r="H23" s="14">
        <f t="shared" si="1"/>
        <v>2015</v>
      </c>
      <c r="I23" s="5">
        <f t="shared" ca="1" si="2"/>
        <v>-1.6393442622950723E-2</v>
      </c>
      <c r="J23" s="16"/>
    </row>
    <row r="24" spans="1:10" x14ac:dyDescent="0.2">
      <c r="A24" s="3">
        <v>42310</v>
      </c>
      <c r="B24" s="1">
        <f ca="1">IFERROR(__xludf.DUMMYFUNCTION("""COMPUTED_VALUE"""),13.93)</f>
        <v>13.93</v>
      </c>
      <c r="C24" s="1">
        <f ca="1">IFERROR(__xludf.DUMMYFUNCTION("""COMPUTED_VALUE"""),14.39)</f>
        <v>14.39</v>
      </c>
      <c r="D24" s="1">
        <f ca="1">IFERROR(__xludf.DUMMYFUNCTION("""COMPUTED_VALUE"""),13.81)</f>
        <v>13.81</v>
      </c>
      <c r="E24" s="1">
        <f ca="1">IFERROR(__xludf.DUMMYFUNCTION("""COMPUTED_VALUE"""),14.25)</f>
        <v>14.25</v>
      </c>
      <c r="F24" s="1">
        <f ca="1">IFERROR(__xludf.DUMMYFUNCTION("""COMPUTED_VALUE"""),3927944)</f>
        <v>3927944</v>
      </c>
      <c r="G24" s="5">
        <f t="shared" ca="1" si="0"/>
        <v>-2.5263157894736803E-2</v>
      </c>
      <c r="H24" s="14">
        <f t="shared" si="1"/>
        <v>2015</v>
      </c>
      <c r="I24" s="5">
        <f t="shared" ca="1" si="2"/>
        <v>2.2972002871500381E-2</v>
      </c>
      <c r="J24" s="16"/>
    </row>
    <row r="25" spans="1:10" x14ac:dyDescent="0.2">
      <c r="A25" s="3">
        <v>42311</v>
      </c>
      <c r="B25" s="1">
        <f ca="1">IFERROR(__xludf.DUMMYFUNCTION("""COMPUTED_VALUE"""),14.26)</f>
        <v>14.26</v>
      </c>
      <c r="C25" s="1">
        <f ca="1">IFERROR(__xludf.DUMMYFUNCTION("""COMPUTED_VALUE"""),14.3)</f>
        <v>14.3</v>
      </c>
      <c r="D25" s="1">
        <f ca="1">IFERROR(__xludf.DUMMYFUNCTION("""COMPUTED_VALUE"""),13.85)</f>
        <v>13.85</v>
      </c>
      <c r="E25" s="1">
        <f ca="1">IFERROR(__xludf.DUMMYFUNCTION("""COMPUTED_VALUE"""),13.89)</f>
        <v>13.89</v>
      </c>
      <c r="F25" s="1">
        <f ca="1">IFERROR(__xludf.DUMMYFUNCTION("""COMPUTED_VALUE"""),8332486)</f>
        <v>8332486</v>
      </c>
      <c r="G25" s="5">
        <f t="shared" ca="1" si="0"/>
        <v>0.11159107271418278</v>
      </c>
      <c r="H25" s="14">
        <f t="shared" si="1"/>
        <v>2015</v>
      </c>
      <c r="I25" s="5">
        <f t="shared" ca="1" si="2"/>
        <v>-2.5946704067321125E-2</v>
      </c>
      <c r="J25" s="16"/>
    </row>
    <row r="26" spans="1:10" x14ac:dyDescent="0.2">
      <c r="A26" s="3">
        <v>42312</v>
      </c>
      <c r="B26" s="1">
        <f ca="1">IFERROR(__xludf.DUMMYFUNCTION("""COMPUTED_VALUE"""),15.13)</f>
        <v>15.13</v>
      </c>
      <c r="C26" s="1">
        <f ca="1">IFERROR(__xludf.DUMMYFUNCTION("""COMPUTED_VALUE"""),15.52)</f>
        <v>15.52</v>
      </c>
      <c r="D26" s="1">
        <f ca="1">IFERROR(__xludf.DUMMYFUNCTION("""COMPUTED_VALUE"""),15.01)</f>
        <v>15.01</v>
      </c>
      <c r="E26" s="1">
        <f ca="1">IFERROR(__xludf.DUMMYFUNCTION("""COMPUTED_VALUE"""),15.44)</f>
        <v>15.44</v>
      </c>
      <c r="F26" s="1">
        <f ca="1">IFERROR(__xludf.DUMMYFUNCTION("""COMPUTED_VALUE"""),12726366)</f>
        <v>12726366</v>
      </c>
      <c r="G26" s="5">
        <f t="shared" ca="1" si="0"/>
        <v>6.4766839378236967E-4</v>
      </c>
      <c r="H26" s="14">
        <f t="shared" si="1"/>
        <v>2015</v>
      </c>
      <c r="I26" s="5">
        <f t="shared" ca="1" si="2"/>
        <v>2.0489094514210094E-2</v>
      </c>
      <c r="J26" s="16"/>
    </row>
    <row r="27" spans="1:10" x14ac:dyDescent="0.2">
      <c r="A27" s="3">
        <v>42313</v>
      </c>
      <c r="B27" s="1">
        <f ca="1">IFERROR(__xludf.DUMMYFUNCTION("""COMPUTED_VALUE"""),15.37)</f>
        <v>15.37</v>
      </c>
      <c r="C27" s="1">
        <f ca="1">IFERROR(__xludf.DUMMYFUNCTION("""COMPUTED_VALUE"""),15.64)</f>
        <v>15.64</v>
      </c>
      <c r="D27" s="1">
        <f ca="1">IFERROR(__xludf.DUMMYFUNCTION("""COMPUTED_VALUE"""),15.28)</f>
        <v>15.28</v>
      </c>
      <c r="E27" s="1">
        <f ca="1">IFERROR(__xludf.DUMMYFUNCTION("""COMPUTED_VALUE"""),15.45)</f>
        <v>15.45</v>
      </c>
      <c r="F27" s="1">
        <f ca="1">IFERROR(__xludf.DUMMYFUNCTION("""COMPUTED_VALUE"""),4496843)</f>
        <v>4496843</v>
      </c>
      <c r="G27" s="5">
        <f t="shared" ca="1" si="0"/>
        <v>2.5889967637541052E-3</v>
      </c>
      <c r="H27" s="14">
        <f t="shared" si="1"/>
        <v>2015</v>
      </c>
      <c r="I27" s="5">
        <f t="shared" ca="1" si="2"/>
        <v>5.2049446974625942E-3</v>
      </c>
      <c r="J27" s="16"/>
    </row>
    <row r="28" spans="1:10" x14ac:dyDescent="0.2">
      <c r="A28" s="3">
        <v>42314</v>
      </c>
      <c r="B28" s="1">
        <f ca="1">IFERROR(__xludf.DUMMYFUNCTION("""COMPUTED_VALUE"""),15.38)</f>
        <v>15.38</v>
      </c>
      <c r="C28" s="1">
        <f ca="1">IFERROR(__xludf.DUMMYFUNCTION("""COMPUTED_VALUE"""),15.56)</f>
        <v>15.56</v>
      </c>
      <c r="D28" s="1">
        <f ca="1">IFERROR(__xludf.DUMMYFUNCTION("""COMPUTED_VALUE"""),15.3)</f>
        <v>15.3</v>
      </c>
      <c r="E28" s="1">
        <f ca="1">IFERROR(__xludf.DUMMYFUNCTION("""COMPUTED_VALUE"""),15.49)</f>
        <v>15.49</v>
      </c>
      <c r="F28" s="1">
        <f ca="1">IFERROR(__xludf.DUMMYFUNCTION("""COMPUTED_VALUE"""),2445293)</f>
        <v>2445293</v>
      </c>
      <c r="G28" s="5">
        <f t="shared" ca="1" si="0"/>
        <v>-3.0342156229825733E-2</v>
      </c>
      <c r="H28" s="14">
        <f t="shared" si="1"/>
        <v>2015</v>
      </c>
      <c r="I28" s="5">
        <f t="shared" ca="1" si="2"/>
        <v>7.1521456436930706E-3</v>
      </c>
      <c r="J28" s="16"/>
    </row>
    <row r="29" spans="1:10" x14ac:dyDescent="0.2">
      <c r="A29" s="3">
        <v>42317</v>
      </c>
      <c r="B29" s="1">
        <f ca="1">IFERROR(__xludf.DUMMYFUNCTION("""COMPUTED_VALUE"""),15.53)</f>
        <v>15.53</v>
      </c>
      <c r="C29" s="1">
        <f ca="1">IFERROR(__xludf.DUMMYFUNCTION("""COMPUTED_VALUE"""),15.53)</f>
        <v>15.53</v>
      </c>
      <c r="D29" s="1">
        <f ca="1">IFERROR(__xludf.DUMMYFUNCTION("""COMPUTED_VALUE"""),14.95)</f>
        <v>14.95</v>
      </c>
      <c r="E29" s="1">
        <f ca="1">IFERROR(__xludf.DUMMYFUNCTION("""COMPUTED_VALUE"""),15.02)</f>
        <v>15.02</v>
      </c>
      <c r="F29" s="1">
        <f ca="1">IFERROR(__xludf.DUMMYFUNCTION("""COMPUTED_VALUE"""),3850860)</f>
        <v>3850860</v>
      </c>
      <c r="G29" s="5">
        <f t="shared" ca="1" si="0"/>
        <v>-3.9280958721704388E-2</v>
      </c>
      <c r="H29" s="14">
        <f t="shared" si="1"/>
        <v>2015</v>
      </c>
      <c r="I29" s="5">
        <f t="shared" ca="1" si="2"/>
        <v>-3.2839665164198312E-2</v>
      </c>
      <c r="J29" s="16"/>
    </row>
    <row r="30" spans="1:10" x14ac:dyDescent="0.2">
      <c r="A30" s="3">
        <v>42318</v>
      </c>
      <c r="B30" s="1">
        <f ca="1">IFERROR(__xludf.DUMMYFUNCTION("""COMPUTED_VALUE"""),14.9)</f>
        <v>14.9</v>
      </c>
      <c r="C30" s="1">
        <f ca="1">IFERROR(__xludf.DUMMYFUNCTION("""COMPUTED_VALUE"""),14.91)</f>
        <v>14.91</v>
      </c>
      <c r="D30" s="1">
        <f ca="1">IFERROR(__xludf.DUMMYFUNCTION("""COMPUTED_VALUE"""),14.41)</f>
        <v>14.41</v>
      </c>
      <c r="E30" s="1">
        <f ca="1">IFERROR(__xludf.DUMMYFUNCTION("""COMPUTED_VALUE"""),14.43)</f>
        <v>14.43</v>
      </c>
      <c r="F30" s="1">
        <f ca="1">IFERROR(__xludf.DUMMYFUNCTION("""COMPUTED_VALUE"""),4617007)</f>
        <v>4617007</v>
      </c>
      <c r="G30" s="5">
        <f t="shared" ca="1" si="0"/>
        <v>1.2474012474012454E-2</v>
      </c>
      <c r="H30" s="14">
        <f t="shared" si="1"/>
        <v>2015</v>
      </c>
      <c r="I30" s="5">
        <f t="shared" ca="1" si="2"/>
        <v>-3.1543624161073869E-2</v>
      </c>
      <c r="J30" s="16"/>
    </row>
    <row r="31" spans="1:10" x14ac:dyDescent="0.2">
      <c r="A31" s="3">
        <v>42319</v>
      </c>
      <c r="B31" s="1">
        <f ca="1">IFERROR(__xludf.DUMMYFUNCTION("""COMPUTED_VALUE"""),14.52)</f>
        <v>14.52</v>
      </c>
      <c r="C31" s="1">
        <f ca="1">IFERROR(__xludf.DUMMYFUNCTION("""COMPUTED_VALUE"""),14.63)</f>
        <v>14.63</v>
      </c>
      <c r="D31" s="1">
        <f ca="1">IFERROR(__xludf.DUMMYFUNCTION("""COMPUTED_VALUE"""),14.24)</f>
        <v>14.24</v>
      </c>
      <c r="E31" s="1">
        <f ca="1">IFERROR(__xludf.DUMMYFUNCTION("""COMPUTED_VALUE"""),14.61)</f>
        <v>14.61</v>
      </c>
      <c r="F31" s="1">
        <f ca="1">IFERROR(__xludf.DUMMYFUNCTION("""COMPUTED_VALUE"""),3347806)</f>
        <v>3347806</v>
      </c>
      <c r="G31" s="5">
        <f t="shared" ca="1" si="0"/>
        <v>-2.8062970568104049E-2</v>
      </c>
      <c r="H31" s="14">
        <f t="shared" si="1"/>
        <v>2015</v>
      </c>
      <c r="I31" s="5">
        <f t="shared" ca="1" si="2"/>
        <v>6.1983471074380072E-3</v>
      </c>
      <c r="J31" s="16"/>
    </row>
    <row r="32" spans="1:10" x14ac:dyDescent="0.2">
      <c r="A32" s="3">
        <v>42320</v>
      </c>
      <c r="B32" s="1">
        <f ca="1">IFERROR(__xludf.DUMMYFUNCTION("""COMPUTED_VALUE"""),14.52)</f>
        <v>14.52</v>
      </c>
      <c r="C32" s="1">
        <f ca="1">IFERROR(__xludf.DUMMYFUNCTION("""COMPUTED_VALUE"""),14.6)</f>
        <v>14.6</v>
      </c>
      <c r="D32" s="1">
        <f ca="1">IFERROR(__xludf.DUMMYFUNCTION("""COMPUTED_VALUE"""),14.18)</f>
        <v>14.18</v>
      </c>
      <c r="E32" s="1">
        <f ca="1">IFERROR(__xludf.DUMMYFUNCTION("""COMPUTED_VALUE"""),14.2)</f>
        <v>14.2</v>
      </c>
      <c r="F32" s="1">
        <f ca="1">IFERROR(__xludf.DUMMYFUNCTION("""COMPUTED_VALUE"""),2915900)</f>
        <v>2915900</v>
      </c>
      <c r="G32" s="5">
        <f t="shared" ca="1" si="0"/>
        <v>-2.7464788732394281E-2</v>
      </c>
      <c r="H32" s="14">
        <f t="shared" si="1"/>
        <v>2015</v>
      </c>
      <c r="I32" s="5">
        <f t="shared" ca="1" si="2"/>
        <v>-2.2038567493112969E-2</v>
      </c>
      <c r="J32" s="16"/>
    </row>
    <row r="33" spans="1:10" x14ac:dyDescent="0.2">
      <c r="A33" s="3">
        <v>42321</v>
      </c>
      <c r="B33" s="1">
        <f ca="1">IFERROR(__xludf.DUMMYFUNCTION("""COMPUTED_VALUE"""),14.2)</f>
        <v>14.2</v>
      </c>
      <c r="C33" s="1">
        <f ca="1">IFERROR(__xludf.DUMMYFUNCTION("""COMPUTED_VALUE"""),14.2)</f>
        <v>14.2</v>
      </c>
      <c r="D33" s="1">
        <f ca="1">IFERROR(__xludf.DUMMYFUNCTION("""COMPUTED_VALUE"""),13.77)</f>
        <v>13.77</v>
      </c>
      <c r="E33" s="1">
        <f ca="1">IFERROR(__xludf.DUMMYFUNCTION("""COMPUTED_VALUE"""),13.81)</f>
        <v>13.81</v>
      </c>
      <c r="F33" s="1">
        <f ca="1">IFERROR(__xludf.DUMMYFUNCTION("""COMPUTED_VALUE"""),3430327)</f>
        <v>3430327</v>
      </c>
      <c r="G33" s="5">
        <f t="shared" ca="1" si="0"/>
        <v>3.475742215785653E-2</v>
      </c>
      <c r="H33" s="14">
        <f t="shared" si="1"/>
        <v>2015</v>
      </c>
      <c r="I33" s="5">
        <f t="shared" ca="1" si="2"/>
        <v>-2.7464788732394281E-2</v>
      </c>
      <c r="J33" s="16"/>
    </row>
    <row r="34" spans="1:10" x14ac:dyDescent="0.2">
      <c r="A34" s="3">
        <v>42324</v>
      </c>
      <c r="B34" s="1">
        <f ca="1">IFERROR(__xludf.DUMMYFUNCTION("""COMPUTED_VALUE"""),13.74)</f>
        <v>13.74</v>
      </c>
      <c r="C34" s="1">
        <f ca="1">IFERROR(__xludf.DUMMYFUNCTION("""COMPUTED_VALUE"""),14.33)</f>
        <v>14.33</v>
      </c>
      <c r="D34" s="1">
        <f ca="1">IFERROR(__xludf.DUMMYFUNCTION("""COMPUTED_VALUE"""),13.72)</f>
        <v>13.72</v>
      </c>
      <c r="E34" s="1">
        <f ca="1">IFERROR(__xludf.DUMMYFUNCTION("""COMPUTED_VALUE"""),14.29)</f>
        <v>14.29</v>
      </c>
      <c r="F34" s="1">
        <f ca="1">IFERROR(__xludf.DUMMYFUNCTION("""COMPUTED_VALUE"""),2925395)</f>
        <v>2925395</v>
      </c>
      <c r="G34" s="5">
        <f t="shared" ca="1" si="0"/>
        <v>-1.3995801259621815E-3</v>
      </c>
      <c r="H34" s="14">
        <f t="shared" si="1"/>
        <v>2015</v>
      </c>
      <c r="I34" s="5">
        <f t="shared" ca="1" si="2"/>
        <v>4.0029112081513753E-2</v>
      </c>
      <c r="J34" s="16"/>
    </row>
    <row r="35" spans="1:10" x14ac:dyDescent="0.2">
      <c r="A35" s="3">
        <v>42325</v>
      </c>
      <c r="B35" s="1">
        <f ca="1">IFERROR(__xludf.DUMMYFUNCTION("""COMPUTED_VALUE"""),14.35)</f>
        <v>14.35</v>
      </c>
      <c r="C35" s="1">
        <f ca="1">IFERROR(__xludf.DUMMYFUNCTION("""COMPUTED_VALUE"""),14.4)</f>
        <v>14.4</v>
      </c>
      <c r="D35" s="1">
        <f ca="1">IFERROR(__xludf.DUMMYFUNCTION("""COMPUTED_VALUE"""),14.09)</f>
        <v>14.09</v>
      </c>
      <c r="E35" s="1">
        <f ca="1">IFERROR(__xludf.DUMMYFUNCTION("""COMPUTED_VALUE"""),14.27)</f>
        <v>14.27</v>
      </c>
      <c r="F35" s="1">
        <f ca="1">IFERROR(__xludf.DUMMYFUNCTION("""COMPUTED_VALUE"""),2148679)</f>
        <v>2148679</v>
      </c>
      <c r="G35" s="5">
        <f t="shared" ca="1" si="0"/>
        <v>3.2936229852838166E-2</v>
      </c>
      <c r="H35" s="14">
        <f t="shared" si="1"/>
        <v>2015</v>
      </c>
      <c r="I35" s="5">
        <f t="shared" ca="1" si="2"/>
        <v>-5.5749128919860679E-3</v>
      </c>
      <c r="J35" s="16"/>
    </row>
    <row r="36" spans="1:10" x14ac:dyDescent="0.2">
      <c r="A36" s="3">
        <v>42326</v>
      </c>
      <c r="B36" s="1">
        <f ca="1">IFERROR(__xludf.DUMMYFUNCTION("""COMPUTED_VALUE"""),14.3)</f>
        <v>14.3</v>
      </c>
      <c r="C36" s="1">
        <f ca="1">IFERROR(__xludf.DUMMYFUNCTION("""COMPUTED_VALUE"""),14.76)</f>
        <v>14.76</v>
      </c>
      <c r="D36" s="1">
        <f ca="1">IFERROR(__xludf.DUMMYFUNCTION("""COMPUTED_VALUE"""),14.17)</f>
        <v>14.17</v>
      </c>
      <c r="E36" s="1">
        <f ca="1">IFERROR(__xludf.DUMMYFUNCTION("""COMPUTED_VALUE"""),14.74)</f>
        <v>14.74</v>
      </c>
      <c r="F36" s="1">
        <f ca="1">IFERROR(__xludf.DUMMYFUNCTION("""COMPUTED_VALUE"""),2811900)</f>
        <v>2811900</v>
      </c>
      <c r="G36" s="5">
        <f t="shared" ca="1" si="0"/>
        <v>3.3921302578018273E-3</v>
      </c>
      <c r="H36" s="14">
        <f t="shared" si="1"/>
        <v>2015</v>
      </c>
      <c r="I36" s="5">
        <f t="shared" ca="1" si="2"/>
        <v>3.0769230769230733E-2</v>
      </c>
      <c r="J36" s="16"/>
    </row>
    <row r="37" spans="1:10" x14ac:dyDescent="0.2">
      <c r="A37" s="3">
        <v>42327</v>
      </c>
      <c r="B37" s="1">
        <f ca="1">IFERROR(__xludf.DUMMYFUNCTION("""COMPUTED_VALUE"""),14.7)</f>
        <v>14.7</v>
      </c>
      <c r="C37" s="1">
        <f ca="1">IFERROR(__xludf.DUMMYFUNCTION("""COMPUTED_VALUE"""),15.08)</f>
        <v>15.08</v>
      </c>
      <c r="D37" s="1">
        <f ca="1">IFERROR(__xludf.DUMMYFUNCTION("""COMPUTED_VALUE"""),14.69)</f>
        <v>14.69</v>
      </c>
      <c r="E37" s="1">
        <f ca="1">IFERROR(__xludf.DUMMYFUNCTION("""COMPUTED_VALUE"""),14.79)</f>
        <v>14.79</v>
      </c>
      <c r="F37" s="1">
        <f ca="1">IFERROR(__xludf.DUMMYFUNCTION("""COMPUTED_VALUE"""),2504375)</f>
        <v>2504375</v>
      </c>
      <c r="G37" s="5">
        <f t="shared" ca="1" si="0"/>
        <v>-8.1135902636916314E-3</v>
      </c>
      <c r="H37" s="14">
        <f t="shared" si="1"/>
        <v>2015</v>
      </c>
      <c r="I37" s="5">
        <f t="shared" ca="1" si="2"/>
        <v>6.1224489795918277E-3</v>
      </c>
      <c r="J37" s="16"/>
    </row>
    <row r="38" spans="1:10" x14ac:dyDescent="0.2">
      <c r="A38" s="3">
        <v>42328</v>
      </c>
      <c r="B38" s="1">
        <f ca="1">IFERROR(__xludf.DUMMYFUNCTION("""COMPUTED_VALUE"""),14.9)</f>
        <v>14.9</v>
      </c>
      <c r="C38" s="1">
        <f ca="1">IFERROR(__xludf.DUMMYFUNCTION("""COMPUTED_VALUE"""),15)</f>
        <v>15</v>
      </c>
      <c r="D38" s="1">
        <f ca="1">IFERROR(__xludf.DUMMYFUNCTION("""COMPUTED_VALUE"""),14.24)</f>
        <v>14.24</v>
      </c>
      <c r="E38" s="1">
        <f ca="1">IFERROR(__xludf.DUMMYFUNCTION("""COMPUTED_VALUE"""),14.67)</f>
        <v>14.67</v>
      </c>
      <c r="F38" s="1">
        <f ca="1">IFERROR(__xludf.DUMMYFUNCTION("""COMPUTED_VALUE"""),4400722)</f>
        <v>4400722</v>
      </c>
      <c r="G38" s="5">
        <f t="shared" ca="1" si="0"/>
        <v>-1.0224948875255649E-2</v>
      </c>
      <c r="H38" s="14">
        <f t="shared" si="1"/>
        <v>2015</v>
      </c>
      <c r="I38" s="5">
        <f t="shared" ca="1" si="2"/>
        <v>-1.5436241610738283E-2</v>
      </c>
      <c r="J38" s="16"/>
    </row>
    <row r="39" spans="1:10" x14ac:dyDescent="0.2">
      <c r="A39" s="3">
        <v>42331</v>
      </c>
      <c r="B39" s="1">
        <f ca="1">IFERROR(__xludf.DUMMYFUNCTION("""COMPUTED_VALUE"""),14.49)</f>
        <v>14.49</v>
      </c>
      <c r="C39" s="1">
        <f ca="1">IFERROR(__xludf.DUMMYFUNCTION("""COMPUTED_VALUE"""),14.61)</f>
        <v>14.61</v>
      </c>
      <c r="D39" s="1">
        <f ca="1">IFERROR(__xludf.DUMMYFUNCTION("""COMPUTED_VALUE"""),14.31)</f>
        <v>14.31</v>
      </c>
      <c r="E39" s="1">
        <f ca="1">IFERROR(__xludf.DUMMYFUNCTION("""COMPUTED_VALUE"""),14.52)</f>
        <v>14.52</v>
      </c>
      <c r="F39" s="1">
        <f ca="1">IFERROR(__xludf.DUMMYFUNCTION("""COMPUTED_VALUE"""),2526199)</f>
        <v>2526199</v>
      </c>
      <c r="G39" s="5">
        <f t="shared" ca="1" si="0"/>
        <v>2.0661157024794174E-3</v>
      </c>
      <c r="H39" s="14">
        <f t="shared" si="1"/>
        <v>2015</v>
      </c>
      <c r="I39" s="5">
        <f t="shared" ca="1" si="2"/>
        <v>2.0703933747411567E-3</v>
      </c>
      <c r="J39" s="16"/>
    </row>
    <row r="40" spans="1:10" x14ac:dyDescent="0.2">
      <c r="A40" s="3">
        <v>42332</v>
      </c>
      <c r="B40" s="1">
        <f ca="1">IFERROR(__xludf.DUMMYFUNCTION("""COMPUTED_VALUE"""),14.36)</f>
        <v>14.36</v>
      </c>
      <c r="C40" s="1">
        <f ca="1">IFERROR(__xludf.DUMMYFUNCTION("""COMPUTED_VALUE"""),14.73)</f>
        <v>14.73</v>
      </c>
      <c r="D40" s="1">
        <f ca="1">IFERROR(__xludf.DUMMYFUNCTION("""COMPUTED_VALUE"""),14.33)</f>
        <v>14.33</v>
      </c>
      <c r="E40" s="1">
        <f ca="1">IFERROR(__xludf.DUMMYFUNCTION("""COMPUTED_VALUE"""),14.55)</f>
        <v>14.55</v>
      </c>
      <c r="F40" s="1">
        <f ca="1">IFERROR(__xludf.DUMMYFUNCTION("""COMPUTED_VALUE"""),2480293)</f>
        <v>2480293</v>
      </c>
      <c r="G40" s="5">
        <f t="shared" ca="1" si="0"/>
        <v>5.2233676975944998E-2</v>
      </c>
      <c r="H40" s="14">
        <f t="shared" si="1"/>
        <v>2015</v>
      </c>
      <c r="I40" s="5">
        <f t="shared" ca="1" si="2"/>
        <v>1.3231197771587834E-2</v>
      </c>
      <c r="J40" s="16"/>
    </row>
    <row r="41" spans="1:10" x14ac:dyDescent="0.2">
      <c r="A41" s="3">
        <v>42333</v>
      </c>
      <c r="B41" s="1">
        <f ca="1">IFERROR(__xludf.DUMMYFUNCTION("""COMPUTED_VALUE"""),14.76)</f>
        <v>14.76</v>
      </c>
      <c r="C41" s="1">
        <f ca="1">IFERROR(__xludf.DUMMYFUNCTION("""COMPUTED_VALUE"""),15.39)</f>
        <v>15.39</v>
      </c>
      <c r="D41" s="1">
        <f ca="1">IFERROR(__xludf.DUMMYFUNCTION("""COMPUTED_VALUE"""),14.69)</f>
        <v>14.69</v>
      </c>
      <c r="E41" s="1">
        <f ca="1">IFERROR(__xludf.DUMMYFUNCTION("""COMPUTED_VALUE"""),15.31)</f>
        <v>15.31</v>
      </c>
      <c r="F41" s="1">
        <f ca="1">IFERROR(__xludf.DUMMYFUNCTION("""COMPUTED_VALUE"""),3990779)</f>
        <v>3990779</v>
      </c>
      <c r="G41" s="5">
        <f t="shared" ca="1" si="0"/>
        <v>8.4911822338340302E-3</v>
      </c>
      <c r="H41" s="14">
        <f t="shared" si="1"/>
        <v>2015</v>
      </c>
      <c r="I41" s="5">
        <f t="shared" ca="1" si="2"/>
        <v>3.7262872628726337E-2</v>
      </c>
      <c r="J41" s="16"/>
    </row>
    <row r="42" spans="1:10" x14ac:dyDescent="0.2">
      <c r="A42" s="3">
        <v>42335</v>
      </c>
      <c r="B42" s="1">
        <f ca="1">IFERROR(__xludf.DUMMYFUNCTION("""COMPUTED_VALUE"""),15.4)</f>
        <v>15.4</v>
      </c>
      <c r="C42" s="1">
        <f ca="1">IFERROR(__xludf.DUMMYFUNCTION("""COMPUTED_VALUE"""),15.48)</f>
        <v>15.48</v>
      </c>
      <c r="D42" s="1">
        <f ca="1">IFERROR(__xludf.DUMMYFUNCTION("""COMPUTED_VALUE"""),15.13)</f>
        <v>15.13</v>
      </c>
      <c r="E42" s="1">
        <f ca="1">IFERROR(__xludf.DUMMYFUNCTION("""COMPUTED_VALUE"""),15.44)</f>
        <v>15.44</v>
      </c>
      <c r="F42" s="1">
        <f ca="1">IFERROR(__xludf.DUMMYFUNCTION("""COMPUTED_VALUE"""),1949353)</f>
        <v>1949353</v>
      </c>
      <c r="G42" s="5">
        <f t="shared" ca="1" si="0"/>
        <v>-5.829015544041442E-3</v>
      </c>
      <c r="H42" s="14">
        <f t="shared" si="1"/>
        <v>2015</v>
      </c>
      <c r="I42" s="5">
        <f t="shared" ca="1" si="2"/>
        <v>2.5974025974025419E-3</v>
      </c>
      <c r="J42" s="16"/>
    </row>
    <row r="43" spans="1:10" x14ac:dyDescent="0.2">
      <c r="A43" s="3">
        <v>42338</v>
      </c>
      <c r="B43" s="1">
        <f ca="1">IFERROR(__xludf.DUMMYFUNCTION("""COMPUTED_VALUE"""),15.45)</f>
        <v>15.45</v>
      </c>
      <c r="C43" s="1">
        <f ca="1">IFERROR(__xludf.DUMMYFUNCTION("""COMPUTED_VALUE"""),15.62)</f>
        <v>15.62</v>
      </c>
      <c r="D43" s="1">
        <f ca="1">IFERROR(__xludf.DUMMYFUNCTION("""COMPUTED_VALUE"""),15.27)</f>
        <v>15.27</v>
      </c>
      <c r="E43" s="1">
        <f ca="1">IFERROR(__xludf.DUMMYFUNCTION("""COMPUTED_VALUE"""),15.35)</f>
        <v>15.35</v>
      </c>
      <c r="F43" s="1">
        <f ca="1">IFERROR(__xludf.DUMMYFUNCTION("""COMPUTED_VALUE"""),2659813)</f>
        <v>2659813</v>
      </c>
      <c r="G43" s="5">
        <f t="shared" ca="1" si="0"/>
        <v>2.9967426710097778E-2</v>
      </c>
      <c r="H43" s="14">
        <f t="shared" si="1"/>
        <v>2015</v>
      </c>
      <c r="I43" s="5">
        <f t="shared" ca="1" si="2"/>
        <v>-6.4724919093850902E-3</v>
      </c>
      <c r="J43" s="16"/>
    </row>
    <row r="44" spans="1:10" x14ac:dyDescent="0.2">
      <c r="A44" s="3">
        <v>42339</v>
      </c>
      <c r="B44" s="1">
        <f ca="1">IFERROR(__xludf.DUMMYFUNCTION("""COMPUTED_VALUE"""),15.4)</f>
        <v>15.4</v>
      </c>
      <c r="C44" s="1">
        <f ca="1">IFERROR(__xludf.DUMMYFUNCTION("""COMPUTED_VALUE"""),15.87)</f>
        <v>15.87</v>
      </c>
      <c r="D44" s="1">
        <f ca="1">IFERROR(__xludf.DUMMYFUNCTION("""COMPUTED_VALUE"""),15.4)</f>
        <v>15.4</v>
      </c>
      <c r="E44" s="1">
        <f ca="1">IFERROR(__xludf.DUMMYFUNCTION("""COMPUTED_VALUE"""),15.81)</f>
        <v>15.81</v>
      </c>
      <c r="F44" s="1">
        <f ca="1">IFERROR(__xludf.DUMMYFUNCTION("""COMPUTED_VALUE"""),3733955)</f>
        <v>3733955</v>
      </c>
      <c r="G44" s="5">
        <f t="shared" ca="1" si="0"/>
        <v>-2.1505376344086013E-2</v>
      </c>
      <c r="H44" s="14">
        <f t="shared" si="1"/>
        <v>2015</v>
      </c>
      <c r="I44" s="5">
        <f t="shared" ca="1" si="2"/>
        <v>2.6623376623376632E-2</v>
      </c>
      <c r="J44" s="16"/>
    </row>
    <row r="45" spans="1:10" x14ac:dyDescent="0.2">
      <c r="A45" s="3">
        <v>42340</v>
      </c>
      <c r="B45" s="1">
        <f ca="1">IFERROR(__xludf.DUMMYFUNCTION("""COMPUTED_VALUE"""),15.8)</f>
        <v>15.8</v>
      </c>
      <c r="C45" s="1">
        <f ca="1">IFERROR(__xludf.DUMMYFUNCTION("""COMPUTED_VALUE"""),15.91)</f>
        <v>15.91</v>
      </c>
      <c r="D45" s="1">
        <f ca="1">IFERROR(__xludf.DUMMYFUNCTION("""COMPUTED_VALUE"""),15.42)</f>
        <v>15.42</v>
      </c>
      <c r="E45" s="1">
        <f ca="1">IFERROR(__xludf.DUMMYFUNCTION("""COMPUTED_VALUE"""),15.47)</f>
        <v>15.47</v>
      </c>
      <c r="F45" s="1">
        <f ca="1">IFERROR(__xludf.DUMMYFUNCTION("""COMPUTED_VALUE"""),2981468)</f>
        <v>2981468</v>
      </c>
      <c r="G45" s="5">
        <f t="shared" ca="1" si="0"/>
        <v>2.5856496444731187E-3</v>
      </c>
      <c r="H45" s="14">
        <f t="shared" si="1"/>
        <v>2015</v>
      </c>
      <c r="I45" s="5">
        <f t="shared" ca="1" si="2"/>
        <v>-2.0886075949367092E-2</v>
      </c>
      <c r="J45" s="16"/>
    </row>
    <row r="46" spans="1:10" x14ac:dyDescent="0.2">
      <c r="A46" s="3">
        <v>42341</v>
      </c>
      <c r="B46" s="1">
        <f ca="1">IFERROR(__xludf.DUMMYFUNCTION("""COMPUTED_VALUE"""),15.7)</f>
        <v>15.7</v>
      </c>
      <c r="C46" s="1">
        <f ca="1">IFERROR(__xludf.DUMMYFUNCTION("""COMPUTED_VALUE"""),15.83)</f>
        <v>15.83</v>
      </c>
      <c r="D46" s="1">
        <f ca="1">IFERROR(__xludf.DUMMYFUNCTION("""COMPUTED_VALUE"""),15.33)</f>
        <v>15.33</v>
      </c>
      <c r="E46" s="1">
        <f ca="1">IFERROR(__xludf.DUMMYFUNCTION("""COMPUTED_VALUE"""),15.51)</f>
        <v>15.51</v>
      </c>
      <c r="F46" s="1">
        <f ca="1">IFERROR(__xludf.DUMMYFUNCTION("""COMPUTED_VALUE"""),2939564)</f>
        <v>2939564</v>
      </c>
      <c r="G46" s="5">
        <f t="shared" ca="1" si="0"/>
        <v>-9.6711798839458647E-3</v>
      </c>
      <c r="H46" s="14">
        <f t="shared" si="1"/>
        <v>2015</v>
      </c>
      <c r="I46" s="5">
        <f t="shared" ca="1" si="2"/>
        <v>-1.2101910828025447E-2</v>
      </c>
      <c r="J46" s="16"/>
    </row>
    <row r="47" spans="1:10" x14ac:dyDescent="0.2">
      <c r="A47" s="3">
        <v>42342</v>
      </c>
      <c r="B47" s="1">
        <f ca="1">IFERROR(__xludf.DUMMYFUNCTION("""COMPUTED_VALUE"""),15.5)</f>
        <v>15.5</v>
      </c>
      <c r="C47" s="1">
        <f ca="1">IFERROR(__xludf.DUMMYFUNCTION("""COMPUTED_VALUE"""),15.55)</f>
        <v>15.55</v>
      </c>
      <c r="D47" s="1">
        <f ca="1">IFERROR(__xludf.DUMMYFUNCTION("""COMPUTED_VALUE"""),15.18)</f>
        <v>15.18</v>
      </c>
      <c r="E47" s="1">
        <f ca="1">IFERROR(__xludf.DUMMYFUNCTION("""COMPUTED_VALUE"""),15.36)</f>
        <v>15.36</v>
      </c>
      <c r="F47" s="1">
        <f ca="1">IFERROR(__xludf.DUMMYFUNCTION("""COMPUTED_VALUE"""),2573603)</f>
        <v>2573603</v>
      </c>
      <c r="G47" s="5">
        <f t="shared" ca="1" si="0"/>
        <v>3.2552083333333799E-3</v>
      </c>
      <c r="H47" s="14">
        <f t="shared" si="1"/>
        <v>2015</v>
      </c>
      <c r="I47" s="5">
        <f t="shared" ca="1" si="2"/>
        <v>-9.0322580645161663E-3</v>
      </c>
      <c r="J47" s="16"/>
    </row>
    <row r="48" spans="1:10" x14ac:dyDescent="0.2">
      <c r="A48" s="3">
        <v>42345</v>
      </c>
      <c r="B48" s="1">
        <f ca="1">IFERROR(__xludf.DUMMYFUNCTION("""COMPUTED_VALUE"""),15.18)</f>
        <v>15.18</v>
      </c>
      <c r="C48" s="1">
        <f ca="1">IFERROR(__xludf.DUMMYFUNCTION("""COMPUTED_VALUE"""),15.71)</f>
        <v>15.71</v>
      </c>
      <c r="D48" s="1">
        <f ca="1">IFERROR(__xludf.DUMMYFUNCTION("""COMPUTED_VALUE"""),15.08)</f>
        <v>15.08</v>
      </c>
      <c r="E48" s="1">
        <f ca="1">IFERROR(__xludf.DUMMYFUNCTION("""COMPUTED_VALUE"""),15.41)</f>
        <v>15.41</v>
      </c>
      <c r="F48" s="1">
        <f ca="1">IFERROR(__xludf.DUMMYFUNCTION("""COMPUTED_VALUE"""),3144223)</f>
        <v>3144223</v>
      </c>
      <c r="G48" s="5">
        <f t="shared" ca="1" si="0"/>
        <v>-1.9467878001297904E-2</v>
      </c>
      <c r="H48" s="14">
        <f t="shared" si="1"/>
        <v>2015</v>
      </c>
      <c r="I48" s="5">
        <f t="shared" ca="1" si="2"/>
        <v>1.515151515151518E-2</v>
      </c>
      <c r="J48" s="16"/>
    </row>
    <row r="49" spans="1:10" x14ac:dyDescent="0.2">
      <c r="A49" s="3">
        <v>42346</v>
      </c>
      <c r="B49" s="1">
        <f ca="1">IFERROR(__xludf.DUMMYFUNCTION("""COMPUTED_VALUE"""),15.17)</f>
        <v>15.17</v>
      </c>
      <c r="C49" s="1">
        <f ca="1">IFERROR(__xludf.DUMMYFUNCTION("""COMPUTED_VALUE"""),15.25)</f>
        <v>15.25</v>
      </c>
      <c r="D49" s="1">
        <f ca="1">IFERROR(__xludf.DUMMYFUNCTION("""COMPUTED_VALUE"""),14.95)</f>
        <v>14.95</v>
      </c>
      <c r="E49" s="1">
        <f ca="1">IFERROR(__xludf.DUMMYFUNCTION("""COMPUTED_VALUE"""),15.11)</f>
        <v>15.11</v>
      </c>
      <c r="F49" s="1">
        <f ca="1">IFERROR(__xludf.DUMMYFUNCTION("""COMPUTED_VALUE"""),2687636)</f>
        <v>2687636</v>
      </c>
      <c r="G49" s="5">
        <f t="shared" ca="1" si="0"/>
        <v>-9.2653871608205686E-3</v>
      </c>
      <c r="H49" s="14">
        <f t="shared" si="1"/>
        <v>2015</v>
      </c>
      <c r="I49" s="5">
        <f t="shared" ca="1" si="2"/>
        <v>-3.955174686882037E-3</v>
      </c>
      <c r="J49" s="16"/>
    </row>
    <row r="50" spans="1:10" x14ac:dyDescent="0.2">
      <c r="A50" s="3">
        <v>42347</v>
      </c>
      <c r="B50" s="1">
        <f ca="1">IFERROR(__xludf.DUMMYFUNCTION("""COMPUTED_VALUE"""),15.11)</f>
        <v>15.11</v>
      </c>
      <c r="C50" s="1">
        <f ca="1">IFERROR(__xludf.DUMMYFUNCTION("""COMPUTED_VALUE"""),15.17)</f>
        <v>15.17</v>
      </c>
      <c r="D50" s="1">
        <f ca="1">IFERROR(__xludf.DUMMYFUNCTION("""COMPUTED_VALUE"""),14.71)</f>
        <v>14.71</v>
      </c>
      <c r="E50" s="1">
        <f ca="1">IFERROR(__xludf.DUMMYFUNCTION("""COMPUTED_VALUE"""),14.97)</f>
        <v>14.97</v>
      </c>
      <c r="F50" s="1">
        <f ca="1">IFERROR(__xludf.DUMMYFUNCTION("""COMPUTED_VALUE"""),3057753)</f>
        <v>3057753</v>
      </c>
      <c r="G50" s="5">
        <f t="shared" ca="1" si="0"/>
        <v>1.1356045424181692E-2</v>
      </c>
      <c r="H50" s="14">
        <f t="shared" si="1"/>
        <v>2015</v>
      </c>
      <c r="I50" s="5">
        <f t="shared" ca="1" si="2"/>
        <v>-9.2653871608205686E-3</v>
      </c>
      <c r="J50" s="16"/>
    </row>
    <row r="51" spans="1:10" x14ac:dyDescent="0.2">
      <c r="A51" s="3">
        <v>42348</v>
      </c>
      <c r="B51" s="1">
        <f ca="1">IFERROR(__xludf.DUMMYFUNCTION("""COMPUTED_VALUE"""),14.98)</f>
        <v>14.98</v>
      </c>
      <c r="C51" s="1">
        <f ca="1">IFERROR(__xludf.DUMMYFUNCTION("""COMPUTED_VALUE"""),15.23)</f>
        <v>15.23</v>
      </c>
      <c r="D51" s="1">
        <f ca="1">IFERROR(__xludf.DUMMYFUNCTION("""COMPUTED_VALUE"""),14.91)</f>
        <v>14.91</v>
      </c>
      <c r="E51" s="1">
        <f ca="1">IFERROR(__xludf.DUMMYFUNCTION("""COMPUTED_VALUE"""),15.14)</f>
        <v>15.14</v>
      </c>
      <c r="F51" s="1">
        <f ca="1">IFERROR(__xludf.DUMMYFUNCTION("""COMPUTED_VALUE"""),2071692)</f>
        <v>2071692</v>
      </c>
      <c r="G51" s="5">
        <f t="shared" ca="1" si="0"/>
        <v>-4.4253632760898276E-2</v>
      </c>
      <c r="H51" s="14">
        <f t="shared" si="1"/>
        <v>2015</v>
      </c>
      <c r="I51" s="5">
        <f t="shared" ca="1" si="2"/>
        <v>1.0680907877169568E-2</v>
      </c>
      <c r="J51" s="16"/>
    </row>
    <row r="52" spans="1:10" x14ac:dyDescent="0.2">
      <c r="A52" s="3">
        <v>42349</v>
      </c>
      <c r="B52" s="1">
        <f ca="1">IFERROR(__xludf.DUMMYFUNCTION("""COMPUTED_VALUE"""),15.02)</f>
        <v>15.02</v>
      </c>
      <c r="C52" s="1">
        <f ca="1">IFERROR(__xludf.DUMMYFUNCTION("""COMPUTED_VALUE"""),15.05)</f>
        <v>15.05</v>
      </c>
      <c r="D52" s="1">
        <f ca="1">IFERROR(__xludf.DUMMYFUNCTION("""COMPUTED_VALUE"""),14.44)</f>
        <v>14.44</v>
      </c>
      <c r="E52" s="1">
        <f ca="1">IFERROR(__xludf.DUMMYFUNCTION("""COMPUTED_VALUE"""),14.47)</f>
        <v>14.47</v>
      </c>
      <c r="F52" s="1">
        <f ca="1">IFERROR(__xludf.DUMMYFUNCTION("""COMPUTED_VALUE"""),3268726)</f>
        <v>3268726</v>
      </c>
      <c r="G52" s="5">
        <f t="shared" ca="1" si="0"/>
        <v>6.9108500345542254E-3</v>
      </c>
      <c r="H52" s="14">
        <f t="shared" si="1"/>
        <v>2015</v>
      </c>
      <c r="I52" s="5">
        <f t="shared" ca="1" si="2"/>
        <v>-3.6617842876165041E-2</v>
      </c>
      <c r="J52" s="16"/>
    </row>
    <row r="53" spans="1:10" x14ac:dyDescent="0.2">
      <c r="A53" s="3">
        <v>42352</v>
      </c>
      <c r="B53" s="1">
        <f ca="1">IFERROR(__xludf.DUMMYFUNCTION("""COMPUTED_VALUE"""),14.5)</f>
        <v>14.5</v>
      </c>
      <c r="C53" s="1">
        <f ca="1">IFERROR(__xludf.DUMMYFUNCTION("""COMPUTED_VALUE"""),14.73)</f>
        <v>14.73</v>
      </c>
      <c r="D53" s="1">
        <f ca="1">IFERROR(__xludf.DUMMYFUNCTION("""COMPUTED_VALUE"""),14.32)</f>
        <v>14.32</v>
      </c>
      <c r="E53" s="1">
        <f ca="1">IFERROR(__xludf.DUMMYFUNCTION("""COMPUTED_VALUE"""),14.57)</f>
        <v>14.57</v>
      </c>
      <c r="F53" s="1">
        <f ca="1">IFERROR(__xludf.DUMMYFUNCTION("""COMPUTED_VALUE"""),2831518)</f>
        <v>2831518</v>
      </c>
      <c r="G53" s="5">
        <f t="shared" ca="1" si="0"/>
        <v>1.1667810569663687E-2</v>
      </c>
      <c r="H53" s="14">
        <f t="shared" si="1"/>
        <v>2015</v>
      </c>
      <c r="I53" s="5">
        <f t="shared" ca="1" si="2"/>
        <v>4.8275862068965711E-3</v>
      </c>
      <c r="J53" s="16"/>
    </row>
    <row r="54" spans="1:10" x14ac:dyDescent="0.2">
      <c r="A54" s="3">
        <v>42353</v>
      </c>
      <c r="B54" s="1">
        <f ca="1">IFERROR(__xludf.DUMMYFUNCTION("""COMPUTED_VALUE"""),14.79)</f>
        <v>14.79</v>
      </c>
      <c r="C54" s="1">
        <f ca="1">IFERROR(__xludf.DUMMYFUNCTION("""COMPUTED_VALUE"""),14.81)</f>
        <v>14.81</v>
      </c>
      <c r="D54" s="1">
        <f ca="1">IFERROR(__xludf.DUMMYFUNCTION("""COMPUTED_VALUE"""),14.53)</f>
        <v>14.53</v>
      </c>
      <c r="E54" s="1">
        <f ca="1">IFERROR(__xludf.DUMMYFUNCTION("""COMPUTED_VALUE"""),14.74)</f>
        <v>14.74</v>
      </c>
      <c r="F54" s="1">
        <f ca="1">IFERROR(__xludf.DUMMYFUNCTION("""COMPUTED_VALUE"""),2244424)</f>
        <v>2244424</v>
      </c>
      <c r="G54" s="5">
        <f t="shared" ca="1" si="0"/>
        <v>6.037991858887385E-2</v>
      </c>
      <c r="H54" s="14">
        <f t="shared" si="1"/>
        <v>2015</v>
      </c>
      <c r="I54" s="5">
        <f t="shared" ca="1" si="2"/>
        <v>-3.3806626098714628E-3</v>
      </c>
      <c r="J54" s="16"/>
    </row>
    <row r="55" spans="1:10" x14ac:dyDescent="0.2">
      <c r="A55" s="3">
        <v>42354</v>
      </c>
      <c r="B55" s="1">
        <f ca="1">IFERROR(__xludf.DUMMYFUNCTION("""COMPUTED_VALUE"""),14.81)</f>
        <v>14.81</v>
      </c>
      <c r="C55" s="1">
        <f ca="1">IFERROR(__xludf.DUMMYFUNCTION("""COMPUTED_VALUE"""),15.66)</f>
        <v>15.66</v>
      </c>
      <c r="D55" s="1">
        <f ca="1">IFERROR(__xludf.DUMMYFUNCTION("""COMPUTED_VALUE"""),14.72)</f>
        <v>14.72</v>
      </c>
      <c r="E55" s="1">
        <f ca="1">IFERROR(__xludf.DUMMYFUNCTION("""COMPUTED_VALUE"""),15.63)</f>
        <v>15.63</v>
      </c>
      <c r="F55" s="1">
        <f ca="1">IFERROR(__xludf.DUMMYFUNCTION("""COMPUTED_VALUE"""),5104341)</f>
        <v>5104341</v>
      </c>
      <c r="G55" s="5">
        <f t="shared" ca="1" si="0"/>
        <v>-4.4785668586052639E-3</v>
      </c>
      <c r="H55" s="14">
        <f t="shared" si="1"/>
        <v>2015</v>
      </c>
      <c r="I55" s="5">
        <f t="shared" ca="1" si="2"/>
        <v>5.5367994598244444E-2</v>
      </c>
      <c r="J55" s="16"/>
    </row>
    <row r="56" spans="1:10" x14ac:dyDescent="0.2">
      <c r="A56" s="3">
        <v>42355</v>
      </c>
      <c r="B56" s="1">
        <f ca="1">IFERROR(__xludf.DUMMYFUNCTION("""COMPUTED_VALUE"""),15.6)</f>
        <v>15.6</v>
      </c>
      <c r="C56" s="1">
        <f ca="1">IFERROR(__xludf.DUMMYFUNCTION("""COMPUTED_VALUE"""),15.85)</f>
        <v>15.85</v>
      </c>
      <c r="D56" s="1">
        <f ca="1">IFERROR(__xludf.DUMMYFUNCTION("""COMPUTED_VALUE"""),15.32)</f>
        <v>15.32</v>
      </c>
      <c r="E56" s="1">
        <f ca="1">IFERROR(__xludf.DUMMYFUNCTION("""COMPUTED_VALUE"""),15.56)</f>
        <v>15.56</v>
      </c>
      <c r="F56" s="1">
        <f ca="1">IFERROR(__xludf.DUMMYFUNCTION("""COMPUTED_VALUE"""),3298638)</f>
        <v>3298638</v>
      </c>
      <c r="G56" s="5">
        <f t="shared" ca="1" si="0"/>
        <v>-1.2853470437018063E-2</v>
      </c>
      <c r="H56" s="14">
        <f t="shared" si="1"/>
        <v>2015</v>
      </c>
      <c r="I56" s="5">
        <f t="shared" ca="1" si="2"/>
        <v>-2.5641025641025095E-3</v>
      </c>
      <c r="J56" s="16"/>
    </row>
    <row r="57" spans="1:10" x14ac:dyDescent="0.2">
      <c r="A57" s="3">
        <v>42356</v>
      </c>
      <c r="B57" s="1">
        <f ca="1">IFERROR(__xludf.DUMMYFUNCTION("""COMPUTED_VALUE"""),15.53)</f>
        <v>15.53</v>
      </c>
      <c r="C57" s="1">
        <f ca="1">IFERROR(__xludf.DUMMYFUNCTION("""COMPUTED_VALUE"""),15.73)</f>
        <v>15.73</v>
      </c>
      <c r="D57" s="1">
        <f ca="1">IFERROR(__xludf.DUMMYFUNCTION("""COMPUTED_VALUE"""),15.29)</f>
        <v>15.29</v>
      </c>
      <c r="E57" s="1">
        <f ca="1">IFERROR(__xludf.DUMMYFUNCTION("""COMPUTED_VALUE"""),15.36)</f>
        <v>15.36</v>
      </c>
      <c r="F57" s="1">
        <f ca="1">IFERROR(__xludf.DUMMYFUNCTION("""COMPUTED_VALUE"""),3014170)</f>
        <v>3014170</v>
      </c>
      <c r="G57" s="5">
        <f t="shared" ca="1" si="0"/>
        <v>9.1145833333333703E-3</v>
      </c>
      <c r="H57" s="14">
        <f t="shared" si="1"/>
        <v>2015</v>
      </c>
      <c r="I57" s="5">
        <f t="shared" ca="1" si="2"/>
        <v>-1.0946555054732771E-2</v>
      </c>
      <c r="J57" s="16"/>
    </row>
    <row r="58" spans="1:10" x14ac:dyDescent="0.2">
      <c r="A58" s="3">
        <v>42359</v>
      </c>
      <c r="B58" s="1">
        <f ca="1">IFERROR(__xludf.DUMMYFUNCTION("""COMPUTED_VALUE"""),15.45)</f>
        <v>15.45</v>
      </c>
      <c r="C58" s="1">
        <f ca="1">IFERROR(__xludf.DUMMYFUNCTION("""COMPUTED_VALUE"""),15.72)</f>
        <v>15.72</v>
      </c>
      <c r="D58" s="1">
        <f ca="1">IFERROR(__xludf.DUMMYFUNCTION("""COMPUTED_VALUE"""),15.41)</f>
        <v>15.41</v>
      </c>
      <c r="E58" s="1">
        <f ca="1">IFERROR(__xludf.DUMMYFUNCTION("""COMPUTED_VALUE"""),15.5)</f>
        <v>15.5</v>
      </c>
      <c r="F58" s="1">
        <f ca="1">IFERROR(__xludf.DUMMYFUNCTION("""COMPUTED_VALUE"""),1953174)</f>
        <v>1953174</v>
      </c>
      <c r="G58" s="5">
        <f t="shared" ca="1" si="0"/>
        <v>-1.0967741935483867E-2</v>
      </c>
      <c r="H58" s="14">
        <f t="shared" si="1"/>
        <v>2015</v>
      </c>
      <c r="I58" s="5">
        <f t="shared" ca="1" si="2"/>
        <v>3.2362459546926028E-3</v>
      </c>
      <c r="J58" s="16"/>
    </row>
    <row r="59" spans="1:10" x14ac:dyDescent="0.2">
      <c r="A59" s="3">
        <v>42360</v>
      </c>
      <c r="B59" s="1">
        <f ca="1">IFERROR(__xludf.DUMMYFUNCTION("""COMPUTED_VALUE"""),15.67)</f>
        <v>15.67</v>
      </c>
      <c r="C59" s="1">
        <f ca="1">IFERROR(__xludf.DUMMYFUNCTION("""COMPUTED_VALUE"""),15.77)</f>
        <v>15.77</v>
      </c>
      <c r="D59" s="1">
        <f ca="1">IFERROR(__xludf.DUMMYFUNCTION("""COMPUTED_VALUE"""),15.31)</f>
        <v>15.31</v>
      </c>
      <c r="E59" s="1">
        <f ca="1">IFERROR(__xludf.DUMMYFUNCTION("""COMPUTED_VALUE"""),15.33)</f>
        <v>15.33</v>
      </c>
      <c r="F59" s="1">
        <f ca="1">IFERROR(__xludf.DUMMYFUNCTION("""COMPUTED_VALUE"""),1961495)</f>
        <v>1961495</v>
      </c>
      <c r="G59" s="5">
        <f t="shared" ca="1" si="0"/>
        <v>-1.3046314416177152E-3</v>
      </c>
      <c r="H59" s="14">
        <f t="shared" si="1"/>
        <v>2015</v>
      </c>
      <c r="I59" s="5">
        <f t="shared" ca="1" si="2"/>
        <v>-2.1697511167836622E-2</v>
      </c>
      <c r="J59" s="16"/>
    </row>
    <row r="60" spans="1:10" x14ac:dyDescent="0.2">
      <c r="A60" s="3">
        <v>42361</v>
      </c>
      <c r="B60" s="1">
        <f ca="1">IFERROR(__xludf.DUMMYFUNCTION("""COMPUTED_VALUE"""),15.48)</f>
        <v>15.48</v>
      </c>
      <c r="C60" s="1">
        <f ca="1">IFERROR(__xludf.DUMMYFUNCTION("""COMPUTED_VALUE"""),15.56)</f>
        <v>15.56</v>
      </c>
      <c r="D60" s="1">
        <f ca="1">IFERROR(__xludf.DUMMYFUNCTION("""COMPUTED_VALUE"""),15.21)</f>
        <v>15.21</v>
      </c>
      <c r="E60" s="1">
        <f ca="1">IFERROR(__xludf.DUMMYFUNCTION("""COMPUTED_VALUE"""),15.31)</f>
        <v>15.31</v>
      </c>
      <c r="F60" s="1">
        <f ca="1">IFERROR(__xludf.DUMMYFUNCTION("""COMPUTED_VALUE"""),1554979)</f>
        <v>1554979</v>
      </c>
      <c r="G60" s="5">
        <f t="shared" ca="1" si="0"/>
        <v>3.9190071848464215E-3</v>
      </c>
      <c r="H60" s="14">
        <f t="shared" si="1"/>
        <v>2015</v>
      </c>
      <c r="I60" s="5">
        <f t="shared" ca="1" si="2"/>
        <v>-1.0981912144702838E-2</v>
      </c>
      <c r="J60" s="16"/>
    </row>
    <row r="61" spans="1:10" x14ac:dyDescent="0.2">
      <c r="A61" s="3">
        <v>42362</v>
      </c>
      <c r="B61" s="1">
        <f ca="1">IFERROR(__xludf.DUMMYFUNCTION("""COMPUTED_VALUE"""),15.37)</f>
        <v>15.37</v>
      </c>
      <c r="C61" s="1">
        <f ca="1">IFERROR(__xludf.DUMMYFUNCTION("""COMPUTED_VALUE"""),15.46)</f>
        <v>15.46</v>
      </c>
      <c r="D61" s="1">
        <f ca="1">IFERROR(__xludf.DUMMYFUNCTION("""COMPUTED_VALUE"""),15.22)</f>
        <v>15.22</v>
      </c>
      <c r="E61" s="1">
        <f ca="1">IFERROR(__xludf.DUMMYFUNCTION("""COMPUTED_VALUE"""),15.37)</f>
        <v>15.37</v>
      </c>
      <c r="F61" s="1">
        <f ca="1">IFERROR(__xludf.DUMMYFUNCTION("""COMPUTED_VALUE"""),710277)</f>
        <v>710277</v>
      </c>
      <c r="G61" s="5">
        <f t="shared" ca="1" si="0"/>
        <v>-7.156798959011024E-3</v>
      </c>
      <c r="H61" s="14">
        <f t="shared" si="1"/>
        <v>2015</v>
      </c>
      <c r="I61" s="5">
        <f t="shared" ca="1" si="2"/>
        <v>0</v>
      </c>
      <c r="J61" s="16"/>
    </row>
    <row r="62" spans="1:10" x14ac:dyDescent="0.2">
      <c r="A62" s="3">
        <v>42366</v>
      </c>
      <c r="B62" s="1">
        <f ca="1">IFERROR(__xludf.DUMMYFUNCTION("""COMPUTED_VALUE"""),15.43)</f>
        <v>15.43</v>
      </c>
      <c r="C62" s="1">
        <f ca="1">IFERROR(__xludf.DUMMYFUNCTION("""COMPUTED_VALUE"""),15.47)</f>
        <v>15.47</v>
      </c>
      <c r="D62" s="1">
        <f ca="1">IFERROR(__xludf.DUMMYFUNCTION("""COMPUTED_VALUE"""),15.04)</f>
        <v>15.04</v>
      </c>
      <c r="E62" s="1">
        <f ca="1">IFERROR(__xludf.DUMMYFUNCTION("""COMPUTED_VALUE"""),15.26)</f>
        <v>15.26</v>
      </c>
      <c r="F62" s="1">
        <f ca="1">IFERROR(__xludf.DUMMYFUNCTION("""COMPUTED_VALUE"""),1901304)</f>
        <v>1901304</v>
      </c>
      <c r="G62" s="5">
        <f t="shared" ca="1" si="0"/>
        <v>3.6041939711664528E-2</v>
      </c>
      <c r="H62" s="14">
        <f t="shared" si="1"/>
        <v>2015</v>
      </c>
      <c r="I62" s="5">
        <f t="shared" ca="1" si="2"/>
        <v>-1.1017498379779646E-2</v>
      </c>
      <c r="J62" s="16"/>
    </row>
    <row r="63" spans="1:10" x14ac:dyDescent="0.2">
      <c r="A63" s="3">
        <v>42367</v>
      </c>
      <c r="B63" s="1">
        <f ca="1">IFERROR(__xludf.DUMMYFUNCTION("""COMPUTED_VALUE"""),15.34)</f>
        <v>15.34</v>
      </c>
      <c r="C63" s="1">
        <f ca="1">IFERROR(__xludf.DUMMYFUNCTION("""COMPUTED_VALUE"""),15.85)</f>
        <v>15.85</v>
      </c>
      <c r="D63" s="1">
        <f ca="1">IFERROR(__xludf.DUMMYFUNCTION("""COMPUTED_VALUE"""),15.3)</f>
        <v>15.3</v>
      </c>
      <c r="E63" s="1">
        <f ca="1">IFERROR(__xludf.DUMMYFUNCTION("""COMPUTED_VALUE"""),15.81)</f>
        <v>15.81</v>
      </c>
      <c r="F63" s="1">
        <f ca="1">IFERROR(__xludf.DUMMYFUNCTION("""COMPUTED_VALUE"""),2406290)</f>
        <v>2406290</v>
      </c>
      <c r="G63" s="5">
        <f t="shared" ca="1" si="0"/>
        <v>3.7950664136621581E-3</v>
      </c>
      <c r="H63" s="14">
        <f t="shared" si="1"/>
        <v>2015</v>
      </c>
      <c r="I63" s="5">
        <f t="shared" ca="1" si="2"/>
        <v>3.0638852672751019E-2</v>
      </c>
      <c r="J63" s="16"/>
    </row>
    <row r="64" spans="1:10" x14ac:dyDescent="0.2">
      <c r="A64" s="3">
        <v>42368</v>
      </c>
      <c r="B64" s="1">
        <f ca="1">IFERROR(__xludf.DUMMYFUNCTION("""COMPUTED_VALUE"""),15.77)</f>
        <v>15.77</v>
      </c>
      <c r="C64" s="1">
        <f ca="1">IFERROR(__xludf.DUMMYFUNCTION("""COMPUTED_VALUE"""),16.24)</f>
        <v>16.239999999999998</v>
      </c>
      <c r="D64" s="1">
        <f ca="1">IFERROR(__xludf.DUMMYFUNCTION("""COMPUTED_VALUE"""),15.71)</f>
        <v>15.71</v>
      </c>
      <c r="E64" s="1">
        <f ca="1">IFERROR(__xludf.DUMMYFUNCTION("""COMPUTED_VALUE"""),15.87)</f>
        <v>15.87</v>
      </c>
      <c r="F64" s="1">
        <f ca="1">IFERROR(__xludf.DUMMYFUNCTION("""COMPUTED_VALUE"""),3697921)</f>
        <v>3697921</v>
      </c>
      <c r="G64" s="5">
        <f t="shared" ca="1" si="0"/>
        <v>8.1915563957152358E-3</v>
      </c>
      <c r="H64" s="14">
        <f t="shared" si="1"/>
        <v>2015</v>
      </c>
      <c r="I64" s="5">
        <f t="shared" ca="1" si="2"/>
        <v>6.3411540900443659E-3</v>
      </c>
      <c r="J64" s="16"/>
    </row>
    <row r="65" spans="1:11" s="13" customFormat="1" x14ac:dyDescent="0.2">
      <c r="A65" s="10">
        <v>42369</v>
      </c>
      <c r="B65" s="11">
        <f ca="1">IFERROR(__xludf.DUMMYFUNCTION("""COMPUTED_VALUE"""),15.9)</f>
        <v>15.9</v>
      </c>
      <c r="C65" s="11">
        <f ca="1">IFERROR(__xludf.DUMMYFUNCTION("""COMPUTED_VALUE"""),16.23)</f>
        <v>16.23</v>
      </c>
      <c r="D65" s="11">
        <f ca="1">IFERROR(__xludf.DUMMYFUNCTION("""COMPUTED_VALUE"""),15.89)</f>
        <v>15.89</v>
      </c>
      <c r="E65" s="11">
        <f ca="1">IFERROR(__xludf.DUMMYFUNCTION("""COMPUTED_VALUE"""),16)</f>
        <v>16</v>
      </c>
      <c r="F65" s="11">
        <f ca="1">IFERROR(__xludf.DUMMYFUNCTION("""COMPUTED_VALUE"""),2715038)</f>
        <v>2715038</v>
      </c>
      <c r="G65" s="12">
        <f t="shared" ca="1" si="0"/>
        <v>-6.9374999999999964E-2</v>
      </c>
      <c r="H65" s="15">
        <f t="shared" si="1"/>
        <v>2015</v>
      </c>
      <c r="I65" s="12">
        <f t="shared" ca="1" si="2"/>
        <v>6.2893081761006067E-3</v>
      </c>
      <c r="J65" s="16"/>
      <c r="K65"/>
    </row>
    <row r="66" spans="1:11" x14ac:dyDescent="0.2">
      <c r="A66" s="3">
        <v>42373</v>
      </c>
      <c r="B66" s="1">
        <f ca="1">IFERROR(__xludf.DUMMYFUNCTION("""COMPUTED_VALUE"""),15.38)</f>
        <v>15.38</v>
      </c>
      <c r="C66" s="1">
        <f ca="1">IFERROR(__xludf.DUMMYFUNCTION("""COMPUTED_VALUE"""),15.43)</f>
        <v>15.43</v>
      </c>
      <c r="D66" s="1">
        <f ca="1">IFERROR(__xludf.DUMMYFUNCTION("""COMPUTED_VALUE"""),14.6)</f>
        <v>14.6</v>
      </c>
      <c r="E66" s="1">
        <f ca="1">IFERROR(__xludf.DUMMYFUNCTION("""COMPUTED_VALUE"""),14.89)</f>
        <v>14.89</v>
      </c>
      <c r="F66" s="1">
        <f ca="1">IFERROR(__xludf.DUMMYFUNCTION("""COMPUTED_VALUE"""),6827146)</f>
        <v>6827146</v>
      </c>
      <c r="G66" s="5">
        <f t="shared" ca="1" si="0"/>
        <v>6.7159167226324955E-4</v>
      </c>
      <c r="H66" s="14">
        <f t="shared" si="1"/>
        <v>2016</v>
      </c>
      <c r="I66" s="5">
        <f t="shared" ca="1" si="2"/>
        <v>-3.1859557867360222E-2</v>
      </c>
      <c r="J66" s="16"/>
    </row>
    <row r="67" spans="1:11" x14ac:dyDescent="0.2">
      <c r="A67" s="3">
        <v>42374</v>
      </c>
      <c r="B67" s="1">
        <f ca="1">IFERROR(__xludf.DUMMYFUNCTION("""COMPUTED_VALUE"""),15.09)</f>
        <v>15.09</v>
      </c>
      <c r="C67" s="1">
        <f ca="1">IFERROR(__xludf.DUMMYFUNCTION("""COMPUTED_VALUE"""),15.13)</f>
        <v>15.13</v>
      </c>
      <c r="D67" s="1">
        <f ca="1">IFERROR(__xludf.DUMMYFUNCTION("""COMPUTED_VALUE"""),14.67)</f>
        <v>14.67</v>
      </c>
      <c r="E67" s="1">
        <f ca="1">IFERROR(__xludf.DUMMYFUNCTION("""COMPUTED_VALUE"""),14.9)</f>
        <v>14.9</v>
      </c>
      <c r="F67" s="1">
        <f ca="1">IFERROR(__xludf.DUMMYFUNCTION("""COMPUTED_VALUE"""),3186752)</f>
        <v>3186752</v>
      </c>
      <c r="G67" s="5">
        <f t="shared" ref="G67:G130" ca="1" si="3">(E68-E67)/E67</f>
        <v>-2.013422818791951E-2</v>
      </c>
      <c r="H67" s="14">
        <f t="shared" ref="H67:H130" si="4">YEAR(A67)</f>
        <v>2016</v>
      </c>
      <c r="I67" s="5">
        <f t="shared" ref="I67:I130" ca="1" si="5">((E67 - B67) / B67)</f>
        <v>-1.2591119946984725E-2</v>
      </c>
      <c r="J67" s="16"/>
    </row>
    <row r="68" spans="1:11" x14ac:dyDescent="0.2">
      <c r="A68" s="3">
        <v>42375</v>
      </c>
      <c r="B68" s="1">
        <f ca="1">IFERROR(__xludf.DUMMYFUNCTION("""COMPUTED_VALUE"""),14.67)</f>
        <v>14.67</v>
      </c>
      <c r="C68" s="1">
        <f ca="1">IFERROR(__xludf.DUMMYFUNCTION("""COMPUTED_VALUE"""),14.67)</f>
        <v>14.67</v>
      </c>
      <c r="D68" s="1">
        <f ca="1">IFERROR(__xludf.DUMMYFUNCTION("""COMPUTED_VALUE"""),14.4)</f>
        <v>14.4</v>
      </c>
      <c r="E68" s="1">
        <f ca="1">IFERROR(__xludf.DUMMYFUNCTION("""COMPUTED_VALUE"""),14.6)</f>
        <v>14.6</v>
      </c>
      <c r="F68" s="1">
        <f ca="1">IFERROR(__xludf.DUMMYFUNCTION("""COMPUTED_VALUE"""),3779128)</f>
        <v>3779128</v>
      </c>
      <c r="G68" s="5">
        <f t="shared" ca="1" si="3"/>
        <v>-1.5068493150684854E-2</v>
      </c>
      <c r="H68" s="14">
        <f t="shared" si="4"/>
        <v>2016</v>
      </c>
      <c r="I68" s="5">
        <f t="shared" ca="1" si="5"/>
        <v>-4.7716428084526438E-3</v>
      </c>
      <c r="J68" s="16"/>
    </row>
    <row r="69" spans="1:11" x14ac:dyDescent="0.2">
      <c r="A69" s="3">
        <v>42376</v>
      </c>
      <c r="B69" s="1">
        <f ca="1">IFERROR(__xludf.DUMMYFUNCTION("""COMPUTED_VALUE"""),14.28)</f>
        <v>14.28</v>
      </c>
      <c r="C69" s="1">
        <f ca="1">IFERROR(__xludf.DUMMYFUNCTION("""COMPUTED_VALUE"""),14.56)</f>
        <v>14.56</v>
      </c>
      <c r="D69" s="1">
        <f ca="1">IFERROR(__xludf.DUMMYFUNCTION("""COMPUTED_VALUE"""),14.24)</f>
        <v>14.24</v>
      </c>
      <c r="E69" s="1">
        <f ca="1">IFERROR(__xludf.DUMMYFUNCTION("""COMPUTED_VALUE"""),14.38)</f>
        <v>14.38</v>
      </c>
      <c r="F69" s="1">
        <f ca="1">IFERROR(__xludf.DUMMYFUNCTION("""COMPUTED_VALUE"""),3554251)</f>
        <v>3554251</v>
      </c>
      <c r="G69" s="5">
        <f t="shared" ca="1" si="3"/>
        <v>-2.1557719054242037E-2</v>
      </c>
      <c r="H69" s="14">
        <f t="shared" si="4"/>
        <v>2016</v>
      </c>
      <c r="I69" s="5">
        <f t="shared" ca="1" si="5"/>
        <v>7.0028011204482793E-3</v>
      </c>
      <c r="J69" s="16"/>
    </row>
    <row r="70" spans="1:11" x14ac:dyDescent="0.2">
      <c r="A70" s="3">
        <v>42377</v>
      </c>
      <c r="B70" s="1">
        <f ca="1">IFERROR(__xludf.DUMMYFUNCTION("""COMPUTED_VALUE"""),14.52)</f>
        <v>14.52</v>
      </c>
      <c r="C70" s="1">
        <f ca="1">IFERROR(__xludf.DUMMYFUNCTION("""COMPUTED_VALUE"""),14.7)</f>
        <v>14.7</v>
      </c>
      <c r="D70" s="1">
        <f ca="1">IFERROR(__xludf.DUMMYFUNCTION("""COMPUTED_VALUE"""),14.05)</f>
        <v>14.05</v>
      </c>
      <c r="E70" s="1">
        <f ca="1">IFERROR(__xludf.DUMMYFUNCTION("""COMPUTED_VALUE"""),14.07)</f>
        <v>14.07</v>
      </c>
      <c r="F70" s="1">
        <f ca="1">IFERROR(__xludf.DUMMYFUNCTION("""COMPUTED_VALUE"""),3628058)</f>
        <v>3628058</v>
      </c>
      <c r="G70" s="5">
        <f t="shared" ca="1" si="3"/>
        <v>-1.4925373134328419E-2</v>
      </c>
      <c r="H70" s="14">
        <f t="shared" si="4"/>
        <v>2016</v>
      </c>
      <c r="I70" s="5">
        <f t="shared" ca="1" si="5"/>
        <v>-3.0991735537190035E-2</v>
      </c>
      <c r="J70" s="16"/>
    </row>
    <row r="71" spans="1:11" x14ac:dyDescent="0.2">
      <c r="A71" s="3">
        <v>42380</v>
      </c>
      <c r="B71" s="1">
        <f ca="1">IFERROR(__xludf.DUMMYFUNCTION("""COMPUTED_VALUE"""),14.27)</f>
        <v>14.27</v>
      </c>
      <c r="C71" s="1">
        <f ca="1">IFERROR(__xludf.DUMMYFUNCTION("""COMPUTED_VALUE"""),14.3)</f>
        <v>14.3</v>
      </c>
      <c r="D71" s="1">
        <f ca="1">IFERROR(__xludf.DUMMYFUNCTION("""COMPUTED_VALUE"""),13.53)</f>
        <v>13.53</v>
      </c>
      <c r="E71" s="1">
        <f ca="1">IFERROR(__xludf.DUMMYFUNCTION("""COMPUTED_VALUE"""),13.86)</f>
        <v>13.86</v>
      </c>
      <c r="F71" s="1">
        <f ca="1">IFERROR(__xludf.DUMMYFUNCTION("""COMPUTED_VALUE"""),4091422)</f>
        <v>4091422</v>
      </c>
      <c r="G71" s="5">
        <f t="shared" ca="1" si="3"/>
        <v>1.0101010101010142E-2</v>
      </c>
      <c r="H71" s="14">
        <f t="shared" si="4"/>
        <v>2016</v>
      </c>
      <c r="I71" s="5">
        <f t="shared" ca="1" si="5"/>
        <v>-2.8731604765241777E-2</v>
      </c>
      <c r="J71" s="16"/>
    </row>
    <row r="72" spans="1:11" x14ac:dyDescent="0.2">
      <c r="A72" s="3">
        <v>42381</v>
      </c>
      <c r="B72" s="1">
        <f ca="1">IFERROR(__xludf.DUMMYFUNCTION("""COMPUTED_VALUE"""),14.11)</f>
        <v>14.11</v>
      </c>
      <c r="C72" s="1">
        <f ca="1">IFERROR(__xludf.DUMMYFUNCTION("""COMPUTED_VALUE"""),14.25)</f>
        <v>14.25</v>
      </c>
      <c r="D72" s="1">
        <f ca="1">IFERROR(__xludf.DUMMYFUNCTION("""COMPUTED_VALUE"""),13.69)</f>
        <v>13.69</v>
      </c>
      <c r="E72" s="1">
        <f ca="1">IFERROR(__xludf.DUMMYFUNCTION("""COMPUTED_VALUE"""),14)</f>
        <v>14</v>
      </c>
      <c r="F72" s="1">
        <f ca="1">IFERROR(__xludf.DUMMYFUNCTION("""COMPUTED_VALUE"""),3091917)</f>
        <v>3091917</v>
      </c>
      <c r="G72" s="5">
        <f t="shared" ca="1" si="3"/>
        <v>-4.6428571428571451E-2</v>
      </c>
      <c r="H72" s="14">
        <f t="shared" si="4"/>
        <v>2016</v>
      </c>
      <c r="I72" s="5">
        <f t="shared" ca="1" si="5"/>
        <v>-7.7958894401133549E-3</v>
      </c>
      <c r="J72" s="16"/>
    </row>
    <row r="73" spans="1:11" x14ac:dyDescent="0.2">
      <c r="A73" s="3">
        <v>42382</v>
      </c>
      <c r="B73" s="1">
        <f ca="1">IFERROR(__xludf.DUMMYFUNCTION("""COMPUTED_VALUE"""),14.13)</f>
        <v>14.13</v>
      </c>
      <c r="C73" s="1">
        <f ca="1">IFERROR(__xludf.DUMMYFUNCTION("""COMPUTED_VALUE"""),14.18)</f>
        <v>14.18</v>
      </c>
      <c r="D73" s="1">
        <f ca="1">IFERROR(__xludf.DUMMYFUNCTION("""COMPUTED_VALUE"""),13.33)</f>
        <v>13.33</v>
      </c>
      <c r="E73" s="1">
        <f ca="1">IFERROR(__xludf.DUMMYFUNCTION("""COMPUTED_VALUE"""),13.35)</f>
        <v>13.35</v>
      </c>
      <c r="F73" s="1">
        <f ca="1">IFERROR(__xludf.DUMMYFUNCTION("""COMPUTED_VALUE"""),4126416)</f>
        <v>4126416</v>
      </c>
      <c r="G73" s="5">
        <f t="shared" ca="1" si="3"/>
        <v>2.9962546816479429E-2</v>
      </c>
      <c r="H73" s="14">
        <f t="shared" si="4"/>
        <v>2016</v>
      </c>
      <c r="I73" s="5">
        <f t="shared" ca="1" si="5"/>
        <v>-5.5201698513800503E-2</v>
      </c>
      <c r="J73" s="16"/>
    </row>
    <row r="74" spans="1:11" x14ac:dyDescent="0.2">
      <c r="A74" s="3">
        <v>42383</v>
      </c>
      <c r="B74" s="1">
        <f ca="1">IFERROR(__xludf.DUMMYFUNCTION("""COMPUTED_VALUE"""),13.48)</f>
        <v>13.48</v>
      </c>
      <c r="C74" s="1">
        <f ca="1">IFERROR(__xludf.DUMMYFUNCTION("""COMPUTED_VALUE"""),14)</f>
        <v>14</v>
      </c>
      <c r="D74" s="1">
        <f ca="1">IFERROR(__xludf.DUMMYFUNCTION("""COMPUTED_VALUE"""),12.89)</f>
        <v>12.89</v>
      </c>
      <c r="E74" s="1">
        <f ca="1">IFERROR(__xludf.DUMMYFUNCTION("""COMPUTED_VALUE"""),13.75)</f>
        <v>13.75</v>
      </c>
      <c r="F74" s="1">
        <f ca="1">IFERROR(__xludf.DUMMYFUNCTION("""COMPUTED_VALUE"""),6490741)</f>
        <v>6490741</v>
      </c>
      <c r="G74" s="5">
        <f t="shared" ca="1" si="3"/>
        <v>-5.818181818181823E-3</v>
      </c>
      <c r="H74" s="14">
        <f t="shared" si="4"/>
        <v>2016</v>
      </c>
      <c r="I74" s="5">
        <f t="shared" ca="1" si="5"/>
        <v>2.0029673590504418E-2</v>
      </c>
      <c r="J74" s="16"/>
    </row>
    <row r="75" spans="1:11" x14ac:dyDescent="0.2">
      <c r="A75" s="3">
        <v>42384</v>
      </c>
      <c r="B75" s="1">
        <f ca="1">IFERROR(__xludf.DUMMYFUNCTION("""COMPUTED_VALUE"""),13.26)</f>
        <v>13.26</v>
      </c>
      <c r="C75" s="1">
        <f ca="1">IFERROR(__xludf.DUMMYFUNCTION("""COMPUTED_VALUE"""),13.67)</f>
        <v>13.67</v>
      </c>
      <c r="D75" s="1">
        <f ca="1">IFERROR(__xludf.DUMMYFUNCTION("""COMPUTED_VALUE"""),13.15)</f>
        <v>13.15</v>
      </c>
      <c r="E75" s="1">
        <f ca="1">IFERROR(__xludf.DUMMYFUNCTION("""COMPUTED_VALUE"""),13.67)</f>
        <v>13.67</v>
      </c>
      <c r="F75" s="1">
        <f ca="1">IFERROR(__xludf.DUMMYFUNCTION("""COMPUTED_VALUE"""),5578640)</f>
        <v>5578640</v>
      </c>
      <c r="G75" s="5">
        <f t="shared" ca="1" si="3"/>
        <v>-1.4630577907827048E-3</v>
      </c>
      <c r="H75" s="14">
        <f t="shared" si="4"/>
        <v>2016</v>
      </c>
      <c r="I75" s="5">
        <f t="shared" ca="1" si="5"/>
        <v>3.0920060331825049E-2</v>
      </c>
      <c r="J75" s="16"/>
    </row>
    <row r="76" spans="1:11" x14ac:dyDescent="0.2">
      <c r="A76" s="3">
        <v>42388</v>
      </c>
      <c r="B76" s="1">
        <f ca="1">IFERROR(__xludf.DUMMYFUNCTION("""COMPUTED_VALUE"""),13.91)</f>
        <v>13.91</v>
      </c>
      <c r="C76" s="1">
        <f ca="1">IFERROR(__xludf.DUMMYFUNCTION("""COMPUTED_VALUE"""),14.03)</f>
        <v>14.03</v>
      </c>
      <c r="D76" s="1">
        <f ca="1">IFERROR(__xludf.DUMMYFUNCTION("""COMPUTED_VALUE"""),13.39)</f>
        <v>13.39</v>
      </c>
      <c r="E76" s="1">
        <f ca="1">IFERROR(__xludf.DUMMYFUNCTION("""COMPUTED_VALUE"""),13.65)</f>
        <v>13.65</v>
      </c>
      <c r="F76" s="1">
        <f ca="1">IFERROR(__xludf.DUMMYFUNCTION("""COMPUTED_VALUE"""),4038676)</f>
        <v>4038676</v>
      </c>
      <c r="G76" s="5">
        <f t="shared" ca="1" si="3"/>
        <v>-2.9304029304029328E-2</v>
      </c>
      <c r="H76" s="14">
        <f t="shared" si="4"/>
        <v>2016</v>
      </c>
      <c r="I76" s="5">
        <f t="shared" ca="1" si="5"/>
        <v>-1.8691588785046714E-2</v>
      </c>
      <c r="J76" s="16"/>
    </row>
    <row r="77" spans="1:11" x14ac:dyDescent="0.2">
      <c r="A77" s="3">
        <v>42389</v>
      </c>
      <c r="B77" s="1">
        <f ca="1">IFERROR(__xludf.DUMMYFUNCTION("""COMPUTED_VALUE"""),13.29)</f>
        <v>13.29</v>
      </c>
      <c r="C77" s="1">
        <f ca="1">IFERROR(__xludf.DUMMYFUNCTION("""COMPUTED_VALUE"""),13.42)</f>
        <v>13.42</v>
      </c>
      <c r="D77" s="1">
        <f ca="1">IFERROR(__xludf.DUMMYFUNCTION("""COMPUTED_VALUE"""),12.75)</f>
        <v>12.75</v>
      </c>
      <c r="E77" s="1">
        <f ca="1">IFERROR(__xludf.DUMMYFUNCTION("""COMPUTED_VALUE"""),13.25)</f>
        <v>13.25</v>
      </c>
      <c r="F77" s="1">
        <f ca="1">IFERROR(__xludf.DUMMYFUNCTION("""COMPUTED_VALUE"""),5838608)</f>
        <v>5838608</v>
      </c>
      <c r="G77" s="5">
        <f t="shared" ca="1" si="3"/>
        <v>6.0377358490566095E-3</v>
      </c>
      <c r="H77" s="14">
        <f t="shared" si="4"/>
        <v>2016</v>
      </c>
      <c r="I77" s="5">
        <f t="shared" ca="1" si="5"/>
        <v>-3.0097817908201017E-3</v>
      </c>
      <c r="J77" s="16"/>
    </row>
    <row r="78" spans="1:11" x14ac:dyDescent="0.2">
      <c r="A78" s="3">
        <v>42390</v>
      </c>
      <c r="B78" s="1">
        <f ca="1">IFERROR(__xludf.DUMMYFUNCTION("""COMPUTED_VALUE"""),13.44)</f>
        <v>13.44</v>
      </c>
      <c r="C78" s="1">
        <f ca="1">IFERROR(__xludf.DUMMYFUNCTION("""COMPUTED_VALUE"""),13.55)</f>
        <v>13.55</v>
      </c>
      <c r="D78" s="1">
        <f ca="1">IFERROR(__xludf.DUMMYFUNCTION("""COMPUTED_VALUE"""),13)</f>
        <v>13</v>
      </c>
      <c r="E78" s="1">
        <f ca="1">IFERROR(__xludf.DUMMYFUNCTION("""COMPUTED_VALUE"""),13.33)</f>
        <v>13.33</v>
      </c>
      <c r="F78" s="1">
        <f ca="1">IFERROR(__xludf.DUMMYFUNCTION("""COMPUTED_VALUE"""),3166159)</f>
        <v>3166159</v>
      </c>
      <c r="G78" s="5">
        <f t="shared" ca="1" si="3"/>
        <v>1.2753188297074263E-2</v>
      </c>
      <c r="H78" s="14">
        <f t="shared" si="4"/>
        <v>2016</v>
      </c>
      <c r="I78" s="5">
        <f t="shared" ca="1" si="5"/>
        <v>-8.1845238095237683E-3</v>
      </c>
      <c r="J78" s="16"/>
    </row>
    <row r="79" spans="1:11" x14ac:dyDescent="0.2">
      <c r="A79" s="3">
        <v>42391</v>
      </c>
      <c r="B79" s="1">
        <f ca="1">IFERROR(__xludf.DUMMYFUNCTION("""COMPUTED_VALUE"""),13.65)</f>
        <v>13.65</v>
      </c>
      <c r="C79" s="1">
        <f ca="1">IFERROR(__xludf.DUMMYFUNCTION("""COMPUTED_VALUE"""),13.7)</f>
        <v>13.7</v>
      </c>
      <c r="D79" s="1">
        <f ca="1">IFERROR(__xludf.DUMMYFUNCTION("""COMPUTED_VALUE"""),13.27)</f>
        <v>13.27</v>
      </c>
      <c r="E79" s="1">
        <f ca="1">IFERROR(__xludf.DUMMYFUNCTION("""COMPUTED_VALUE"""),13.5)</f>
        <v>13.5</v>
      </c>
      <c r="F79" s="1">
        <f ca="1">IFERROR(__xludf.DUMMYFUNCTION("""COMPUTED_VALUE"""),3124055)</f>
        <v>3124055</v>
      </c>
      <c r="G79" s="5">
        <f t="shared" ca="1" si="3"/>
        <v>-3.0370370370370381E-2</v>
      </c>
      <c r="H79" s="14">
        <f t="shared" si="4"/>
        <v>2016</v>
      </c>
      <c r="I79" s="5">
        <f t="shared" ca="1" si="5"/>
        <v>-1.0989010989011014E-2</v>
      </c>
      <c r="J79" s="16"/>
    </row>
    <row r="80" spans="1:11" x14ac:dyDescent="0.2">
      <c r="A80" s="3">
        <v>42394</v>
      </c>
      <c r="B80" s="1">
        <f ca="1">IFERROR(__xludf.DUMMYFUNCTION("""COMPUTED_VALUE"""),13.34)</f>
        <v>13.34</v>
      </c>
      <c r="C80" s="1">
        <f ca="1">IFERROR(__xludf.DUMMYFUNCTION("""COMPUTED_VALUE"""),13.57)</f>
        <v>13.57</v>
      </c>
      <c r="D80" s="1">
        <f ca="1">IFERROR(__xludf.DUMMYFUNCTION("""COMPUTED_VALUE"""),13.06)</f>
        <v>13.06</v>
      </c>
      <c r="E80" s="1">
        <f ca="1">IFERROR(__xludf.DUMMYFUNCTION("""COMPUTED_VALUE"""),13.09)</f>
        <v>13.09</v>
      </c>
      <c r="F80" s="1">
        <f ca="1">IFERROR(__xludf.DUMMYFUNCTION("""COMPUTED_VALUE"""),2698739)</f>
        <v>2698739</v>
      </c>
      <c r="G80" s="5">
        <f t="shared" ca="1" si="3"/>
        <v>-1.4514896867838006E-2</v>
      </c>
      <c r="H80" s="14">
        <f t="shared" si="4"/>
        <v>2016</v>
      </c>
      <c r="I80" s="5">
        <f t="shared" ca="1" si="5"/>
        <v>-1.8740629685157422E-2</v>
      </c>
      <c r="J80" s="16"/>
    </row>
    <row r="81" spans="1:10" x14ac:dyDescent="0.2">
      <c r="A81" s="3">
        <v>42395</v>
      </c>
      <c r="B81" s="1">
        <f ca="1">IFERROR(__xludf.DUMMYFUNCTION("""COMPUTED_VALUE"""),13.11)</f>
        <v>13.11</v>
      </c>
      <c r="C81" s="1">
        <f ca="1">IFERROR(__xludf.DUMMYFUNCTION("""COMPUTED_VALUE"""),13.19)</f>
        <v>13.19</v>
      </c>
      <c r="D81" s="1">
        <f ca="1">IFERROR(__xludf.DUMMYFUNCTION("""COMPUTED_VALUE"""),12.59)</f>
        <v>12.59</v>
      </c>
      <c r="E81" s="1">
        <f ca="1">IFERROR(__xludf.DUMMYFUNCTION("""COMPUTED_VALUE"""),12.9)</f>
        <v>12.9</v>
      </c>
      <c r="F81" s="1">
        <f ca="1">IFERROR(__xludf.DUMMYFUNCTION("""COMPUTED_VALUE"""),4964180)</f>
        <v>4964180</v>
      </c>
      <c r="G81" s="5">
        <f t="shared" ca="1" si="3"/>
        <v>-2.790697674418614E-2</v>
      </c>
      <c r="H81" s="14">
        <f t="shared" si="4"/>
        <v>2016</v>
      </c>
      <c r="I81" s="5">
        <f t="shared" ca="1" si="5"/>
        <v>-1.6018306636155537E-2</v>
      </c>
      <c r="J81" s="16"/>
    </row>
    <row r="82" spans="1:10" x14ac:dyDescent="0.2">
      <c r="A82" s="3">
        <v>42396</v>
      </c>
      <c r="B82" s="1">
        <f ca="1">IFERROR(__xludf.DUMMYFUNCTION("""COMPUTED_VALUE"""),12.83)</f>
        <v>12.83</v>
      </c>
      <c r="C82" s="1">
        <f ca="1">IFERROR(__xludf.DUMMYFUNCTION("""COMPUTED_VALUE"""),12.88)</f>
        <v>12.88</v>
      </c>
      <c r="D82" s="1">
        <f ca="1">IFERROR(__xludf.DUMMYFUNCTION("""COMPUTED_VALUE"""),12.38)</f>
        <v>12.38</v>
      </c>
      <c r="E82" s="1">
        <f ca="1">IFERROR(__xludf.DUMMYFUNCTION("""COMPUTED_VALUE"""),12.54)</f>
        <v>12.54</v>
      </c>
      <c r="F82" s="1">
        <f ca="1">IFERROR(__xludf.DUMMYFUNCTION("""COMPUTED_VALUE"""),3617221)</f>
        <v>3617221</v>
      </c>
      <c r="G82" s="5">
        <f t="shared" ca="1" si="3"/>
        <v>8.7719298245615002E-3</v>
      </c>
      <c r="H82" s="14">
        <f t="shared" si="4"/>
        <v>2016</v>
      </c>
      <c r="I82" s="5">
        <f t="shared" ca="1" si="5"/>
        <v>-2.2603273577552683E-2</v>
      </c>
      <c r="J82" s="16"/>
    </row>
    <row r="83" spans="1:10" x14ac:dyDescent="0.2">
      <c r="A83" s="3">
        <v>42397</v>
      </c>
      <c r="B83" s="1">
        <f ca="1">IFERROR(__xludf.DUMMYFUNCTION("""COMPUTED_VALUE"""),12.72)</f>
        <v>12.72</v>
      </c>
      <c r="C83" s="1">
        <f ca="1">IFERROR(__xludf.DUMMYFUNCTION("""COMPUTED_VALUE"""),12.75)</f>
        <v>12.75</v>
      </c>
      <c r="D83" s="1">
        <f ca="1">IFERROR(__xludf.DUMMYFUNCTION("""COMPUTED_VALUE"""),12.16)</f>
        <v>12.16</v>
      </c>
      <c r="E83" s="1">
        <f ca="1">IFERROR(__xludf.DUMMYFUNCTION("""COMPUTED_VALUE"""),12.65)</f>
        <v>12.65</v>
      </c>
      <c r="F83" s="1">
        <f ca="1">IFERROR(__xludf.DUMMYFUNCTION("""COMPUTED_VALUE"""),4592754)</f>
        <v>4592754</v>
      </c>
      <c r="G83" s="5">
        <f t="shared" ca="1" si="3"/>
        <v>7.9051383399209203E-3</v>
      </c>
      <c r="H83" s="14">
        <f t="shared" si="4"/>
        <v>2016</v>
      </c>
      <c r="I83" s="5">
        <f t="shared" ca="1" si="5"/>
        <v>-5.5031446540880725E-3</v>
      </c>
      <c r="J83" s="16"/>
    </row>
    <row r="84" spans="1:10" x14ac:dyDescent="0.2">
      <c r="A84" s="3">
        <v>42398</v>
      </c>
      <c r="B84" s="1">
        <f ca="1">IFERROR(__xludf.DUMMYFUNCTION("""COMPUTED_VALUE"""),12.66)</f>
        <v>12.66</v>
      </c>
      <c r="C84" s="1">
        <f ca="1">IFERROR(__xludf.DUMMYFUNCTION("""COMPUTED_VALUE"""),12.92)</f>
        <v>12.92</v>
      </c>
      <c r="D84" s="1">
        <f ca="1">IFERROR(__xludf.DUMMYFUNCTION("""COMPUTED_VALUE"""),12.54)</f>
        <v>12.54</v>
      </c>
      <c r="E84" s="1">
        <f ca="1">IFERROR(__xludf.DUMMYFUNCTION("""COMPUTED_VALUE"""),12.75)</f>
        <v>12.75</v>
      </c>
      <c r="F84" s="1">
        <f ca="1">IFERROR(__xludf.DUMMYFUNCTION("""COMPUTED_VALUE"""),2852289)</f>
        <v>2852289</v>
      </c>
      <c r="G84" s="5">
        <f t="shared" ca="1" si="3"/>
        <v>2.9803921568627514E-2</v>
      </c>
      <c r="H84" s="14">
        <f t="shared" si="4"/>
        <v>2016</v>
      </c>
      <c r="I84" s="5">
        <f t="shared" ca="1" si="5"/>
        <v>7.1090047393364813E-3</v>
      </c>
      <c r="J84" s="16"/>
    </row>
    <row r="85" spans="1:10" x14ac:dyDescent="0.2">
      <c r="A85" s="3">
        <v>42401</v>
      </c>
      <c r="B85" s="1">
        <f ca="1">IFERROR(__xludf.DUMMYFUNCTION("""COMPUTED_VALUE"""),12.58)</f>
        <v>12.58</v>
      </c>
      <c r="C85" s="1">
        <f ca="1">IFERROR(__xludf.DUMMYFUNCTION("""COMPUTED_VALUE"""),13.3)</f>
        <v>13.3</v>
      </c>
      <c r="D85" s="1">
        <f ca="1">IFERROR(__xludf.DUMMYFUNCTION("""COMPUTED_VALUE"""),12.18)</f>
        <v>12.18</v>
      </c>
      <c r="E85" s="1">
        <f ca="1">IFERROR(__xludf.DUMMYFUNCTION("""COMPUTED_VALUE"""),13.13)</f>
        <v>13.13</v>
      </c>
      <c r="F85" s="1">
        <f ca="1">IFERROR(__xludf.DUMMYFUNCTION("""COMPUTED_VALUE"""),5297639)</f>
        <v>5297639</v>
      </c>
      <c r="G85" s="5">
        <f t="shared" ca="1" si="3"/>
        <v>-7.1591774562071692E-2</v>
      </c>
      <c r="H85" s="14">
        <f t="shared" si="4"/>
        <v>2016</v>
      </c>
      <c r="I85" s="5">
        <f t="shared" ca="1" si="5"/>
        <v>4.3720190779014366E-2</v>
      </c>
      <c r="J85" s="16"/>
    </row>
    <row r="86" spans="1:10" x14ac:dyDescent="0.2">
      <c r="A86" s="3">
        <v>42402</v>
      </c>
      <c r="B86" s="1">
        <f ca="1">IFERROR(__xludf.DUMMYFUNCTION("""COMPUTED_VALUE"""),12.83)</f>
        <v>12.83</v>
      </c>
      <c r="C86" s="1">
        <f ca="1">IFERROR(__xludf.DUMMYFUNCTION("""COMPUTED_VALUE"""),12.87)</f>
        <v>12.87</v>
      </c>
      <c r="D86" s="1">
        <f ca="1">IFERROR(__xludf.DUMMYFUNCTION("""COMPUTED_VALUE"""),12.02)</f>
        <v>12.02</v>
      </c>
      <c r="E86" s="1">
        <f ca="1">IFERROR(__xludf.DUMMYFUNCTION("""COMPUTED_VALUE"""),12.19)</f>
        <v>12.19</v>
      </c>
      <c r="F86" s="1">
        <f ca="1">IFERROR(__xludf.DUMMYFUNCTION("""COMPUTED_VALUE"""),5773637)</f>
        <v>5773637</v>
      </c>
      <c r="G86" s="5">
        <f t="shared" ca="1" si="3"/>
        <v>-5.0861361771944155E-2</v>
      </c>
      <c r="H86" s="14">
        <f t="shared" si="4"/>
        <v>2016</v>
      </c>
      <c r="I86" s="5">
        <f t="shared" ca="1" si="5"/>
        <v>-4.9883086515978219E-2</v>
      </c>
      <c r="J86" s="16"/>
    </row>
    <row r="87" spans="1:10" x14ac:dyDescent="0.2">
      <c r="A87" s="3">
        <v>42403</v>
      </c>
      <c r="B87" s="1">
        <f ca="1">IFERROR(__xludf.DUMMYFUNCTION("""COMPUTED_VALUE"""),12.24)</f>
        <v>12.24</v>
      </c>
      <c r="C87" s="1">
        <f ca="1">IFERROR(__xludf.DUMMYFUNCTION("""COMPUTED_VALUE"""),12.26)</f>
        <v>12.26</v>
      </c>
      <c r="D87" s="1">
        <f ca="1">IFERROR(__xludf.DUMMYFUNCTION("""COMPUTED_VALUE"""),11.35)</f>
        <v>11.35</v>
      </c>
      <c r="E87" s="1">
        <f ca="1">IFERROR(__xludf.DUMMYFUNCTION("""COMPUTED_VALUE"""),11.57)</f>
        <v>11.57</v>
      </c>
      <c r="F87" s="1">
        <f ca="1">IFERROR(__xludf.DUMMYFUNCTION("""COMPUTED_VALUE"""),7931362)</f>
        <v>7931362</v>
      </c>
      <c r="G87" s="5">
        <f t="shared" ca="1" si="3"/>
        <v>1.0371650821088955E-2</v>
      </c>
      <c r="H87" s="14">
        <f t="shared" si="4"/>
        <v>2016</v>
      </c>
      <c r="I87" s="5">
        <f t="shared" ca="1" si="5"/>
        <v>-5.4738562091503261E-2</v>
      </c>
      <c r="J87" s="16"/>
    </row>
    <row r="88" spans="1:10" x14ac:dyDescent="0.2">
      <c r="A88" s="3">
        <v>42404</v>
      </c>
      <c r="B88" s="1">
        <f ca="1">IFERROR(__xludf.DUMMYFUNCTION("""COMPUTED_VALUE"""),11.38)</f>
        <v>11.38</v>
      </c>
      <c r="C88" s="1">
        <f ca="1">IFERROR(__xludf.DUMMYFUNCTION("""COMPUTED_VALUE"""),11.73)</f>
        <v>11.73</v>
      </c>
      <c r="D88" s="1">
        <f ca="1">IFERROR(__xludf.DUMMYFUNCTION("""COMPUTED_VALUE"""),11.13)</f>
        <v>11.13</v>
      </c>
      <c r="E88" s="1">
        <f ca="1">IFERROR(__xludf.DUMMYFUNCTION("""COMPUTED_VALUE"""),11.69)</f>
        <v>11.69</v>
      </c>
      <c r="F88" s="1">
        <f ca="1">IFERROR(__xludf.DUMMYFUNCTION("""COMPUTED_VALUE"""),4385366)</f>
        <v>4385366</v>
      </c>
      <c r="G88" s="5">
        <f t="shared" ca="1" si="3"/>
        <v>-7.2711719418306217E-2</v>
      </c>
      <c r="H88" s="14">
        <f t="shared" si="4"/>
        <v>2016</v>
      </c>
      <c r="I88" s="5">
        <f t="shared" ca="1" si="5"/>
        <v>2.7240773286467374E-2</v>
      </c>
      <c r="J88" s="16"/>
    </row>
    <row r="89" spans="1:10" x14ac:dyDescent="0.2">
      <c r="A89" s="3">
        <v>42405</v>
      </c>
      <c r="B89" s="1">
        <f ca="1">IFERROR(__xludf.DUMMYFUNCTION("""COMPUTED_VALUE"""),11.42)</f>
        <v>11.42</v>
      </c>
      <c r="C89" s="1">
        <f ca="1">IFERROR(__xludf.DUMMYFUNCTION("""COMPUTED_VALUE"""),11.53)</f>
        <v>11.53</v>
      </c>
      <c r="D89" s="1">
        <f ca="1">IFERROR(__xludf.DUMMYFUNCTION("""COMPUTED_VALUE"""),10.52)</f>
        <v>10.52</v>
      </c>
      <c r="E89" s="1">
        <f ca="1">IFERROR(__xludf.DUMMYFUNCTION("""COMPUTED_VALUE"""),10.84)</f>
        <v>10.84</v>
      </c>
      <c r="F89" s="1">
        <f ca="1">IFERROR(__xludf.DUMMYFUNCTION("""COMPUTED_VALUE"""),9437591)</f>
        <v>9437591</v>
      </c>
      <c r="G89" s="5">
        <f t="shared" ca="1" si="3"/>
        <v>-8.9483394833948404E-2</v>
      </c>
      <c r="H89" s="14">
        <f t="shared" si="4"/>
        <v>2016</v>
      </c>
      <c r="I89" s="5">
        <f t="shared" ca="1" si="5"/>
        <v>-5.0788091068301233E-2</v>
      </c>
      <c r="J89" s="16"/>
    </row>
    <row r="90" spans="1:10" x14ac:dyDescent="0.2">
      <c r="A90" s="3">
        <v>42408</v>
      </c>
      <c r="B90" s="1">
        <f ca="1">IFERROR(__xludf.DUMMYFUNCTION("""COMPUTED_VALUE"""),10.47)</f>
        <v>10.47</v>
      </c>
      <c r="C90" s="1">
        <f ca="1">IFERROR(__xludf.DUMMYFUNCTION("""COMPUTED_VALUE"""),10.48)</f>
        <v>10.48</v>
      </c>
      <c r="D90" s="1">
        <f ca="1">IFERROR(__xludf.DUMMYFUNCTION("""COMPUTED_VALUE"""),9.73)</f>
        <v>9.73</v>
      </c>
      <c r="E90" s="1">
        <f ca="1">IFERROR(__xludf.DUMMYFUNCTION("""COMPUTED_VALUE"""),9.87)</f>
        <v>9.8699999999999992</v>
      </c>
      <c r="F90" s="1">
        <f ca="1">IFERROR(__xludf.DUMMYFUNCTION("""COMPUTED_VALUE"""),9312988)</f>
        <v>9312988</v>
      </c>
      <c r="G90" s="5">
        <f t="shared" ca="1" si="3"/>
        <v>1.0131712259373417E-3</v>
      </c>
      <c r="H90" s="14">
        <f t="shared" si="4"/>
        <v>2016</v>
      </c>
      <c r="I90" s="5">
        <f t="shared" ca="1" si="5"/>
        <v>-5.7306590257879791E-2</v>
      </c>
      <c r="J90" s="16"/>
    </row>
    <row r="91" spans="1:10" x14ac:dyDescent="0.2">
      <c r="A91" s="3">
        <v>42409</v>
      </c>
      <c r="B91" s="1">
        <f ca="1">IFERROR(__xludf.DUMMYFUNCTION("""COMPUTED_VALUE"""),9.49)</f>
        <v>9.49</v>
      </c>
      <c r="C91" s="1">
        <f ca="1">IFERROR(__xludf.DUMMYFUNCTION("""COMPUTED_VALUE"""),10.65)</f>
        <v>10.65</v>
      </c>
      <c r="D91" s="1">
        <f ca="1">IFERROR(__xludf.DUMMYFUNCTION("""COMPUTED_VALUE"""),9.4)</f>
        <v>9.4</v>
      </c>
      <c r="E91" s="1">
        <f ca="1">IFERROR(__xludf.DUMMYFUNCTION("""COMPUTED_VALUE"""),9.88)</f>
        <v>9.8800000000000008</v>
      </c>
      <c r="F91" s="1">
        <f ca="1">IFERROR(__xludf.DUMMYFUNCTION("""COMPUTED_VALUE"""),8651648)</f>
        <v>8651648</v>
      </c>
      <c r="G91" s="5">
        <f t="shared" ca="1" si="3"/>
        <v>-3.0364372469635696E-2</v>
      </c>
      <c r="H91" s="14">
        <f t="shared" si="4"/>
        <v>2016</v>
      </c>
      <c r="I91" s="5">
        <f t="shared" ca="1" si="5"/>
        <v>4.1095890410958964E-2</v>
      </c>
      <c r="J91" s="16"/>
    </row>
    <row r="92" spans="1:10" x14ac:dyDescent="0.2">
      <c r="A92" s="3">
        <v>42410</v>
      </c>
      <c r="B92" s="1">
        <f ca="1">IFERROR(__xludf.DUMMYFUNCTION("""COMPUTED_VALUE"""),10.03)</f>
        <v>10.029999999999999</v>
      </c>
      <c r="C92" s="1">
        <f ca="1">IFERROR(__xludf.DUMMYFUNCTION("""COMPUTED_VALUE"""),10.33)</f>
        <v>10.33</v>
      </c>
      <c r="D92" s="1">
        <f ca="1">IFERROR(__xludf.DUMMYFUNCTION("""COMPUTED_VALUE"""),9.45)</f>
        <v>9.4499999999999993</v>
      </c>
      <c r="E92" s="1">
        <f ca="1">IFERROR(__xludf.DUMMYFUNCTION("""COMPUTED_VALUE"""),9.58)</f>
        <v>9.58</v>
      </c>
      <c r="F92" s="1">
        <f ca="1">IFERROR(__xludf.DUMMYFUNCTION("""COMPUTED_VALUE"""),10406513)</f>
        <v>10406513</v>
      </c>
      <c r="G92" s="5">
        <f t="shared" ca="1" si="3"/>
        <v>4.6972860125260883E-2</v>
      </c>
      <c r="H92" s="14">
        <f t="shared" si="4"/>
        <v>2016</v>
      </c>
      <c r="I92" s="5">
        <f t="shared" ca="1" si="5"/>
        <v>-4.4865403788634031E-2</v>
      </c>
      <c r="J92" s="16"/>
    </row>
    <row r="93" spans="1:10" x14ac:dyDescent="0.2">
      <c r="A93" s="3">
        <v>42411</v>
      </c>
      <c r="B93" s="1">
        <f ca="1">IFERROR(__xludf.DUMMYFUNCTION("""COMPUTED_VALUE"""),10.13)</f>
        <v>10.130000000000001</v>
      </c>
      <c r="C93" s="1">
        <f ca="1">IFERROR(__xludf.DUMMYFUNCTION("""COMPUTED_VALUE"""),10.88)</f>
        <v>10.88</v>
      </c>
      <c r="D93" s="1">
        <f ca="1">IFERROR(__xludf.DUMMYFUNCTION("""COMPUTED_VALUE"""),9.8)</f>
        <v>9.8000000000000007</v>
      </c>
      <c r="E93" s="1">
        <f ca="1">IFERROR(__xludf.DUMMYFUNCTION("""COMPUTED_VALUE"""),10.03)</f>
        <v>10.029999999999999</v>
      </c>
      <c r="F93" s="1">
        <f ca="1">IFERROR(__xludf.DUMMYFUNCTION("""COMPUTED_VALUE"""),14252364)</f>
        <v>14252364</v>
      </c>
      <c r="G93" s="5">
        <f t="shared" ca="1" si="3"/>
        <v>3.9880358923231234E-3</v>
      </c>
      <c r="H93" s="14">
        <f t="shared" si="4"/>
        <v>2016</v>
      </c>
      <c r="I93" s="5">
        <f t="shared" ca="1" si="5"/>
        <v>-9.8716683119448589E-3</v>
      </c>
      <c r="J93" s="16"/>
    </row>
    <row r="94" spans="1:10" x14ac:dyDescent="0.2">
      <c r="A94" s="3">
        <v>42412</v>
      </c>
      <c r="B94" s="1">
        <f ca="1">IFERROR(__xludf.DUMMYFUNCTION("""COMPUTED_VALUE"""),10.33)</f>
        <v>10.33</v>
      </c>
      <c r="C94" s="1">
        <f ca="1">IFERROR(__xludf.DUMMYFUNCTION("""COMPUTED_VALUE"""),10.47)</f>
        <v>10.47</v>
      </c>
      <c r="D94" s="1">
        <f ca="1">IFERROR(__xludf.DUMMYFUNCTION("""COMPUTED_VALUE"""),9.58)</f>
        <v>9.58</v>
      </c>
      <c r="E94" s="1">
        <f ca="1">IFERROR(__xludf.DUMMYFUNCTION("""COMPUTED_VALUE"""),10.07)</f>
        <v>10.07</v>
      </c>
      <c r="F94" s="1">
        <f ca="1">IFERROR(__xludf.DUMMYFUNCTION("""COMPUTED_VALUE"""),7235783)</f>
        <v>7235783</v>
      </c>
      <c r="G94" s="5">
        <f t="shared" ca="1" si="3"/>
        <v>2.6812313803376321E-2</v>
      </c>
      <c r="H94" s="14">
        <f t="shared" si="4"/>
        <v>2016</v>
      </c>
      <c r="I94" s="5">
        <f t="shared" ca="1" si="5"/>
        <v>-2.5169409486931249E-2</v>
      </c>
      <c r="J94" s="16"/>
    </row>
    <row r="95" spans="1:10" x14ac:dyDescent="0.2">
      <c r="A95" s="3">
        <v>42416</v>
      </c>
      <c r="B95" s="1">
        <f ca="1">IFERROR(__xludf.DUMMYFUNCTION("""COMPUTED_VALUE"""),10.58)</f>
        <v>10.58</v>
      </c>
      <c r="C95" s="1">
        <f ca="1">IFERROR(__xludf.DUMMYFUNCTION("""COMPUTED_VALUE"""),10.86)</f>
        <v>10.86</v>
      </c>
      <c r="D95" s="1">
        <f ca="1">IFERROR(__xludf.DUMMYFUNCTION("""COMPUTED_VALUE"""),10.27)</f>
        <v>10.27</v>
      </c>
      <c r="E95" s="1">
        <f ca="1">IFERROR(__xludf.DUMMYFUNCTION("""COMPUTED_VALUE"""),10.34)</f>
        <v>10.34</v>
      </c>
      <c r="F95" s="1">
        <f ca="1">IFERROR(__xludf.DUMMYFUNCTION("""COMPUTED_VALUE"""),5593794)</f>
        <v>5593794</v>
      </c>
      <c r="G95" s="5">
        <f t="shared" ca="1" si="3"/>
        <v>8.8007736943907178E-2</v>
      </c>
      <c r="H95" s="14">
        <f t="shared" si="4"/>
        <v>2016</v>
      </c>
      <c r="I95" s="5">
        <f t="shared" ca="1" si="5"/>
        <v>-2.2684310018903611E-2</v>
      </c>
      <c r="J95" s="16"/>
    </row>
    <row r="96" spans="1:10" x14ac:dyDescent="0.2">
      <c r="A96" s="3">
        <v>42417</v>
      </c>
      <c r="B96" s="1">
        <f ca="1">IFERROR(__xludf.DUMMYFUNCTION("""COMPUTED_VALUE"""),10.6)</f>
        <v>10.6</v>
      </c>
      <c r="C96" s="1">
        <f ca="1">IFERROR(__xludf.DUMMYFUNCTION("""COMPUTED_VALUE"""),11.29)</f>
        <v>11.29</v>
      </c>
      <c r="D96" s="1">
        <f ca="1">IFERROR(__xludf.DUMMYFUNCTION("""COMPUTED_VALUE"""),10.45)</f>
        <v>10.45</v>
      </c>
      <c r="E96" s="1">
        <f ca="1">IFERROR(__xludf.DUMMYFUNCTION("""COMPUTED_VALUE"""),11.25)</f>
        <v>11.25</v>
      </c>
      <c r="F96" s="1">
        <f ca="1">IFERROR(__xludf.DUMMYFUNCTION("""COMPUTED_VALUE"""),5825159)</f>
        <v>5825159</v>
      </c>
      <c r="G96" s="5">
        <f t="shared" ca="1" si="3"/>
        <v>-1.1555555555555624E-2</v>
      </c>
      <c r="H96" s="14">
        <f t="shared" si="4"/>
        <v>2016</v>
      </c>
      <c r="I96" s="5">
        <f t="shared" ca="1" si="5"/>
        <v>6.1320754716981167E-2</v>
      </c>
      <c r="J96" s="16"/>
    </row>
    <row r="97" spans="1:10" x14ac:dyDescent="0.2">
      <c r="A97" s="3">
        <v>42418</v>
      </c>
      <c r="B97" s="1">
        <f ca="1">IFERROR(__xludf.DUMMYFUNCTION("""COMPUTED_VALUE"""),11.49)</f>
        <v>11.49</v>
      </c>
      <c r="C97" s="1">
        <f ca="1">IFERROR(__xludf.DUMMYFUNCTION("""COMPUTED_VALUE"""),11.53)</f>
        <v>11.53</v>
      </c>
      <c r="D97" s="1">
        <f ca="1">IFERROR(__xludf.DUMMYFUNCTION("""COMPUTED_VALUE"""),10.98)</f>
        <v>10.98</v>
      </c>
      <c r="E97" s="1">
        <f ca="1">IFERROR(__xludf.DUMMYFUNCTION("""COMPUTED_VALUE"""),11.12)</f>
        <v>11.12</v>
      </c>
      <c r="F97" s="1">
        <f ca="1">IFERROR(__xludf.DUMMYFUNCTION("""COMPUTED_VALUE"""),3887574)</f>
        <v>3887574</v>
      </c>
      <c r="G97" s="5">
        <f t="shared" ca="1" si="3"/>
        <v>-8.992805755395492E-4</v>
      </c>
      <c r="H97" s="14">
        <f t="shared" si="4"/>
        <v>2016</v>
      </c>
      <c r="I97" s="5">
        <f t="shared" ca="1" si="5"/>
        <v>-3.2201914708442213E-2</v>
      </c>
      <c r="J97" s="16"/>
    </row>
    <row r="98" spans="1:10" x14ac:dyDescent="0.2">
      <c r="A98" s="3">
        <v>42419</v>
      </c>
      <c r="B98" s="1">
        <f ca="1">IFERROR(__xludf.DUMMYFUNCTION("""COMPUTED_VALUE"""),10.91)</f>
        <v>10.91</v>
      </c>
      <c r="C98" s="1">
        <f ca="1">IFERROR(__xludf.DUMMYFUNCTION("""COMPUTED_VALUE"""),11.17)</f>
        <v>11.17</v>
      </c>
      <c r="D98" s="1">
        <f ca="1">IFERROR(__xludf.DUMMYFUNCTION("""COMPUTED_VALUE"""),10.83)</f>
        <v>10.83</v>
      </c>
      <c r="E98" s="1">
        <f ca="1">IFERROR(__xludf.DUMMYFUNCTION("""COMPUTED_VALUE"""),11.11)</f>
        <v>11.11</v>
      </c>
      <c r="F98" s="1">
        <f ca="1">IFERROR(__xludf.DUMMYFUNCTION("""COMPUTED_VALUE"""),2959390)</f>
        <v>2959390</v>
      </c>
      <c r="G98" s="5">
        <f t="shared" ca="1" si="3"/>
        <v>6.660666066606663E-2</v>
      </c>
      <c r="H98" s="14">
        <f t="shared" si="4"/>
        <v>2016</v>
      </c>
      <c r="I98" s="5">
        <f t="shared" ca="1" si="5"/>
        <v>1.8331805682859695E-2</v>
      </c>
      <c r="J98" s="16"/>
    </row>
    <row r="99" spans="1:10" x14ac:dyDescent="0.2">
      <c r="A99" s="3">
        <v>42422</v>
      </c>
      <c r="B99" s="1">
        <f ca="1">IFERROR(__xludf.DUMMYFUNCTION("""COMPUTED_VALUE"""),11.34)</f>
        <v>11.34</v>
      </c>
      <c r="C99" s="1">
        <f ca="1">IFERROR(__xludf.DUMMYFUNCTION("""COMPUTED_VALUE"""),11.93)</f>
        <v>11.93</v>
      </c>
      <c r="D99" s="1">
        <f ca="1">IFERROR(__xludf.DUMMYFUNCTION("""COMPUTED_VALUE"""),11.32)</f>
        <v>11.32</v>
      </c>
      <c r="E99" s="1">
        <f ca="1">IFERROR(__xludf.DUMMYFUNCTION("""COMPUTED_VALUE"""),11.85)</f>
        <v>11.85</v>
      </c>
      <c r="F99" s="1">
        <f ca="1">IFERROR(__xludf.DUMMYFUNCTION("""COMPUTED_VALUE"""),5060051)</f>
        <v>5060051</v>
      </c>
      <c r="G99" s="5">
        <f t="shared" ca="1" si="3"/>
        <v>-3.3755274261602656E-3</v>
      </c>
      <c r="H99" s="14">
        <f t="shared" si="4"/>
        <v>2016</v>
      </c>
      <c r="I99" s="5">
        <f t="shared" ca="1" si="5"/>
        <v>4.4973544973544957E-2</v>
      </c>
      <c r="J99" s="16"/>
    </row>
    <row r="100" spans="1:10" x14ac:dyDescent="0.2">
      <c r="A100" s="3">
        <v>42423</v>
      </c>
      <c r="B100" s="1">
        <f ca="1">IFERROR(__xludf.DUMMYFUNCTION("""COMPUTED_VALUE"""),11.74)</f>
        <v>11.74</v>
      </c>
      <c r="C100" s="1">
        <f ca="1">IFERROR(__xludf.DUMMYFUNCTION("""COMPUTED_VALUE"""),12.12)</f>
        <v>12.12</v>
      </c>
      <c r="D100" s="1">
        <f ca="1">IFERROR(__xludf.DUMMYFUNCTION("""COMPUTED_VALUE"""),11.58)</f>
        <v>11.58</v>
      </c>
      <c r="E100" s="1">
        <f ca="1">IFERROR(__xludf.DUMMYFUNCTION("""COMPUTED_VALUE"""),11.81)</f>
        <v>11.81</v>
      </c>
      <c r="F100" s="1">
        <f ca="1">IFERROR(__xludf.DUMMYFUNCTION("""COMPUTED_VALUE"""),5984374)</f>
        <v>5984374</v>
      </c>
      <c r="G100" s="5">
        <f t="shared" ca="1" si="3"/>
        <v>1.016088060965277E-2</v>
      </c>
      <c r="H100" s="14">
        <f t="shared" si="4"/>
        <v>2016</v>
      </c>
      <c r="I100" s="5">
        <f t="shared" ca="1" si="5"/>
        <v>5.9625212947189334E-3</v>
      </c>
      <c r="J100" s="16"/>
    </row>
    <row r="101" spans="1:10" x14ac:dyDescent="0.2">
      <c r="A101" s="3">
        <v>42424</v>
      </c>
      <c r="B101" s="1">
        <f ca="1">IFERROR(__xludf.DUMMYFUNCTION("""COMPUTED_VALUE"""),11.52)</f>
        <v>11.52</v>
      </c>
      <c r="C101" s="1">
        <f ca="1">IFERROR(__xludf.DUMMYFUNCTION("""COMPUTED_VALUE"""),11.97)</f>
        <v>11.97</v>
      </c>
      <c r="D101" s="1">
        <f ca="1">IFERROR(__xludf.DUMMYFUNCTION("""COMPUTED_VALUE"""),11.19)</f>
        <v>11.19</v>
      </c>
      <c r="E101" s="1">
        <f ca="1">IFERROR(__xludf.DUMMYFUNCTION("""COMPUTED_VALUE"""),11.93)</f>
        <v>11.93</v>
      </c>
      <c r="F101" s="1">
        <f ca="1">IFERROR(__xludf.DUMMYFUNCTION("""COMPUTED_VALUE"""),5395609)</f>
        <v>5395609</v>
      </c>
      <c r="G101" s="5">
        <f t="shared" ca="1" si="3"/>
        <v>4.7778709136630369E-2</v>
      </c>
      <c r="H101" s="14">
        <f t="shared" si="4"/>
        <v>2016</v>
      </c>
      <c r="I101" s="5">
        <f t="shared" ca="1" si="5"/>
        <v>3.559027777777779E-2</v>
      </c>
      <c r="J101" s="16"/>
    </row>
    <row r="102" spans="1:10" x14ac:dyDescent="0.2">
      <c r="A102" s="3">
        <v>42425</v>
      </c>
      <c r="B102" s="1">
        <f ca="1">IFERROR(__xludf.DUMMYFUNCTION("""COMPUTED_VALUE"""),11.91)</f>
        <v>11.91</v>
      </c>
      <c r="C102" s="1">
        <f ca="1">IFERROR(__xludf.DUMMYFUNCTION("""COMPUTED_VALUE"""),12.57)</f>
        <v>12.57</v>
      </c>
      <c r="D102" s="1">
        <f ca="1">IFERROR(__xludf.DUMMYFUNCTION("""COMPUTED_VALUE"""),11.68)</f>
        <v>11.68</v>
      </c>
      <c r="E102" s="1">
        <f ca="1">IFERROR(__xludf.DUMMYFUNCTION("""COMPUTED_VALUE"""),12.5)</f>
        <v>12.5</v>
      </c>
      <c r="F102" s="1">
        <f ca="1">IFERROR(__xludf.DUMMYFUNCTION("""COMPUTED_VALUE"""),5750741)</f>
        <v>5750741</v>
      </c>
      <c r="G102" s="5">
        <f t="shared" ca="1" si="3"/>
        <v>1.519999999999996E-2</v>
      </c>
      <c r="H102" s="14">
        <f t="shared" si="4"/>
        <v>2016</v>
      </c>
      <c r="I102" s="5">
        <f t="shared" ca="1" si="5"/>
        <v>4.9538203190596125E-2</v>
      </c>
      <c r="J102" s="16"/>
    </row>
    <row r="103" spans="1:10" x14ac:dyDescent="0.2">
      <c r="A103" s="3">
        <v>42426</v>
      </c>
      <c r="B103" s="1">
        <f ca="1">IFERROR(__xludf.DUMMYFUNCTION("""COMPUTED_VALUE"""),12.58)</f>
        <v>12.58</v>
      </c>
      <c r="C103" s="1">
        <f ca="1">IFERROR(__xludf.DUMMYFUNCTION("""COMPUTED_VALUE"""),12.8)</f>
        <v>12.8</v>
      </c>
      <c r="D103" s="1">
        <f ca="1">IFERROR(__xludf.DUMMYFUNCTION("""COMPUTED_VALUE"""),12.33)</f>
        <v>12.33</v>
      </c>
      <c r="E103" s="1">
        <f ca="1">IFERROR(__xludf.DUMMYFUNCTION("""COMPUTED_VALUE"""),12.69)</f>
        <v>12.69</v>
      </c>
      <c r="F103" s="1">
        <f ca="1">IFERROR(__xludf.DUMMYFUNCTION("""COMPUTED_VALUE"""),6065117)</f>
        <v>6065117</v>
      </c>
      <c r="G103" s="5">
        <f t="shared" ca="1" si="3"/>
        <v>8.6682427107959981E-3</v>
      </c>
      <c r="H103" s="14">
        <f t="shared" si="4"/>
        <v>2016</v>
      </c>
      <c r="I103" s="5">
        <f t="shared" ca="1" si="5"/>
        <v>8.7440381558028159E-3</v>
      </c>
      <c r="J103" s="16"/>
    </row>
    <row r="104" spans="1:10" x14ac:dyDescent="0.2">
      <c r="A104" s="3">
        <v>42429</v>
      </c>
      <c r="B104" s="1">
        <f ca="1">IFERROR(__xludf.DUMMYFUNCTION("""COMPUTED_VALUE"""),12.83)</f>
        <v>12.83</v>
      </c>
      <c r="C104" s="1">
        <f ca="1">IFERROR(__xludf.DUMMYFUNCTION("""COMPUTED_VALUE"""),13.09)</f>
        <v>13.09</v>
      </c>
      <c r="D104" s="1">
        <f ca="1">IFERROR(__xludf.DUMMYFUNCTION("""COMPUTED_VALUE"""),12.61)</f>
        <v>12.61</v>
      </c>
      <c r="E104" s="1">
        <f ca="1">IFERROR(__xludf.DUMMYFUNCTION("""COMPUTED_VALUE"""),12.8)</f>
        <v>12.8</v>
      </c>
      <c r="F104" s="1">
        <f ca="1">IFERROR(__xludf.DUMMYFUNCTION("""COMPUTED_VALUE"""),4498997)</f>
        <v>4498997</v>
      </c>
      <c r="G104" s="5">
        <f t="shared" ca="1" si="3"/>
        <v>-2.9687500000000061E-2</v>
      </c>
      <c r="H104" s="14">
        <f t="shared" si="4"/>
        <v>2016</v>
      </c>
      <c r="I104" s="5">
        <f t="shared" ca="1" si="5"/>
        <v>-2.3382696804364273E-3</v>
      </c>
      <c r="J104" s="16"/>
    </row>
    <row r="105" spans="1:10" x14ac:dyDescent="0.2">
      <c r="A105" s="3">
        <v>42430</v>
      </c>
      <c r="B105" s="1">
        <f ca="1">IFERROR(__xludf.DUMMYFUNCTION("""COMPUTED_VALUE"""),12.95)</f>
        <v>12.95</v>
      </c>
      <c r="C105" s="1">
        <f ca="1">IFERROR(__xludf.DUMMYFUNCTION("""COMPUTED_VALUE"""),13.06)</f>
        <v>13.06</v>
      </c>
      <c r="D105" s="1">
        <f ca="1">IFERROR(__xludf.DUMMYFUNCTION("""COMPUTED_VALUE"""),12.18)</f>
        <v>12.18</v>
      </c>
      <c r="E105" s="1">
        <f ca="1">IFERROR(__xludf.DUMMYFUNCTION("""COMPUTED_VALUE"""),12.42)</f>
        <v>12.42</v>
      </c>
      <c r="F105" s="1">
        <f ca="1">IFERROR(__xludf.DUMMYFUNCTION("""COMPUTED_VALUE"""),6712159)</f>
        <v>6712159</v>
      </c>
      <c r="G105" s="5">
        <f t="shared" ca="1" si="3"/>
        <v>1.1272141706924362E-2</v>
      </c>
      <c r="H105" s="14">
        <f t="shared" si="4"/>
        <v>2016</v>
      </c>
      <c r="I105" s="5">
        <f t="shared" ca="1" si="5"/>
        <v>-4.0926640926640882E-2</v>
      </c>
      <c r="J105" s="16"/>
    </row>
    <row r="106" spans="1:10" x14ac:dyDescent="0.2">
      <c r="A106" s="3">
        <v>42431</v>
      </c>
      <c r="B106" s="1">
        <f ca="1">IFERROR(__xludf.DUMMYFUNCTION("""COMPUTED_VALUE"""),12.25)</f>
        <v>12.25</v>
      </c>
      <c r="C106" s="1">
        <f ca="1">IFERROR(__xludf.DUMMYFUNCTION("""COMPUTED_VALUE"""),12.57)</f>
        <v>12.57</v>
      </c>
      <c r="D106" s="1">
        <f ca="1">IFERROR(__xludf.DUMMYFUNCTION("""COMPUTED_VALUE"""),12.1)</f>
        <v>12.1</v>
      </c>
      <c r="E106" s="1">
        <f ca="1">IFERROR(__xludf.DUMMYFUNCTION("""COMPUTED_VALUE"""),12.56)</f>
        <v>12.56</v>
      </c>
      <c r="F106" s="1">
        <f ca="1">IFERROR(__xludf.DUMMYFUNCTION("""COMPUTED_VALUE"""),4862396)</f>
        <v>4862396</v>
      </c>
      <c r="G106" s="5">
        <f t="shared" ca="1" si="3"/>
        <v>3.9012738853503197E-2</v>
      </c>
      <c r="H106" s="14">
        <f t="shared" si="4"/>
        <v>2016</v>
      </c>
      <c r="I106" s="5">
        <f t="shared" ca="1" si="5"/>
        <v>2.5306122448979632E-2</v>
      </c>
      <c r="J106" s="16"/>
    </row>
    <row r="107" spans="1:10" x14ac:dyDescent="0.2">
      <c r="A107" s="3">
        <v>42432</v>
      </c>
      <c r="B107" s="1">
        <f ca="1">IFERROR(__xludf.DUMMYFUNCTION("""COMPUTED_VALUE"""),12.55)</f>
        <v>12.55</v>
      </c>
      <c r="C107" s="1">
        <f ca="1">IFERROR(__xludf.DUMMYFUNCTION("""COMPUTED_VALUE"""),13.16)</f>
        <v>13.16</v>
      </c>
      <c r="D107" s="1">
        <f ca="1">IFERROR(__xludf.DUMMYFUNCTION("""COMPUTED_VALUE"""),12.28)</f>
        <v>12.28</v>
      </c>
      <c r="E107" s="1">
        <f ca="1">IFERROR(__xludf.DUMMYFUNCTION("""COMPUTED_VALUE"""),13.05)</f>
        <v>13.05</v>
      </c>
      <c r="F107" s="1">
        <f ca="1">IFERROR(__xludf.DUMMYFUNCTION("""COMPUTED_VALUE"""),4829018)</f>
        <v>4829018</v>
      </c>
      <c r="G107" s="5">
        <f t="shared" ca="1" si="3"/>
        <v>2.6819923371647483E-2</v>
      </c>
      <c r="H107" s="14">
        <f t="shared" si="4"/>
        <v>2016</v>
      </c>
      <c r="I107" s="5">
        <f t="shared" ca="1" si="5"/>
        <v>3.9840637450199202E-2</v>
      </c>
      <c r="J107" s="16"/>
    </row>
    <row r="108" spans="1:10" x14ac:dyDescent="0.2">
      <c r="A108" s="3">
        <v>42433</v>
      </c>
      <c r="B108" s="1">
        <f ca="1">IFERROR(__xludf.DUMMYFUNCTION("""COMPUTED_VALUE"""),13.2)</f>
        <v>13.2</v>
      </c>
      <c r="C108" s="1">
        <f ca="1">IFERROR(__xludf.DUMMYFUNCTION("""COMPUTED_VALUE"""),13.6)</f>
        <v>13.6</v>
      </c>
      <c r="D108" s="1">
        <f ca="1">IFERROR(__xludf.DUMMYFUNCTION("""COMPUTED_VALUE"""),13.17)</f>
        <v>13.17</v>
      </c>
      <c r="E108" s="1">
        <f ca="1">IFERROR(__xludf.DUMMYFUNCTION("""COMPUTED_VALUE"""),13.4)</f>
        <v>13.4</v>
      </c>
      <c r="F108" s="1">
        <f ca="1">IFERROR(__xludf.DUMMYFUNCTION("""COMPUTED_VALUE"""),6489058)</f>
        <v>6489058</v>
      </c>
      <c r="G108" s="5">
        <f t="shared" ca="1" si="3"/>
        <v>2.1641791044776055E-2</v>
      </c>
      <c r="H108" s="14">
        <f t="shared" si="4"/>
        <v>2016</v>
      </c>
      <c r="I108" s="5">
        <f t="shared" ca="1" si="5"/>
        <v>1.5151515151515233E-2</v>
      </c>
      <c r="J108" s="16"/>
    </row>
    <row r="109" spans="1:10" x14ac:dyDescent="0.2">
      <c r="A109" s="3">
        <v>42436</v>
      </c>
      <c r="B109" s="1">
        <f ca="1">IFERROR(__xludf.DUMMYFUNCTION("""COMPUTED_VALUE"""),13.18)</f>
        <v>13.18</v>
      </c>
      <c r="C109" s="1">
        <f ca="1">IFERROR(__xludf.DUMMYFUNCTION("""COMPUTED_VALUE"""),13.98)</f>
        <v>13.98</v>
      </c>
      <c r="D109" s="1">
        <f ca="1">IFERROR(__xludf.DUMMYFUNCTION("""COMPUTED_VALUE"""),13.16)</f>
        <v>13.16</v>
      </c>
      <c r="E109" s="1">
        <f ca="1">IFERROR(__xludf.DUMMYFUNCTION("""COMPUTED_VALUE"""),13.69)</f>
        <v>13.69</v>
      </c>
      <c r="F109" s="1">
        <f ca="1">IFERROR(__xludf.DUMMYFUNCTION("""COMPUTED_VALUE"""),5337072)</f>
        <v>5337072</v>
      </c>
      <c r="G109" s="5">
        <f t="shared" ca="1" si="3"/>
        <v>-1.3148283418553669E-2</v>
      </c>
      <c r="H109" s="14">
        <f t="shared" si="4"/>
        <v>2016</v>
      </c>
      <c r="I109" s="5">
        <f t="shared" ca="1" si="5"/>
        <v>3.8694992412746571E-2</v>
      </c>
      <c r="J109" s="16"/>
    </row>
    <row r="110" spans="1:10" x14ac:dyDescent="0.2">
      <c r="A110" s="3">
        <v>42437</v>
      </c>
      <c r="B110" s="1">
        <f ca="1">IFERROR(__xludf.DUMMYFUNCTION("""COMPUTED_VALUE"""),13.57)</f>
        <v>13.57</v>
      </c>
      <c r="C110" s="1">
        <f ca="1">IFERROR(__xludf.DUMMYFUNCTION("""COMPUTED_VALUE"""),13.83)</f>
        <v>13.83</v>
      </c>
      <c r="D110" s="1">
        <f ca="1">IFERROR(__xludf.DUMMYFUNCTION("""COMPUTED_VALUE"""),13.48)</f>
        <v>13.48</v>
      </c>
      <c r="E110" s="1">
        <f ca="1">IFERROR(__xludf.DUMMYFUNCTION("""COMPUTED_VALUE"""),13.51)</f>
        <v>13.51</v>
      </c>
      <c r="F110" s="1">
        <f ca="1">IFERROR(__xludf.DUMMYFUNCTION("""COMPUTED_VALUE"""),4178693)</f>
        <v>4178693</v>
      </c>
      <c r="G110" s="5">
        <f t="shared" ca="1" si="3"/>
        <v>2.9607698001480411E-2</v>
      </c>
      <c r="H110" s="14">
        <f t="shared" si="4"/>
        <v>2016</v>
      </c>
      <c r="I110" s="5">
        <f t="shared" ca="1" si="5"/>
        <v>-4.4215180545320925E-3</v>
      </c>
      <c r="J110" s="16"/>
    </row>
    <row r="111" spans="1:10" x14ac:dyDescent="0.2">
      <c r="A111" s="3">
        <v>42438</v>
      </c>
      <c r="B111" s="1">
        <f ca="1">IFERROR(__xludf.DUMMYFUNCTION("""COMPUTED_VALUE"""),13.63)</f>
        <v>13.63</v>
      </c>
      <c r="C111" s="1">
        <f ca="1">IFERROR(__xludf.DUMMYFUNCTION("""COMPUTED_VALUE"""),13.96)</f>
        <v>13.96</v>
      </c>
      <c r="D111" s="1">
        <f ca="1">IFERROR(__xludf.DUMMYFUNCTION("""COMPUTED_VALUE"""),13.52)</f>
        <v>13.52</v>
      </c>
      <c r="E111" s="1">
        <f ca="1">IFERROR(__xludf.DUMMYFUNCTION("""COMPUTED_VALUE"""),13.91)</f>
        <v>13.91</v>
      </c>
      <c r="F111" s="1">
        <f ca="1">IFERROR(__xludf.DUMMYFUNCTION("""COMPUTED_VALUE"""),3208554)</f>
        <v>3208554</v>
      </c>
      <c r="G111" s="5">
        <f t="shared" ca="1" si="3"/>
        <v>-1.6534867002156752E-2</v>
      </c>
      <c r="H111" s="14">
        <f t="shared" si="4"/>
        <v>2016</v>
      </c>
      <c r="I111" s="5">
        <f t="shared" ca="1" si="5"/>
        <v>2.0542920029346979E-2</v>
      </c>
      <c r="J111" s="16"/>
    </row>
    <row r="112" spans="1:10" x14ac:dyDescent="0.2">
      <c r="A112" s="3">
        <v>42439</v>
      </c>
      <c r="B112" s="1">
        <f ca="1">IFERROR(__xludf.DUMMYFUNCTION("""COMPUTED_VALUE"""),14)</f>
        <v>14</v>
      </c>
      <c r="C112" s="1">
        <f ca="1">IFERROR(__xludf.DUMMYFUNCTION("""COMPUTED_VALUE"""),14.22)</f>
        <v>14.22</v>
      </c>
      <c r="D112" s="1">
        <f ca="1">IFERROR(__xludf.DUMMYFUNCTION("""COMPUTED_VALUE"""),13.38)</f>
        <v>13.38</v>
      </c>
      <c r="E112" s="1">
        <f ca="1">IFERROR(__xludf.DUMMYFUNCTION("""COMPUTED_VALUE"""),13.68)</f>
        <v>13.68</v>
      </c>
      <c r="F112" s="1">
        <f ca="1">IFERROR(__xludf.DUMMYFUNCTION("""COMPUTED_VALUE"""),5192523)</f>
        <v>5192523</v>
      </c>
      <c r="G112" s="5">
        <f t="shared" ca="1" si="3"/>
        <v>1.096491228070178E-2</v>
      </c>
      <c r="H112" s="14">
        <f t="shared" si="4"/>
        <v>2016</v>
      </c>
      <c r="I112" s="5">
        <f t="shared" ca="1" si="5"/>
        <v>-2.2857142857142878E-2</v>
      </c>
      <c r="J112" s="16"/>
    </row>
    <row r="113" spans="1:10" x14ac:dyDescent="0.2">
      <c r="A113" s="3">
        <v>42440</v>
      </c>
      <c r="B113" s="1">
        <f ca="1">IFERROR(__xludf.DUMMYFUNCTION("""COMPUTED_VALUE"""),13.86)</f>
        <v>13.86</v>
      </c>
      <c r="C113" s="1">
        <f ca="1">IFERROR(__xludf.DUMMYFUNCTION("""COMPUTED_VALUE"""),13.96)</f>
        <v>13.96</v>
      </c>
      <c r="D113" s="1">
        <f ca="1">IFERROR(__xludf.DUMMYFUNCTION("""COMPUTED_VALUE"""),13.69)</f>
        <v>13.69</v>
      </c>
      <c r="E113" s="1">
        <f ca="1">IFERROR(__xludf.DUMMYFUNCTION("""COMPUTED_VALUE"""),13.83)</f>
        <v>13.83</v>
      </c>
      <c r="F113" s="1">
        <f ca="1">IFERROR(__xludf.DUMMYFUNCTION("""COMPUTED_VALUE"""),3343077)</f>
        <v>3343077</v>
      </c>
      <c r="G113" s="5">
        <f t="shared" ca="1" si="3"/>
        <v>3.6876355748373085E-2</v>
      </c>
      <c r="H113" s="14">
        <f t="shared" si="4"/>
        <v>2016</v>
      </c>
      <c r="I113" s="5">
        <f t="shared" ca="1" si="5"/>
        <v>-2.1645021645021185E-3</v>
      </c>
      <c r="J113" s="16"/>
    </row>
    <row r="114" spans="1:10" x14ac:dyDescent="0.2">
      <c r="A114" s="3">
        <v>42443</v>
      </c>
      <c r="B114" s="1">
        <f ca="1">IFERROR(__xludf.DUMMYFUNCTION("""COMPUTED_VALUE"""),14.18)</f>
        <v>14.18</v>
      </c>
      <c r="C114" s="1">
        <f ca="1">IFERROR(__xludf.DUMMYFUNCTION("""COMPUTED_VALUE"""),14.45)</f>
        <v>14.45</v>
      </c>
      <c r="D114" s="1">
        <f ca="1">IFERROR(__xludf.DUMMYFUNCTION("""COMPUTED_VALUE"""),14.04)</f>
        <v>14.04</v>
      </c>
      <c r="E114" s="1">
        <f ca="1">IFERROR(__xludf.DUMMYFUNCTION("""COMPUTED_VALUE"""),14.34)</f>
        <v>14.34</v>
      </c>
      <c r="F114" s="1">
        <f ca="1">IFERROR(__xludf.DUMMYFUNCTION("""COMPUTED_VALUE"""),4065706)</f>
        <v>4065706</v>
      </c>
      <c r="G114" s="5">
        <f t="shared" ca="1" si="3"/>
        <v>1.5341701534170199E-2</v>
      </c>
      <c r="H114" s="14">
        <f t="shared" si="4"/>
        <v>2016</v>
      </c>
      <c r="I114" s="5">
        <f t="shared" ca="1" si="5"/>
        <v>1.1283497884344157E-2</v>
      </c>
      <c r="J114" s="16"/>
    </row>
    <row r="115" spans="1:10" x14ac:dyDescent="0.2">
      <c r="A115" s="3">
        <v>42444</v>
      </c>
      <c r="B115" s="1">
        <f ca="1">IFERROR(__xludf.DUMMYFUNCTION("""COMPUTED_VALUE"""),14.28)</f>
        <v>14.28</v>
      </c>
      <c r="C115" s="1">
        <f ca="1">IFERROR(__xludf.DUMMYFUNCTION("""COMPUTED_VALUE"""),14.6)</f>
        <v>14.6</v>
      </c>
      <c r="D115" s="1">
        <f ca="1">IFERROR(__xludf.DUMMYFUNCTION("""COMPUTED_VALUE"""),14.1)</f>
        <v>14.1</v>
      </c>
      <c r="E115" s="1">
        <f ca="1">IFERROR(__xludf.DUMMYFUNCTION("""COMPUTED_VALUE"""),14.56)</f>
        <v>14.56</v>
      </c>
      <c r="F115" s="1">
        <f ca="1">IFERROR(__xludf.DUMMYFUNCTION("""COMPUTED_VALUE"""),3180452)</f>
        <v>3180452</v>
      </c>
      <c r="G115" s="5">
        <f t="shared" ca="1" si="3"/>
        <v>1.6483516483516498E-2</v>
      </c>
      <c r="H115" s="14">
        <f t="shared" si="4"/>
        <v>2016</v>
      </c>
      <c r="I115" s="5">
        <f t="shared" ca="1" si="5"/>
        <v>1.9607843137254981E-2</v>
      </c>
      <c r="J115" s="16"/>
    </row>
    <row r="116" spans="1:10" x14ac:dyDescent="0.2">
      <c r="A116" s="3">
        <v>42445</v>
      </c>
      <c r="B116" s="1">
        <f ca="1">IFERROR(__xludf.DUMMYFUNCTION("""COMPUTED_VALUE"""),14.53)</f>
        <v>14.53</v>
      </c>
      <c r="C116" s="1">
        <f ca="1">IFERROR(__xludf.DUMMYFUNCTION("""COMPUTED_VALUE"""),14.84)</f>
        <v>14.84</v>
      </c>
      <c r="D116" s="1">
        <f ca="1">IFERROR(__xludf.DUMMYFUNCTION("""COMPUTED_VALUE"""),14.47)</f>
        <v>14.47</v>
      </c>
      <c r="E116" s="1">
        <f ca="1">IFERROR(__xludf.DUMMYFUNCTION("""COMPUTED_VALUE"""),14.8)</f>
        <v>14.8</v>
      </c>
      <c r="F116" s="1">
        <f ca="1">IFERROR(__xludf.DUMMYFUNCTION("""COMPUTED_VALUE"""),3516703)</f>
        <v>3516703</v>
      </c>
      <c r="G116" s="5">
        <f t="shared" ca="1" si="3"/>
        <v>1.9594594594594537E-2</v>
      </c>
      <c r="H116" s="14">
        <f t="shared" si="4"/>
        <v>2016</v>
      </c>
      <c r="I116" s="5">
        <f t="shared" ca="1" si="5"/>
        <v>1.858224363386107E-2</v>
      </c>
      <c r="J116" s="16"/>
    </row>
    <row r="117" spans="1:10" x14ac:dyDescent="0.2">
      <c r="A117" s="3">
        <v>42446</v>
      </c>
      <c r="B117" s="1">
        <f ca="1">IFERROR(__xludf.DUMMYFUNCTION("""COMPUTED_VALUE"""),14.76)</f>
        <v>14.76</v>
      </c>
      <c r="C117" s="1">
        <f ca="1">IFERROR(__xludf.DUMMYFUNCTION("""COMPUTED_VALUE"""),15.23)</f>
        <v>15.23</v>
      </c>
      <c r="D117" s="1">
        <f ca="1">IFERROR(__xludf.DUMMYFUNCTION("""COMPUTED_VALUE"""),14.67)</f>
        <v>14.67</v>
      </c>
      <c r="E117" s="1">
        <f ca="1">IFERROR(__xludf.DUMMYFUNCTION("""COMPUTED_VALUE"""),15.09)</f>
        <v>15.09</v>
      </c>
      <c r="F117" s="1">
        <f ca="1">IFERROR(__xludf.DUMMYFUNCTION("""COMPUTED_VALUE"""),1094018)</f>
        <v>1094018</v>
      </c>
      <c r="G117" s="5">
        <f t="shared" ca="1" si="3"/>
        <v>2.8495692511597066E-2</v>
      </c>
      <c r="H117" s="14">
        <f t="shared" si="4"/>
        <v>2016</v>
      </c>
      <c r="I117" s="5">
        <f t="shared" ca="1" si="5"/>
        <v>2.2357723577235776E-2</v>
      </c>
      <c r="J117" s="16"/>
    </row>
    <row r="118" spans="1:10" x14ac:dyDescent="0.2">
      <c r="A118" s="3">
        <v>42447</v>
      </c>
      <c r="B118" s="1">
        <f ca="1">IFERROR(__xludf.DUMMYFUNCTION("""COMPUTED_VALUE"""),15.27)</f>
        <v>15.27</v>
      </c>
      <c r="C118" s="1">
        <f ca="1">IFERROR(__xludf.DUMMYFUNCTION("""COMPUTED_VALUE"""),15.63)</f>
        <v>15.63</v>
      </c>
      <c r="D118" s="1">
        <f ca="1">IFERROR(__xludf.DUMMYFUNCTION("""COMPUTED_VALUE"""),15.2)</f>
        <v>15.2</v>
      </c>
      <c r="E118" s="1">
        <f ca="1">IFERROR(__xludf.DUMMYFUNCTION("""COMPUTED_VALUE"""),15.52)</f>
        <v>15.52</v>
      </c>
      <c r="F118" s="1">
        <f ca="1">IFERROR(__xludf.DUMMYFUNCTION("""COMPUTED_VALUE"""),4711793)</f>
        <v>4711793</v>
      </c>
      <c r="G118" s="5">
        <f t="shared" ca="1" si="3"/>
        <v>2.3840206185567075E-2</v>
      </c>
      <c r="H118" s="14">
        <f t="shared" si="4"/>
        <v>2016</v>
      </c>
      <c r="I118" s="5">
        <f t="shared" ca="1" si="5"/>
        <v>1.6371971185330715E-2</v>
      </c>
      <c r="J118" s="16"/>
    </row>
    <row r="119" spans="1:10" x14ac:dyDescent="0.2">
      <c r="A119" s="3">
        <v>42450</v>
      </c>
      <c r="B119" s="1">
        <f ca="1">IFERROR(__xludf.DUMMYFUNCTION("""COMPUTED_VALUE"""),15.69)</f>
        <v>15.69</v>
      </c>
      <c r="C119" s="1">
        <f ca="1">IFERROR(__xludf.DUMMYFUNCTION("""COMPUTED_VALUE"""),15.99)</f>
        <v>15.99</v>
      </c>
      <c r="D119" s="1">
        <f ca="1">IFERROR(__xludf.DUMMYFUNCTION("""COMPUTED_VALUE"""),15.67)</f>
        <v>15.67</v>
      </c>
      <c r="E119" s="1">
        <f ca="1">IFERROR(__xludf.DUMMYFUNCTION("""COMPUTED_VALUE"""),15.89)</f>
        <v>15.89</v>
      </c>
      <c r="F119" s="1">
        <f ca="1">IFERROR(__xludf.DUMMYFUNCTION("""COMPUTED_VALUE"""),5307822)</f>
        <v>5307822</v>
      </c>
      <c r="G119" s="5">
        <f t="shared" ca="1" si="3"/>
        <v>-1.6991818753933376E-2</v>
      </c>
      <c r="H119" s="14">
        <f t="shared" si="4"/>
        <v>2016</v>
      </c>
      <c r="I119" s="5">
        <f t="shared" ca="1" si="5"/>
        <v>1.2746972594008992E-2</v>
      </c>
      <c r="J119" s="16"/>
    </row>
    <row r="120" spans="1:10" x14ac:dyDescent="0.2">
      <c r="A120" s="3">
        <v>42451</v>
      </c>
      <c r="B120" s="1">
        <f ca="1">IFERROR(__xludf.DUMMYFUNCTION("""COMPUTED_VALUE"""),15.81)</f>
        <v>15.81</v>
      </c>
      <c r="C120" s="1">
        <f ca="1">IFERROR(__xludf.DUMMYFUNCTION("""COMPUTED_VALUE"""),15.93)</f>
        <v>15.93</v>
      </c>
      <c r="D120" s="1">
        <f ca="1">IFERROR(__xludf.DUMMYFUNCTION("""COMPUTED_VALUE"""),15.5)</f>
        <v>15.5</v>
      </c>
      <c r="E120" s="1">
        <f ca="1">IFERROR(__xludf.DUMMYFUNCTION("""COMPUTED_VALUE"""),15.62)</f>
        <v>15.62</v>
      </c>
      <c r="F120" s="1">
        <f ca="1">IFERROR(__xludf.DUMMYFUNCTION("""COMPUTED_VALUE"""),4315988)</f>
        <v>4315988</v>
      </c>
      <c r="G120" s="5">
        <f t="shared" ca="1" si="3"/>
        <v>-4.9935979513444265E-2</v>
      </c>
      <c r="H120" s="14">
        <f t="shared" si="4"/>
        <v>2016</v>
      </c>
      <c r="I120" s="5">
        <f t="shared" ca="1" si="5"/>
        <v>-1.2017710309930504E-2</v>
      </c>
      <c r="J120" s="16"/>
    </row>
    <row r="121" spans="1:10" x14ac:dyDescent="0.2">
      <c r="A121" s="3">
        <v>42452</v>
      </c>
      <c r="B121" s="1">
        <f ca="1">IFERROR(__xludf.DUMMYFUNCTION("""COMPUTED_VALUE"""),15.49)</f>
        <v>15.49</v>
      </c>
      <c r="C121" s="1">
        <f ca="1">IFERROR(__xludf.DUMMYFUNCTION("""COMPUTED_VALUE"""),15.65)</f>
        <v>15.65</v>
      </c>
      <c r="D121" s="1">
        <f ca="1">IFERROR(__xludf.DUMMYFUNCTION("""COMPUTED_VALUE"""),14.8)</f>
        <v>14.8</v>
      </c>
      <c r="E121" s="1">
        <f ca="1">IFERROR(__xludf.DUMMYFUNCTION("""COMPUTED_VALUE"""),14.84)</f>
        <v>14.84</v>
      </c>
      <c r="F121" s="1">
        <f ca="1">IFERROR(__xludf.DUMMYFUNCTION("""COMPUTED_VALUE"""),4948841)</f>
        <v>4948841</v>
      </c>
      <c r="G121" s="5">
        <f t="shared" ca="1" si="3"/>
        <v>2.2911051212937995E-2</v>
      </c>
      <c r="H121" s="14">
        <f t="shared" si="4"/>
        <v>2016</v>
      </c>
      <c r="I121" s="5">
        <f t="shared" ca="1" si="5"/>
        <v>-4.1962556488056836E-2</v>
      </c>
      <c r="J121" s="16"/>
    </row>
    <row r="122" spans="1:10" x14ac:dyDescent="0.2">
      <c r="A122" s="3">
        <v>42453</v>
      </c>
      <c r="B122" s="1">
        <f ca="1">IFERROR(__xludf.DUMMYFUNCTION("""COMPUTED_VALUE"""),14.39)</f>
        <v>14.39</v>
      </c>
      <c r="C122" s="1">
        <f ca="1">IFERROR(__xludf.DUMMYFUNCTION("""COMPUTED_VALUE"""),15.26)</f>
        <v>15.26</v>
      </c>
      <c r="D122" s="1">
        <f ca="1">IFERROR(__xludf.DUMMYFUNCTION("""COMPUTED_VALUE"""),14.33)</f>
        <v>14.33</v>
      </c>
      <c r="E122" s="1">
        <f ca="1">IFERROR(__xludf.DUMMYFUNCTION("""COMPUTED_VALUE"""),15.18)</f>
        <v>15.18</v>
      </c>
      <c r="F122" s="1">
        <f ca="1">IFERROR(__xludf.DUMMYFUNCTION("""COMPUTED_VALUE"""),4960900)</f>
        <v>4960900</v>
      </c>
      <c r="G122" s="5">
        <f t="shared" ca="1" si="3"/>
        <v>1.1198945981554673E-2</v>
      </c>
      <c r="H122" s="14">
        <f t="shared" si="4"/>
        <v>2016</v>
      </c>
      <c r="I122" s="5">
        <f t="shared" ca="1" si="5"/>
        <v>5.4899235580264008E-2</v>
      </c>
      <c r="J122" s="16"/>
    </row>
    <row r="123" spans="1:10" x14ac:dyDescent="0.2">
      <c r="A123" s="3">
        <v>42457</v>
      </c>
      <c r="B123" s="1">
        <f ca="1">IFERROR(__xludf.DUMMYFUNCTION("""COMPUTED_VALUE"""),15.44)</f>
        <v>15.44</v>
      </c>
      <c r="C123" s="1">
        <f ca="1">IFERROR(__xludf.DUMMYFUNCTION("""COMPUTED_VALUE"""),15.65)</f>
        <v>15.65</v>
      </c>
      <c r="D123" s="1">
        <f ca="1">IFERROR(__xludf.DUMMYFUNCTION("""COMPUTED_VALUE"""),15)</f>
        <v>15</v>
      </c>
      <c r="E123" s="1">
        <f ca="1">IFERROR(__xludf.DUMMYFUNCTION("""COMPUTED_VALUE"""),15.35)</f>
        <v>15.35</v>
      </c>
      <c r="F123" s="1">
        <f ca="1">IFERROR(__xludf.DUMMYFUNCTION("""COMPUTED_VALUE"""),3925685)</f>
        <v>3925685</v>
      </c>
      <c r="G123" s="5">
        <f t="shared" ca="1" si="3"/>
        <v>-6.5146579804558876E-4</v>
      </c>
      <c r="H123" s="14">
        <f t="shared" si="4"/>
        <v>2016</v>
      </c>
      <c r="I123" s="5">
        <f t="shared" ca="1" si="5"/>
        <v>-5.829015544041442E-3</v>
      </c>
      <c r="J123" s="16"/>
    </row>
    <row r="124" spans="1:10" x14ac:dyDescent="0.2">
      <c r="A124" s="3">
        <v>42458</v>
      </c>
      <c r="B124" s="1">
        <f ca="1">IFERROR(__xludf.DUMMYFUNCTION("""COMPUTED_VALUE"""),15.33)</f>
        <v>15.33</v>
      </c>
      <c r="C124" s="1">
        <f ca="1">IFERROR(__xludf.DUMMYFUNCTION("""COMPUTED_VALUE"""),15.49)</f>
        <v>15.49</v>
      </c>
      <c r="D124" s="1">
        <f ca="1">IFERROR(__xludf.DUMMYFUNCTION("""COMPUTED_VALUE"""),15.02)</f>
        <v>15.02</v>
      </c>
      <c r="E124" s="1">
        <f ca="1">IFERROR(__xludf.DUMMYFUNCTION("""COMPUTED_VALUE"""),15.34)</f>
        <v>15.34</v>
      </c>
      <c r="F124" s="1">
        <f ca="1">IFERROR(__xludf.DUMMYFUNCTION("""COMPUTED_VALUE"""),4014330)</f>
        <v>4014330</v>
      </c>
      <c r="G124" s="5">
        <f t="shared" ca="1" si="3"/>
        <v>-1.3689700130378036E-2</v>
      </c>
      <c r="H124" s="14">
        <f t="shared" si="4"/>
        <v>2016</v>
      </c>
      <c r="I124" s="5">
        <f t="shared" ca="1" si="5"/>
        <v>6.5231572080885758E-4</v>
      </c>
      <c r="J124" s="16"/>
    </row>
    <row r="125" spans="1:10" x14ac:dyDescent="0.2">
      <c r="A125" s="3">
        <v>42459</v>
      </c>
      <c r="B125" s="1">
        <f ca="1">IFERROR(__xludf.DUMMYFUNCTION("""COMPUTED_VALUE"""),15.67)</f>
        <v>15.67</v>
      </c>
      <c r="C125" s="1">
        <f ca="1">IFERROR(__xludf.DUMMYFUNCTION("""COMPUTED_VALUE"""),15.7)</f>
        <v>15.7</v>
      </c>
      <c r="D125" s="1">
        <f ca="1">IFERROR(__xludf.DUMMYFUNCTION("""COMPUTED_VALUE"""),15.1)</f>
        <v>15.1</v>
      </c>
      <c r="E125" s="1">
        <f ca="1">IFERROR(__xludf.DUMMYFUNCTION("""COMPUTED_VALUE"""),15.13)</f>
        <v>15.13</v>
      </c>
      <c r="F125" s="1">
        <f ca="1">IFERROR(__xludf.DUMMYFUNCTION("""COMPUTED_VALUE"""),4032982)</f>
        <v>4032982</v>
      </c>
      <c r="G125" s="5">
        <f t="shared" ca="1" si="3"/>
        <v>1.2557832121612657E-2</v>
      </c>
      <c r="H125" s="14">
        <f t="shared" si="4"/>
        <v>2016</v>
      </c>
      <c r="I125" s="5">
        <f t="shared" ca="1" si="5"/>
        <v>-3.4460753031269886E-2</v>
      </c>
      <c r="J125" s="16"/>
    </row>
    <row r="126" spans="1:10" x14ac:dyDescent="0.2">
      <c r="A126" s="3">
        <v>42460</v>
      </c>
      <c r="B126" s="1">
        <f ca="1">IFERROR(__xludf.DUMMYFUNCTION("""COMPUTED_VALUE"""),15.29)</f>
        <v>15.29</v>
      </c>
      <c r="C126" s="1">
        <f ca="1">IFERROR(__xludf.DUMMYFUNCTION("""COMPUTED_VALUE"""),15.83)</f>
        <v>15.83</v>
      </c>
      <c r="D126" s="1">
        <f ca="1">IFERROR(__xludf.DUMMYFUNCTION("""COMPUTED_VALUE"""),15)</f>
        <v>15</v>
      </c>
      <c r="E126" s="1">
        <f ca="1">IFERROR(__xludf.DUMMYFUNCTION("""COMPUTED_VALUE"""),15.32)</f>
        <v>15.32</v>
      </c>
      <c r="F126" s="1">
        <f ca="1">IFERROR(__xludf.DUMMYFUNCTION("""COMPUTED_VALUE"""),8012872)</f>
        <v>8012872</v>
      </c>
      <c r="G126" s="5">
        <f t="shared" ca="1" si="3"/>
        <v>3.3942558746736261E-2</v>
      </c>
      <c r="H126" s="14">
        <f t="shared" si="4"/>
        <v>2016</v>
      </c>
      <c r="I126" s="5">
        <f t="shared" ca="1" si="5"/>
        <v>1.9620667102682237E-3</v>
      </c>
      <c r="J126" s="16"/>
    </row>
    <row r="127" spans="1:10" x14ac:dyDescent="0.2">
      <c r="A127" s="3">
        <v>42461</v>
      </c>
      <c r="B127" s="1">
        <f ca="1">IFERROR(__xludf.DUMMYFUNCTION("""COMPUTED_VALUE"""),16.32)</f>
        <v>16.32</v>
      </c>
      <c r="C127" s="1">
        <f ca="1">IFERROR(__xludf.DUMMYFUNCTION("""COMPUTED_VALUE"""),16.53)</f>
        <v>16.53</v>
      </c>
      <c r="D127" s="1">
        <f ca="1">IFERROR(__xludf.DUMMYFUNCTION("""COMPUTED_VALUE"""),15.55)</f>
        <v>15.55</v>
      </c>
      <c r="E127" s="1">
        <f ca="1">IFERROR(__xludf.DUMMYFUNCTION("""COMPUTED_VALUE"""),15.84)</f>
        <v>15.84</v>
      </c>
      <c r="F127" s="1">
        <f ca="1">IFERROR(__xludf.DUMMYFUNCTION("""COMPUTED_VALUE"""),15997509)</f>
        <v>15997509</v>
      </c>
      <c r="G127" s="5">
        <f t="shared" ca="1" si="3"/>
        <v>3.977272727272721E-2</v>
      </c>
      <c r="H127" s="14">
        <f t="shared" si="4"/>
        <v>2016</v>
      </c>
      <c r="I127" s="5">
        <f t="shared" ca="1" si="5"/>
        <v>-2.9411764705882377E-2</v>
      </c>
      <c r="J127" s="16"/>
    </row>
    <row r="128" spans="1:10" x14ac:dyDescent="0.2">
      <c r="A128" s="3">
        <v>42464</v>
      </c>
      <c r="B128" s="1">
        <f ca="1">IFERROR(__xludf.DUMMYFUNCTION("""COMPUTED_VALUE"""),16.61)</f>
        <v>16.61</v>
      </c>
      <c r="C128" s="1">
        <f ca="1">IFERROR(__xludf.DUMMYFUNCTION("""COMPUTED_VALUE"""),16.81)</f>
        <v>16.809999999999999</v>
      </c>
      <c r="D128" s="1">
        <f ca="1">IFERROR(__xludf.DUMMYFUNCTION("""COMPUTED_VALUE"""),16.24)</f>
        <v>16.239999999999998</v>
      </c>
      <c r="E128" s="1">
        <f ca="1">IFERROR(__xludf.DUMMYFUNCTION("""COMPUTED_VALUE"""),16.47)</f>
        <v>16.47</v>
      </c>
      <c r="F128" s="1">
        <f ca="1">IFERROR(__xludf.DUMMYFUNCTION("""COMPUTED_VALUE"""),13475327)</f>
        <v>13475327</v>
      </c>
      <c r="G128" s="5">
        <f t="shared" ca="1" si="3"/>
        <v>3.4001214329083325E-2</v>
      </c>
      <c r="H128" s="14">
        <f t="shared" si="4"/>
        <v>2016</v>
      </c>
      <c r="I128" s="5">
        <f t="shared" ca="1" si="5"/>
        <v>-8.4286574352799865E-3</v>
      </c>
      <c r="J128" s="16"/>
    </row>
    <row r="129" spans="1:10" x14ac:dyDescent="0.2">
      <c r="A129" s="3">
        <v>42465</v>
      </c>
      <c r="B129" s="1">
        <f ca="1">IFERROR(__xludf.DUMMYFUNCTION("""COMPUTED_VALUE"""),16.03)</f>
        <v>16.03</v>
      </c>
      <c r="C129" s="1">
        <f ca="1">IFERROR(__xludf.DUMMYFUNCTION("""COMPUTED_VALUE"""),17.1)</f>
        <v>17.100000000000001</v>
      </c>
      <c r="D129" s="1">
        <f ca="1">IFERROR(__xludf.DUMMYFUNCTION("""COMPUTED_VALUE"""),16)</f>
        <v>16</v>
      </c>
      <c r="E129" s="1">
        <f ca="1">IFERROR(__xludf.DUMMYFUNCTION("""COMPUTED_VALUE"""),17.03)</f>
        <v>17.03</v>
      </c>
      <c r="F129" s="1">
        <f ca="1">IFERROR(__xludf.DUMMYFUNCTION("""COMPUTED_VALUE"""),9948699)</f>
        <v>9948699</v>
      </c>
      <c r="G129" s="5">
        <f t="shared" ca="1" si="3"/>
        <v>3.8755137991779216E-2</v>
      </c>
      <c r="H129" s="14">
        <f t="shared" si="4"/>
        <v>2016</v>
      </c>
      <c r="I129" s="5">
        <f t="shared" ca="1" si="5"/>
        <v>6.238303181534622E-2</v>
      </c>
      <c r="J129" s="16"/>
    </row>
    <row r="130" spans="1:10" x14ac:dyDescent="0.2">
      <c r="A130" s="3">
        <v>42466</v>
      </c>
      <c r="B130" s="1">
        <f ca="1">IFERROR(__xludf.DUMMYFUNCTION("""COMPUTED_VALUE"""),16.93)</f>
        <v>16.93</v>
      </c>
      <c r="C130" s="1">
        <f ca="1">IFERROR(__xludf.DUMMYFUNCTION("""COMPUTED_VALUE"""),17.85)</f>
        <v>17.850000000000001</v>
      </c>
      <c r="D130" s="1">
        <f ca="1">IFERROR(__xludf.DUMMYFUNCTION("""COMPUTED_VALUE"""),16.9)</f>
        <v>16.899999999999999</v>
      </c>
      <c r="E130" s="1">
        <f ca="1">IFERROR(__xludf.DUMMYFUNCTION("""COMPUTED_VALUE"""),17.69)</f>
        <v>17.690000000000001</v>
      </c>
      <c r="F130" s="1">
        <f ca="1">IFERROR(__xludf.DUMMYFUNCTION("""COMPUTED_VALUE"""),11705479)</f>
        <v>11705479</v>
      </c>
      <c r="G130" s="5">
        <f t="shared" ca="1" si="3"/>
        <v>-3.0525720746184436E-2</v>
      </c>
      <c r="H130" s="14">
        <f t="shared" si="4"/>
        <v>2016</v>
      </c>
      <c r="I130" s="5">
        <f t="shared" ca="1" si="5"/>
        <v>4.4890726520968788E-2</v>
      </c>
      <c r="J130" s="16"/>
    </row>
    <row r="131" spans="1:10" x14ac:dyDescent="0.2">
      <c r="A131" s="3">
        <v>42467</v>
      </c>
      <c r="B131" s="1">
        <f ca="1">IFERROR(__xludf.DUMMYFUNCTION("""COMPUTED_VALUE"""),17.76)</f>
        <v>17.760000000000002</v>
      </c>
      <c r="C131" s="1">
        <f ca="1">IFERROR(__xludf.DUMMYFUNCTION("""COMPUTED_VALUE"""),17.96)</f>
        <v>17.96</v>
      </c>
      <c r="D131" s="1">
        <f ca="1">IFERROR(__xludf.DUMMYFUNCTION("""COMPUTED_VALUE"""),16.97)</f>
        <v>16.97</v>
      </c>
      <c r="E131" s="1">
        <f ca="1">IFERROR(__xludf.DUMMYFUNCTION("""COMPUTED_VALUE"""),17.15)</f>
        <v>17.149999999999999</v>
      </c>
      <c r="F131" s="1">
        <f ca="1">IFERROR(__xludf.DUMMYFUNCTION("""COMPUTED_VALUE"""),8856171)</f>
        <v>8856171</v>
      </c>
      <c r="G131" s="5">
        <f t="shared" ref="G131:G194" ca="1" si="6">(E132-E131)/E131</f>
        <v>-2.7988338192419644E-2</v>
      </c>
      <c r="H131" s="14">
        <f t="shared" ref="H131:H194" si="7">YEAR(A131)</f>
        <v>2016</v>
      </c>
      <c r="I131" s="5">
        <f t="shared" ref="I131:I194" ca="1" si="8">((E131 - B131) / B131)</f>
        <v>-3.434684684684701E-2</v>
      </c>
      <c r="J131" s="16"/>
    </row>
    <row r="132" spans="1:10" x14ac:dyDescent="0.2">
      <c r="A132" s="3">
        <v>42468</v>
      </c>
      <c r="B132" s="1">
        <f ca="1">IFERROR(__xludf.DUMMYFUNCTION("""COMPUTED_VALUE"""),17.37)</f>
        <v>17.37</v>
      </c>
      <c r="C132" s="1">
        <f ca="1">IFERROR(__xludf.DUMMYFUNCTION("""COMPUTED_VALUE"""),17.39)</f>
        <v>17.39</v>
      </c>
      <c r="D132" s="1">
        <f ca="1">IFERROR(__xludf.DUMMYFUNCTION("""COMPUTED_VALUE"""),16.53)</f>
        <v>16.53</v>
      </c>
      <c r="E132" s="1">
        <f ca="1">IFERROR(__xludf.DUMMYFUNCTION("""COMPUTED_VALUE"""),16.67)</f>
        <v>16.670000000000002</v>
      </c>
      <c r="F132" s="1">
        <f ca="1">IFERROR(__xludf.DUMMYFUNCTION("""COMPUTED_VALUE"""),7363935)</f>
        <v>7363935</v>
      </c>
      <c r="G132" s="5">
        <f t="shared" ca="1" si="6"/>
        <v>-5.9988002399529469E-4</v>
      </c>
      <c r="H132" s="14">
        <f t="shared" si="7"/>
        <v>2016</v>
      </c>
      <c r="I132" s="5">
        <f t="shared" ca="1" si="8"/>
        <v>-4.0299366724237146E-2</v>
      </c>
      <c r="J132" s="16"/>
    </row>
    <row r="133" spans="1:10" x14ac:dyDescent="0.2">
      <c r="A133" s="3">
        <v>42471</v>
      </c>
      <c r="B133" s="1">
        <f ca="1">IFERROR(__xludf.DUMMYFUNCTION("""COMPUTED_VALUE"""),16.73)</f>
        <v>16.73</v>
      </c>
      <c r="C133" s="1">
        <f ca="1">IFERROR(__xludf.DUMMYFUNCTION("""COMPUTED_VALUE"""),17.27)</f>
        <v>17.27</v>
      </c>
      <c r="D133" s="1">
        <f ca="1">IFERROR(__xludf.DUMMYFUNCTION("""COMPUTED_VALUE"""),16.35)</f>
        <v>16.350000000000001</v>
      </c>
      <c r="E133" s="1">
        <f ca="1">IFERROR(__xludf.DUMMYFUNCTION("""COMPUTED_VALUE"""),16.66)</f>
        <v>16.66</v>
      </c>
      <c r="F133" s="1">
        <f ca="1">IFERROR(__xludf.DUMMYFUNCTION("""COMPUTED_VALUE"""),9161693)</f>
        <v>9161693</v>
      </c>
      <c r="G133" s="5">
        <f t="shared" ca="1" si="6"/>
        <v>-8.4033613445378495E-3</v>
      </c>
      <c r="H133" s="14">
        <f t="shared" si="7"/>
        <v>2016</v>
      </c>
      <c r="I133" s="5">
        <f t="shared" ca="1" si="8"/>
        <v>-4.1841004184100588E-3</v>
      </c>
      <c r="J133" s="16"/>
    </row>
    <row r="134" spans="1:10" x14ac:dyDescent="0.2">
      <c r="A134" s="3">
        <v>42472</v>
      </c>
      <c r="B134" s="1">
        <f ca="1">IFERROR(__xludf.DUMMYFUNCTION("""COMPUTED_VALUE"""),16.63)</f>
        <v>16.63</v>
      </c>
      <c r="C134" s="1">
        <f ca="1">IFERROR(__xludf.DUMMYFUNCTION("""COMPUTED_VALUE"""),16.79)</f>
        <v>16.79</v>
      </c>
      <c r="D134" s="1">
        <f ca="1">IFERROR(__xludf.DUMMYFUNCTION("""COMPUTED_VALUE"""),16.24)</f>
        <v>16.239999999999998</v>
      </c>
      <c r="E134" s="1">
        <f ca="1">IFERROR(__xludf.DUMMYFUNCTION("""COMPUTED_VALUE"""),16.52)</f>
        <v>16.52</v>
      </c>
      <c r="F134" s="1">
        <f ca="1">IFERROR(__xludf.DUMMYFUNCTION("""COMPUTED_VALUE"""),5763208)</f>
        <v>5763208</v>
      </c>
      <c r="G134" s="5">
        <f t="shared" ca="1" si="6"/>
        <v>2.7239709443099232E-2</v>
      </c>
      <c r="H134" s="14">
        <f t="shared" si="7"/>
        <v>2016</v>
      </c>
      <c r="I134" s="5">
        <f t="shared" ca="1" si="8"/>
        <v>-6.6145520144317163E-3</v>
      </c>
      <c r="J134" s="16"/>
    </row>
    <row r="135" spans="1:10" x14ac:dyDescent="0.2">
      <c r="A135" s="3">
        <v>42473</v>
      </c>
      <c r="B135" s="1">
        <f ca="1">IFERROR(__xludf.DUMMYFUNCTION("""COMPUTED_VALUE"""),16.57)</f>
        <v>16.57</v>
      </c>
      <c r="C135" s="1">
        <f ca="1">IFERROR(__xludf.DUMMYFUNCTION("""COMPUTED_VALUE"""),17.03)</f>
        <v>17.03</v>
      </c>
      <c r="D135" s="1">
        <f ca="1">IFERROR(__xludf.DUMMYFUNCTION("""COMPUTED_VALUE"""),16.49)</f>
        <v>16.489999999999998</v>
      </c>
      <c r="E135" s="1">
        <f ca="1">IFERROR(__xludf.DUMMYFUNCTION("""COMPUTED_VALUE"""),16.97)</f>
        <v>16.97</v>
      </c>
      <c r="F135" s="1">
        <f ca="1">IFERROR(__xludf.DUMMYFUNCTION("""COMPUTED_VALUE"""),4925595)</f>
        <v>4925595</v>
      </c>
      <c r="G135" s="5">
        <f t="shared" ca="1" si="6"/>
        <v>-1.0606953447259855E-2</v>
      </c>
      <c r="H135" s="14">
        <f t="shared" si="7"/>
        <v>2016</v>
      </c>
      <c r="I135" s="5">
        <f t="shared" ca="1" si="8"/>
        <v>2.4140012070005948E-2</v>
      </c>
      <c r="J135" s="16"/>
    </row>
    <row r="136" spans="1:10" x14ac:dyDescent="0.2">
      <c r="A136" s="3">
        <v>42474</v>
      </c>
      <c r="B136" s="1">
        <f ca="1">IFERROR(__xludf.DUMMYFUNCTION("""COMPUTED_VALUE"""),16.87)</f>
        <v>16.87</v>
      </c>
      <c r="C136" s="1">
        <f ca="1">IFERROR(__xludf.DUMMYFUNCTION("""COMPUTED_VALUE"""),17.12)</f>
        <v>17.12</v>
      </c>
      <c r="D136" s="1">
        <f ca="1">IFERROR(__xludf.DUMMYFUNCTION("""COMPUTED_VALUE"""),16.74)</f>
        <v>16.739999999999998</v>
      </c>
      <c r="E136" s="1">
        <f ca="1">IFERROR(__xludf.DUMMYFUNCTION("""COMPUTED_VALUE"""),16.79)</f>
        <v>16.79</v>
      </c>
      <c r="F136" s="1">
        <f ca="1">IFERROR(__xludf.DUMMYFUNCTION("""COMPUTED_VALUE"""),4132185)</f>
        <v>4132185</v>
      </c>
      <c r="G136" s="5">
        <f t="shared" ca="1" si="6"/>
        <v>1.0720667063728394E-2</v>
      </c>
      <c r="H136" s="14">
        <f t="shared" si="7"/>
        <v>2016</v>
      </c>
      <c r="I136" s="5">
        <f t="shared" ca="1" si="8"/>
        <v>-4.7421458209841042E-3</v>
      </c>
      <c r="J136" s="16"/>
    </row>
    <row r="137" spans="1:10" x14ac:dyDescent="0.2">
      <c r="A137" s="3">
        <v>42475</v>
      </c>
      <c r="B137" s="1">
        <f ca="1">IFERROR(__xludf.DUMMYFUNCTION("""COMPUTED_VALUE"""),16.75)</f>
        <v>16.75</v>
      </c>
      <c r="C137" s="1">
        <f ca="1">IFERROR(__xludf.DUMMYFUNCTION("""COMPUTED_VALUE"""),16.97)</f>
        <v>16.97</v>
      </c>
      <c r="D137" s="1">
        <f ca="1">IFERROR(__xludf.DUMMYFUNCTION("""COMPUTED_VALUE"""),16.61)</f>
        <v>16.61</v>
      </c>
      <c r="E137" s="1">
        <f ca="1">IFERROR(__xludf.DUMMYFUNCTION("""COMPUTED_VALUE"""),16.97)</f>
        <v>16.97</v>
      </c>
      <c r="F137" s="1">
        <f ca="1">IFERROR(__xludf.DUMMYFUNCTION("""COMPUTED_VALUE"""),3752366)</f>
        <v>3752366</v>
      </c>
      <c r="G137" s="5">
        <f t="shared" ca="1" si="6"/>
        <v>-2.357100766057699E-3</v>
      </c>
      <c r="H137" s="14">
        <f t="shared" si="7"/>
        <v>2016</v>
      </c>
      <c r="I137" s="5">
        <f t="shared" ca="1" si="8"/>
        <v>1.3134328358208887E-2</v>
      </c>
      <c r="J137" s="16"/>
    </row>
    <row r="138" spans="1:10" x14ac:dyDescent="0.2">
      <c r="A138" s="3">
        <v>42478</v>
      </c>
      <c r="B138" s="1">
        <f ca="1">IFERROR(__xludf.DUMMYFUNCTION("""COMPUTED_VALUE"""),16.82)</f>
        <v>16.82</v>
      </c>
      <c r="C138" s="1">
        <f ca="1">IFERROR(__xludf.DUMMYFUNCTION("""COMPUTED_VALUE"""),17.22)</f>
        <v>17.22</v>
      </c>
      <c r="D138" s="1">
        <f ca="1">IFERROR(__xludf.DUMMYFUNCTION("""COMPUTED_VALUE"""),16.78)</f>
        <v>16.78</v>
      </c>
      <c r="E138" s="1">
        <f ca="1">IFERROR(__xludf.DUMMYFUNCTION("""COMPUTED_VALUE"""),16.93)</f>
        <v>16.93</v>
      </c>
      <c r="F138" s="1">
        <f ca="1">IFERROR(__xludf.DUMMYFUNCTION("""COMPUTED_VALUE"""),4271362)</f>
        <v>4271362</v>
      </c>
      <c r="G138" s="5">
        <f t="shared" ca="1" si="6"/>
        <v>-2.5989367985824057E-2</v>
      </c>
      <c r="H138" s="14">
        <f t="shared" si="7"/>
        <v>2016</v>
      </c>
      <c r="I138" s="5">
        <f t="shared" ca="1" si="8"/>
        <v>6.539833531510073E-3</v>
      </c>
      <c r="J138" s="16"/>
    </row>
    <row r="139" spans="1:10" x14ac:dyDescent="0.2">
      <c r="A139" s="3">
        <v>42479</v>
      </c>
      <c r="B139" s="1">
        <f ca="1">IFERROR(__xludf.DUMMYFUNCTION("""COMPUTED_VALUE"""),16.87)</f>
        <v>16.87</v>
      </c>
      <c r="C139" s="1">
        <f ca="1">IFERROR(__xludf.DUMMYFUNCTION("""COMPUTED_VALUE"""),16.96)</f>
        <v>16.96</v>
      </c>
      <c r="D139" s="1">
        <f ca="1">IFERROR(__xludf.DUMMYFUNCTION("""COMPUTED_VALUE"""),16.08)</f>
        <v>16.079999999999998</v>
      </c>
      <c r="E139" s="1">
        <f ca="1">IFERROR(__xludf.DUMMYFUNCTION("""COMPUTED_VALUE"""),16.49)</f>
        <v>16.489999999999998</v>
      </c>
      <c r="F139" s="1">
        <f ca="1">IFERROR(__xludf.DUMMYFUNCTION("""COMPUTED_VALUE"""),6357526)</f>
        <v>6357526</v>
      </c>
      <c r="G139" s="5">
        <f t="shared" ca="1" si="6"/>
        <v>1.0309278350515568E-2</v>
      </c>
      <c r="H139" s="14">
        <f t="shared" si="7"/>
        <v>2016</v>
      </c>
      <c r="I139" s="5">
        <f t="shared" ca="1" si="8"/>
        <v>-2.2525192649674126E-2</v>
      </c>
      <c r="J139" s="16"/>
    </row>
    <row r="140" spans="1:10" x14ac:dyDescent="0.2">
      <c r="A140" s="3">
        <v>42480</v>
      </c>
      <c r="B140" s="1">
        <f ca="1">IFERROR(__xludf.DUMMYFUNCTION("""COMPUTED_VALUE"""),16.42)</f>
        <v>16.420000000000002</v>
      </c>
      <c r="C140" s="1">
        <f ca="1">IFERROR(__xludf.DUMMYFUNCTION("""COMPUTED_VALUE"""),16.91)</f>
        <v>16.91</v>
      </c>
      <c r="D140" s="1">
        <f ca="1">IFERROR(__xludf.DUMMYFUNCTION("""COMPUTED_VALUE"""),16.1)</f>
        <v>16.100000000000001</v>
      </c>
      <c r="E140" s="1">
        <f ca="1">IFERROR(__xludf.DUMMYFUNCTION("""COMPUTED_VALUE"""),16.66)</f>
        <v>16.66</v>
      </c>
      <c r="F140" s="1">
        <f ca="1">IFERROR(__xludf.DUMMYFUNCTION("""COMPUTED_VALUE"""),5194051)</f>
        <v>5194051</v>
      </c>
      <c r="G140" s="5">
        <f t="shared" ca="1" si="6"/>
        <v>-6.6026410564225344E-3</v>
      </c>
      <c r="H140" s="14">
        <f t="shared" si="7"/>
        <v>2016</v>
      </c>
      <c r="I140" s="5">
        <f t="shared" ca="1" si="8"/>
        <v>1.4616321559074203E-2</v>
      </c>
      <c r="J140" s="16"/>
    </row>
    <row r="141" spans="1:10" x14ac:dyDescent="0.2">
      <c r="A141" s="3">
        <v>42481</v>
      </c>
      <c r="B141" s="1">
        <f ca="1">IFERROR(__xludf.DUMMYFUNCTION("""COMPUTED_VALUE"""),16.6)</f>
        <v>16.600000000000001</v>
      </c>
      <c r="C141" s="1">
        <f ca="1">IFERROR(__xludf.DUMMYFUNCTION("""COMPUTED_VALUE"""),16.73)</f>
        <v>16.73</v>
      </c>
      <c r="D141" s="1">
        <f ca="1">IFERROR(__xludf.DUMMYFUNCTION("""COMPUTED_VALUE"""),16.46)</f>
        <v>16.46</v>
      </c>
      <c r="E141" s="1">
        <f ca="1">IFERROR(__xludf.DUMMYFUNCTION("""COMPUTED_VALUE"""),16.55)</f>
        <v>16.55</v>
      </c>
      <c r="F141" s="1">
        <f ca="1">IFERROR(__xludf.DUMMYFUNCTION("""COMPUTED_VALUE"""),2783059)</f>
        <v>2783059</v>
      </c>
      <c r="G141" s="5">
        <f t="shared" ca="1" si="6"/>
        <v>2.2356495468278004E-2</v>
      </c>
      <c r="H141" s="14">
        <f t="shared" si="7"/>
        <v>2016</v>
      </c>
      <c r="I141" s="5">
        <f t="shared" ca="1" si="8"/>
        <v>-3.012048192771127E-3</v>
      </c>
      <c r="J141" s="16"/>
    </row>
    <row r="142" spans="1:10" x14ac:dyDescent="0.2">
      <c r="A142" s="3">
        <v>42482</v>
      </c>
      <c r="B142" s="1">
        <f ca="1">IFERROR(__xludf.DUMMYFUNCTION("""COMPUTED_VALUE"""),16.59)</f>
        <v>16.59</v>
      </c>
      <c r="C142" s="1">
        <f ca="1">IFERROR(__xludf.DUMMYFUNCTION("""COMPUTED_VALUE"""),16.93)</f>
        <v>16.93</v>
      </c>
      <c r="D142" s="1">
        <f ca="1">IFERROR(__xludf.DUMMYFUNCTION("""COMPUTED_VALUE"""),16.38)</f>
        <v>16.38</v>
      </c>
      <c r="E142" s="1">
        <f ca="1">IFERROR(__xludf.DUMMYFUNCTION("""COMPUTED_VALUE"""),16.92)</f>
        <v>16.920000000000002</v>
      </c>
      <c r="F142" s="1">
        <f ca="1">IFERROR(__xludf.DUMMYFUNCTION("""COMPUTED_VALUE"""),3786327)</f>
        <v>3786327</v>
      </c>
      <c r="G142" s="5">
        <f t="shared" ca="1" si="6"/>
        <v>-7.6832151300237914E-3</v>
      </c>
      <c r="H142" s="14">
        <f t="shared" si="7"/>
        <v>2016</v>
      </c>
      <c r="I142" s="5">
        <f t="shared" ca="1" si="8"/>
        <v>1.9891500904159243E-2</v>
      </c>
      <c r="J142" s="16"/>
    </row>
    <row r="143" spans="1:10" x14ac:dyDescent="0.2">
      <c r="A143" s="3">
        <v>42485</v>
      </c>
      <c r="B143" s="1">
        <f ca="1">IFERROR(__xludf.DUMMYFUNCTION("""COMPUTED_VALUE"""),16.87)</f>
        <v>16.87</v>
      </c>
      <c r="C143" s="1">
        <f ca="1">IFERROR(__xludf.DUMMYFUNCTION("""COMPUTED_VALUE"""),17.16)</f>
        <v>17.16</v>
      </c>
      <c r="D143" s="1">
        <f ca="1">IFERROR(__xludf.DUMMYFUNCTION("""COMPUTED_VALUE"""),16.72)</f>
        <v>16.72</v>
      </c>
      <c r="E143" s="1">
        <f ca="1">IFERROR(__xludf.DUMMYFUNCTION("""COMPUTED_VALUE"""),16.79)</f>
        <v>16.79</v>
      </c>
      <c r="F143" s="1">
        <f ca="1">IFERROR(__xludf.DUMMYFUNCTION("""COMPUTED_VALUE"""),3670348)</f>
        <v>3670348</v>
      </c>
      <c r="G143" s="5">
        <f t="shared" ca="1" si="6"/>
        <v>7.7427039904706708E-3</v>
      </c>
      <c r="H143" s="14">
        <f t="shared" si="7"/>
        <v>2016</v>
      </c>
      <c r="I143" s="5">
        <f t="shared" ca="1" si="8"/>
        <v>-4.7421458209841042E-3</v>
      </c>
      <c r="J143" s="16"/>
    </row>
    <row r="144" spans="1:10" x14ac:dyDescent="0.2">
      <c r="A144" s="3">
        <v>42486</v>
      </c>
      <c r="B144" s="1">
        <f ca="1">IFERROR(__xludf.DUMMYFUNCTION("""COMPUTED_VALUE"""),16.8)</f>
        <v>16.8</v>
      </c>
      <c r="C144" s="1">
        <f ca="1">IFERROR(__xludf.DUMMYFUNCTION("""COMPUTED_VALUE"""),17.05)</f>
        <v>17.05</v>
      </c>
      <c r="D144" s="1">
        <f ca="1">IFERROR(__xludf.DUMMYFUNCTION("""COMPUTED_VALUE"""),16.63)</f>
        <v>16.63</v>
      </c>
      <c r="E144" s="1">
        <f ca="1">IFERROR(__xludf.DUMMYFUNCTION("""COMPUTED_VALUE"""),16.92)</f>
        <v>16.920000000000002</v>
      </c>
      <c r="F144" s="1">
        <f ca="1">IFERROR(__xludf.DUMMYFUNCTION("""COMPUTED_VALUE"""),3223839)</f>
        <v>3223839</v>
      </c>
      <c r="G144" s="5">
        <f t="shared" ca="1" si="6"/>
        <v>-9.4562647754137183E-3</v>
      </c>
      <c r="H144" s="14">
        <f t="shared" si="7"/>
        <v>2016</v>
      </c>
      <c r="I144" s="5">
        <f t="shared" ca="1" si="8"/>
        <v>7.1428571428572016E-3</v>
      </c>
      <c r="J144" s="16"/>
    </row>
    <row r="145" spans="1:10" x14ac:dyDescent="0.2">
      <c r="A145" s="3">
        <v>42487</v>
      </c>
      <c r="B145" s="1">
        <f ca="1">IFERROR(__xludf.DUMMYFUNCTION("""COMPUTED_VALUE"""),16.85)</f>
        <v>16.850000000000001</v>
      </c>
      <c r="C145" s="1">
        <f ca="1">IFERROR(__xludf.DUMMYFUNCTION("""COMPUTED_VALUE"""),17)</f>
        <v>17</v>
      </c>
      <c r="D145" s="1">
        <f ca="1">IFERROR(__xludf.DUMMYFUNCTION("""COMPUTED_VALUE"""),16.63)</f>
        <v>16.63</v>
      </c>
      <c r="E145" s="1">
        <f ca="1">IFERROR(__xludf.DUMMYFUNCTION("""COMPUTED_VALUE"""),16.76)</f>
        <v>16.760000000000002</v>
      </c>
      <c r="F145" s="1">
        <f ca="1">IFERROR(__xludf.DUMMYFUNCTION("""COMPUTED_VALUE"""),3205808)</f>
        <v>3205808</v>
      </c>
      <c r="G145" s="5">
        <f t="shared" ca="1" si="6"/>
        <v>-1.4916467780429593E-2</v>
      </c>
      <c r="H145" s="14">
        <f t="shared" si="7"/>
        <v>2016</v>
      </c>
      <c r="I145" s="5">
        <f t="shared" ca="1" si="8"/>
        <v>-5.3412462908011783E-3</v>
      </c>
      <c r="J145" s="16"/>
    </row>
    <row r="146" spans="1:10" x14ac:dyDescent="0.2">
      <c r="A146" s="3">
        <v>42488</v>
      </c>
      <c r="B146" s="1">
        <f ca="1">IFERROR(__xludf.DUMMYFUNCTION("""COMPUTED_VALUE"""),16.66)</f>
        <v>16.66</v>
      </c>
      <c r="C146" s="1">
        <f ca="1">IFERROR(__xludf.DUMMYFUNCTION("""COMPUTED_VALUE"""),16.9)</f>
        <v>16.899999999999999</v>
      </c>
      <c r="D146" s="1">
        <f ca="1">IFERROR(__xludf.DUMMYFUNCTION("""COMPUTED_VALUE"""),16.5)</f>
        <v>16.5</v>
      </c>
      <c r="E146" s="1">
        <f ca="1">IFERROR(__xludf.DUMMYFUNCTION("""COMPUTED_VALUE"""),16.51)</f>
        <v>16.510000000000002</v>
      </c>
      <c r="F146" s="1">
        <f ca="1">IFERROR(__xludf.DUMMYFUNCTION("""COMPUTED_VALUE"""),2518990)</f>
        <v>2518990</v>
      </c>
      <c r="G146" s="5">
        <f t="shared" ca="1" si="6"/>
        <v>-2.7861901877649958E-2</v>
      </c>
      <c r="H146" s="14">
        <f t="shared" si="7"/>
        <v>2016</v>
      </c>
      <c r="I146" s="5">
        <f t="shared" ca="1" si="8"/>
        <v>-9.003601440576145E-3</v>
      </c>
      <c r="J146" s="16"/>
    </row>
    <row r="147" spans="1:10" x14ac:dyDescent="0.2">
      <c r="A147" s="3">
        <v>42489</v>
      </c>
      <c r="B147" s="1">
        <f ca="1">IFERROR(__xludf.DUMMYFUNCTION("""COMPUTED_VALUE"""),16.54)</f>
        <v>16.54</v>
      </c>
      <c r="C147" s="1">
        <f ca="1">IFERROR(__xludf.DUMMYFUNCTION("""COMPUTED_VALUE"""),16.56)</f>
        <v>16.559999999999999</v>
      </c>
      <c r="D147" s="1">
        <f ca="1">IFERROR(__xludf.DUMMYFUNCTION("""COMPUTED_VALUE"""),15.85)</f>
        <v>15.85</v>
      </c>
      <c r="E147" s="1">
        <f ca="1">IFERROR(__xludf.DUMMYFUNCTION("""COMPUTED_VALUE"""),16.05)</f>
        <v>16.05</v>
      </c>
      <c r="F147" s="1">
        <f ca="1">IFERROR(__xludf.DUMMYFUNCTION("""COMPUTED_VALUE"""),5413787)</f>
        <v>5413787</v>
      </c>
      <c r="G147" s="5">
        <f t="shared" ca="1" si="6"/>
        <v>4.3613707165109207E-3</v>
      </c>
      <c r="H147" s="14">
        <f t="shared" si="7"/>
        <v>2016</v>
      </c>
      <c r="I147" s="5">
        <f t="shared" ca="1" si="8"/>
        <v>-2.9625151148730256E-2</v>
      </c>
      <c r="J147" s="16"/>
    </row>
    <row r="148" spans="1:10" x14ac:dyDescent="0.2">
      <c r="A148" s="3">
        <v>42492</v>
      </c>
      <c r="B148" s="1">
        <f ca="1">IFERROR(__xludf.DUMMYFUNCTION("""COMPUTED_VALUE"""),16.1)</f>
        <v>16.100000000000001</v>
      </c>
      <c r="C148" s="1">
        <f ca="1">IFERROR(__xludf.DUMMYFUNCTION("""COMPUTED_VALUE"""),16.21)</f>
        <v>16.21</v>
      </c>
      <c r="D148" s="1">
        <f ca="1">IFERROR(__xludf.DUMMYFUNCTION("""COMPUTED_VALUE"""),15.65)</f>
        <v>15.65</v>
      </c>
      <c r="E148" s="1">
        <f ca="1">IFERROR(__xludf.DUMMYFUNCTION("""COMPUTED_VALUE"""),16.12)</f>
        <v>16.12</v>
      </c>
      <c r="F148" s="1">
        <f ca="1">IFERROR(__xludf.DUMMYFUNCTION("""COMPUTED_VALUE"""),3843935)</f>
        <v>3843935</v>
      </c>
      <c r="G148" s="5">
        <f t="shared" ca="1" si="6"/>
        <v>-3.9081885856079447E-2</v>
      </c>
      <c r="H148" s="14">
        <f t="shared" si="7"/>
        <v>2016</v>
      </c>
      <c r="I148" s="5">
        <f t="shared" ca="1" si="8"/>
        <v>1.2422360248446939E-3</v>
      </c>
      <c r="J148" s="16"/>
    </row>
    <row r="149" spans="1:10" x14ac:dyDescent="0.2">
      <c r="A149" s="3">
        <v>42493</v>
      </c>
      <c r="B149" s="1">
        <f ca="1">IFERROR(__xludf.DUMMYFUNCTION("""COMPUTED_VALUE"""),15.82)</f>
        <v>15.82</v>
      </c>
      <c r="C149" s="1">
        <f ca="1">IFERROR(__xludf.DUMMYFUNCTION("""COMPUTED_VALUE"""),15.93)</f>
        <v>15.93</v>
      </c>
      <c r="D149" s="1">
        <f ca="1">IFERROR(__xludf.DUMMYFUNCTION("""COMPUTED_VALUE"""),15.44)</f>
        <v>15.44</v>
      </c>
      <c r="E149" s="1">
        <f ca="1">IFERROR(__xludf.DUMMYFUNCTION("""COMPUTED_VALUE"""),15.49)</f>
        <v>15.49</v>
      </c>
      <c r="F149" s="1">
        <f ca="1">IFERROR(__xludf.DUMMYFUNCTION("""COMPUTED_VALUE"""),4302222)</f>
        <v>4302222</v>
      </c>
      <c r="G149" s="5">
        <f t="shared" ca="1" si="6"/>
        <v>-4.1962556488056836E-2</v>
      </c>
      <c r="H149" s="14">
        <f t="shared" si="7"/>
        <v>2016</v>
      </c>
      <c r="I149" s="5">
        <f t="shared" ca="1" si="8"/>
        <v>-2.0859671302149184E-2</v>
      </c>
      <c r="J149" s="16"/>
    </row>
    <row r="150" spans="1:10" x14ac:dyDescent="0.2">
      <c r="A150" s="3">
        <v>42494</v>
      </c>
      <c r="B150" s="1">
        <f ca="1">IFERROR(__xludf.DUMMYFUNCTION("""COMPUTED_VALUE"""),15.35)</f>
        <v>15.35</v>
      </c>
      <c r="C150" s="1">
        <f ca="1">IFERROR(__xludf.DUMMYFUNCTION("""COMPUTED_VALUE"""),15.63)</f>
        <v>15.63</v>
      </c>
      <c r="D150" s="1">
        <f ca="1">IFERROR(__xludf.DUMMYFUNCTION("""COMPUTED_VALUE"""),14.69)</f>
        <v>14.69</v>
      </c>
      <c r="E150" s="1">
        <f ca="1">IFERROR(__xludf.DUMMYFUNCTION("""COMPUTED_VALUE"""),14.84)</f>
        <v>14.84</v>
      </c>
      <c r="F150" s="1">
        <f ca="1">IFERROR(__xludf.DUMMYFUNCTION("""COMPUTED_VALUE"""),8700459)</f>
        <v>8700459</v>
      </c>
      <c r="G150" s="5">
        <f t="shared" ca="1" si="6"/>
        <v>-4.9865229110512145E-2</v>
      </c>
      <c r="H150" s="14">
        <f t="shared" si="7"/>
        <v>2016</v>
      </c>
      <c r="I150" s="5">
        <f t="shared" ca="1" si="8"/>
        <v>-3.3224755700325723E-2</v>
      </c>
      <c r="J150" s="16"/>
    </row>
    <row r="151" spans="1:10" x14ac:dyDescent="0.2">
      <c r="A151" s="3">
        <v>42495</v>
      </c>
      <c r="B151" s="1">
        <f ca="1">IFERROR(__xludf.DUMMYFUNCTION("""COMPUTED_VALUE"""),15.23)</f>
        <v>15.23</v>
      </c>
      <c r="C151" s="1">
        <f ca="1">IFERROR(__xludf.DUMMYFUNCTION("""COMPUTED_VALUE"""),15.24)</f>
        <v>15.24</v>
      </c>
      <c r="D151" s="1">
        <f ca="1">IFERROR(__xludf.DUMMYFUNCTION("""COMPUTED_VALUE"""),13.99)</f>
        <v>13.99</v>
      </c>
      <c r="E151" s="1">
        <f ca="1">IFERROR(__xludf.DUMMYFUNCTION("""COMPUTED_VALUE"""),14.1)</f>
        <v>14.1</v>
      </c>
      <c r="F151" s="1">
        <f ca="1">IFERROR(__xludf.DUMMYFUNCTION("""COMPUTED_VALUE"""),11254827)</f>
        <v>11254827</v>
      </c>
      <c r="G151" s="5">
        <f t="shared" ca="1" si="6"/>
        <v>1.6312056737588683E-2</v>
      </c>
      <c r="H151" s="14">
        <f t="shared" si="7"/>
        <v>2016</v>
      </c>
      <c r="I151" s="5">
        <f t="shared" ca="1" si="8"/>
        <v>-7.4195666447800443E-2</v>
      </c>
      <c r="J151" s="16"/>
    </row>
    <row r="152" spans="1:10" x14ac:dyDescent="0.2">
      <c r="A152" s="3">
        <v>42496</v>
      </c>
      <c r="B152" s="1">
        <f ca="1">IFERROR(__xludf.DUMMYFUNCTION("""COMPUTED_VALUE"""),14.06)</f>
        <v>14.06</v>
      </c>
      <c r="C152" s="1">
        <f ca="1">IFERROR(__xludf.DUMMYFUNCTION("""COMPUTED_VALUE"""),14.42)</f>
        <v>14.42</v>
      </c>
      <c r="D152" s="1">
        <f ca="1">IFERROR(__xludf.DUMMYFUNCTION("""COMPUTED_VALUE"""),13.87)</f>
        <v>13.87</v>
      </c>
      <c r="E152" s="1">
        <f ca="1">IFERROR(__xludf.DUMMYFUNCTION("""COMPUTED_VALUE"""),14.33)</f>
        <v>14.33</v>
      </c>
      <c r="F152" s="1">
        <f ca="1">IFERROR(__xludf.DUMMYFUNCTION("""COMPUTED_VALUE"""),5685237)</f>
        <v>5685237</v>
      </c>
      <c r="G152" s="5">
        <f t="shared" ca="1" si="6"/>
        <v>-2.7913468248429892E-2</v>
      </c>
      <c r="H152" s="14">
        <f t="shared" si="7"/>
        <v>2016</v>
      </c>
      <c r="I152" s="5">
        <f t="shared" ca="1" si="8"/>
        <v>1.9203413940256014E-2</v>
      </c>
      <c r="J152" s="16"/>
    </row>
    <row r="153" spans="1:10" x14ac:dyDescent="0.2">
      <c r="A153" s="3">
        <v>42499</v>
      </c>
      <c r="B153" s="1">
        <f ca="1">IFERROR(__xludf.DUMMYFUNCTION("""COMPUTED_VALUE"""),14.38)</f>
        <v>14.38</v>
      </c>
      <c r="C153" s="1">
        <f ca="1">IFERROR(__xludf.DUMMYFUNCTION("""COMPUTED_VALUE"""),14.41)</f>
        <v>14.41</v>
      </c>
      <c r="D153" s="1">
        <f ca="1">IFERROR(__xludf.DUMMYFUNCTION("""COMPUTED_VALUE"""),13.79)</f>
        <v>13.79</v>
      </c>
      <c r="E153" s="1">
        <f ca="1">IFERROR(__xludf.DUMMYFUNCTION("""COMPUTED_VALUE"""),13.93)</f>
        <v>13.93</v>
      </c>
      <c r="F153" s="1">
        <f ca="1">IFERROR(__xludf.DUMMYFUNCTION("""COMPUTED_VALUE"""),4776383)</f>
        <v>4776383</v>
      </c>
      <c r="G153" s="5">
        <f t="shared" ca="1" si="6"/>
        <v>-1.4357501794687419E-3</v>
      </c>
      <c r="H153" s="14">
        <f t="shared" si="7"/>
        <v>2016</v>
      </c>
      <c r="I153" s="5">
        <f t="shared" ca="1" si="8"/>
        <v>-3.1293463143254589E-2</v>
      </c>
      <c r="J153" s="16"/>
    </row>
    <row r="154" spans="1:10" x14ac:dyDescent="0.2">
      <c r="A154" s="3">
        <v>42500</v>
      </c>
      <c r="B154" s="1">
        <f ca="1">IFERROR(__xludf.DUMMYFUNCTION("""COMPUTED_VALUE"""),13.84)</f>
        <v>13.84</v>
      </c>
      <c r="C154" s="1">
        <f ca="1">IFERROR(__xludf.DUMMYFUNCTION("""COMPUTED_VALUE"""),13.96)</f>
        <v>13.96</v>
      </c>
      <c r="D154" s="1">
        <f ca="1">IFERROR(__xludf.DUMMYFUNCTION("""COMPUTED_VALUE"""),13.67)</f>
        <v>13.67</v>
      </c>
      <c r="E154" s="1">
        <f ca="1">IFERROR(__xludf.DUMMYFUNCTION("""COMPUTED_VALUE"""),13.91)</f>
        <v>13.91</v>
      </c>
      <c r="F154" s="1">
        <f ca="1">IFERROR(__xludf.DUMMYFUNCTION("""COMPUTED_VALUE"""),4070617)</f>
        <v>4070617</v>
      </c>
      <c r="G154" s="5">
        <f t="shared" ca="1" si="6"/>
        <v>1.4378145219266407E-3</v>
      </c>
      <c r="H154" s="14">
        <f t="shared" si="7"/>
        <v>2016</v>
      </c>
      <c r="I154" s="5">
        <f t="shared" ca="1" si="8"/>
        <v>5.0578034682081134E-3</v>
      </c>
      <c r="J154" s="16"/>
    </row>
    <row r="155" spans="1:10" x14ac:dyDescent="0.2">
      <c r="A155" s="3">
        <v>42501</v>
      </c>
      <c r="B155" s="1">
        <f ca="1">IFERROR(__xludf.DUMMYFUNCTION("""COMPUTED_VALUE"""),13.84)</f>
        <v>13.84</v>
      </c>
      <c r="C155" s="1">
        <f ca="1">IFERROR(__xludf.DUMMYFUNCTION("""COMPUTED_VALUE"""),14.37)</f>
        <v>14.37</v>
      </c>
      <c r="D155" s="1">
        <f ca="1">IFERROR(__xludf.DUMMYFUNCTION("""COMPUTED_VALUE"""),13.74)</f>
        <v>13.74</v>
      </c>
      <c r="E155" s="1">
        <f ca="1">IFERROR(__xludf.DUMMYFUNCTION("""COMPUTED_VALUE"""),13.93)</f>
        <v>13.93</v>
      </c>
      <c r="F155" s="1">
        <f ca="1">IFERROR(__xludf.DUMMYFUNCTION("""COMPUTED_VALUE"""),5161864)</f>
        <v>5161864</v>
      </c>
      <c r="G155" s="5">
        <f t="shared" ca="1" si="6"/>
        <v>-7.8966259870782082E-3</v>
      </c>
      <c r="H155" s="14">
        <f t="shared" si="7"/>
        <v>2016</v>
      </c>
      <c r="I155" s="5">
        <f t="shared" ca="1" si="8"/>
        <v>6.5028901734103944E-3</v>
      </c>
      <c r="J155" s="16"/>
    </row>
    <row r="156" spans="1:10" x14ac:dyDescent="0.2">
      <c r="A156" s="3">
        <v>42502</v>
      </c>
      <c r="B156" s="1">
        <f ca="1">IFERROR(__xludf.DUMMYFUNCTION("""COMPUTED_VALUE"""),14.1)</f>
        <v>14.1</v>
      </c>
      <c r="C156" s="1">
        <f ca="1">IFERROR(__xludf.DUMMYFUNCTION("""COMPUTED_VALUE"""),14.11)</f>
        <v>14.11</v>
      </c>
      <c r="D156" s="1">
        <f ca="1">IFERROR(__xludf.DUMMYFUNCTION("""COMPUTED_VALUE"""),13.58)</f>
        <v>13.58</v>
      </c>
      <c r="E156" s="1">
        <f ca="1">IFERROR(__xludf.DUMMYFUNCTION("""COMPUTED_VALUE"""),13.82)</f>
        <v>13.82</v>
      </c>
      <c r="F156" s="1">
        <f ca="1">IFERROR(__xludf.DUMMYFUNCTION("""COMPUTED_VALUE"""),3650475)</f>
        <v>3650475</v>
      </c>
      <c r="G156" s="5">
        <f t="shared" ca="1" si="6"/>
        <v>1.4471780028943251E-3</v>
      </c>
      <c r="H156" s="14">
        <f t="shared" si="7"/>
        <v>2016</v>
      </c>
      <c r="I156" s="5">
        <f t="shared" ca="1" si="8"/>
        <v>-1.985815602836875E-2</v>
      </c>
      <c r="J156" s="16"/>
    </row>
    <row r="157" spans="1:10" x14ac:dyDescent="0.2">
      <c r="A157" s="3">
        <v>42503</v>
      </c>
      <c r="B157" s="1">
        <f ca="1">IFERROR(__xludf.DUMMYFUNCTION("""COMPUTED_VALUE"""),13.85)</f>
        <v>13.85</v>
      </c>
      <c r="C157" s="1">
        <f ca="1">IFERROR(__xludf.DUMMYFUNCTION("""COMPUTED_VALUE"""),14.08)</f>
        <v>14.08</v>
      </c>
      <c r="D157" s="1">
        <f ca="1">IFERROR(__xludf.DUMMYFUNCTION("""COMPUTED_VALUE"""),13.78)</f>
        <v>13.78</v>
      </c>
      <c r="E157" s="1">
        <f ca="1">IFERROR(__xludf.DUMMYFUNCTION("""COMPUTED_VALUE"""),13.84)</f>
        <v>13.84</v>
      </c>
      <c r="F157" s="1">
        <f ca="1">IFERROR(__xludf.DUMMYFUNCTION("""COMPUTED_VALUE"""),2822781)</f>
        <v>2822781</v>
      </c>
      <c r="G157" s="5">
        <f t="shared" ca="1" si="6"/>
        <v>3.6127167630058319E-3</v>
      </c>
      <c r="H157" s="14">
        <f t="shared" si="7"/>
        <v>2016</v>
      </c>
      <c r="I157" s="5">
        <f t="shared" ca="1" si="8"/>
        <v>-7.2202166064980417E-4</v>
      </c>
      <c r="J157" s="16"/>
    </row>
    <row r="158" spans="1:10" x14ac:dyDescent="0.2">
      <c r="A158" s="3">
        <v>42506</v>
      </c>
      <c r="B158" s="1">
        <f ca="1">IFERROR(__xludf.DUMMYFUNCTION("""COMPUTED_VALUE"""),13.88)</f>
        <v>13.88</v>
      </c>
      <c r="C158" s="1">
        <f ca="1">IFERROR(__xludf.DUMMYFUNCTION("""COMPUTED_VALUE"""),14.21)</f>
        <v>14.21</v>
      </c>
      <c r="D158" s="1">
        <f ca="1">IFERROR(__xludf.DUMMYFUNCTION("""COMPUTED_VALUE"""),13.86)</f>
        <v>13.86</v>
      </c>
      <c r="E158" s="1">
        <f ca="1">IFERROR(__xludf.DUMMYFUNCTION("""COMPUTED_VALUE"""),13.89)</f>
        <v>13.89</v>
      </c>
      <c r="F158" s="1">
        <f ca="1">IFERROR(__xludf.DUMMYFUNCTION("""COMPUTED_VALUE"""),2949396)</f>
        <v>2949396</v>
      </c>
      <c r="G158" s="5">
        <f t="shared" ca="1" si="6"/>
        <v>-1.7998560115190784E-2</v>
      </c>
      <c r="H158" s="14">
        <f t="shared" si="7"/>
        <v>2016</v>
      </c>
      <c r="I158" s="5">
        <f t="shared" ca="1" si="8"/>
        <v>7.2046109510084911E-4</v>
      </c>
      <c r="J158" s="16"/>
    </row>
    <row r="159" spans="1:10" x14ac:dyDescent="0.2">
      <c r="A159" s="3">
        <v>42507</v>
      </c>
      <c r="B159" s="1">
        <f ca="1">IFERROR(__xludf.DUMMYFUNCTION("""COMPUTED_VALUE"""),13.94)</f>
        <v>13.94</v>
      </c>
      <c r="C159" s="1">
        <f ca="1">IFERROR(__xludf.DUMMYFUNCTION("""COMPUTED_VALUE"""),13.99)</f>
        <v>13.99</v>
      </c>
      <c r="D159" s="1">
        <f ca="1">IFERROR(__xludf.DUMMYFUNCTION("""COMPUTED_VALUE"""),13.6)</f>
        <v>13.6</v>
      </c>
      <c r="E159" s="1">
        <f ca="1">IFERROR(__xludf.DUMMYFUNCTION("""COMPUTED_VALUE"""),13.64)</f>
        <v>13.64</v>
      </c>
      <c r="F159" s="1">
        <f ca="1">IFERROR(__xludf.DUMMYFUNCTION("""COMPUTED_VALUE"""),2843597)</f>
        <v>2843597</v>
      </c>
      <c r="G159" s="5">
        <f t="shared" ca="1" si="6"/>
        <v>3.2258064516128997E-2</v>
      </c>
      <c r="H159" s="14">
        <f t="shared" si="7"/>
        <v>2016</v>
      </c>
      <c r="I159" s="5">
        <f t="shared" ca="1" si="8"/>
        <v>-2.1520803443328476E-2</v>
      </c>
      <c r="J159" s="16"/>
    </row>
    <row r="160" spans="1:10" x14ac:dyDescent="0.2">
      <c r="A160" s="3">
        <v>42508</v>
      </c>
      <c r="B160" s="1">
        <f ca="1">IFERROR(__xludf.DUMMYFUNCTION("""COMPUTED_VALUE"""),13.94)</f>
        <v>13.94</v>
      </c>
      <c r="C160" s="1">
        <f ca="1">IFERROR(__xludf.DUMMYFUNCTION("""COMPUTED_VALUE"""),14.35)</f>
        <v>14.35</v>
      </c>
      <c r="D160" s="1">
        <f ca="1">IFERROR(__xludf.DUMMYFUNCTION("""COMPUTED_VALUE"""),13.85)</f>
        <v>13.85</v>
      </c>
      <c r="E160" s="1">
        <f ca="1">IFERROR(__xludf.DUMMYFUNCTION("""COMPUTED_VALUE"""),14.08)</f>
        <v>14.08</v>
      </c>
      <c r="F160" s="1">
        <f ca="1">IFERROR(__xludf.DUMMYFUNCTION("""COMPUTED_VALUE"""),5617519)</f>
        <v>5617519</v>
      </c>
      <c r="G160" s="5">
        <f t="shared" ca="1" si="6"/>
        <v>1.9176136363636333E-2</v>
      </c>
      <c r="H160" s="14">
        <f t="shared" si="7"/>
        <v>2016</v>
      </c>
      <c r="I160" s="5">
        <f t="shared" ca="1" si="8"/>
        <v>1.0043041606886698E-2</v>
      </c>
      <c r="J160" s="16"/>
    </row>
    <row r="161" spans="1:10" x14ac:dyDescent="0.2">
      <c r="A161" s="3">
        <v>42509</v>
      </c>
      <c r="B161" s="1">
        <f ca="1">IFERROR(__xludf.DUMMYFUNCTION("""COMPUTED_VALUE"""),14.24)</f>
        <v>14.24</v>
      </c>
      <c r="C161" s="1">
        <f ca="1">IFERROR(__xludf.DUMMYFUNCTION("""COMPUTED_VALUE"""),14.45)</f>
        <v>14.45</v>
      </c>
      <c r="D161" s="1">
        <f ca="1">IFERROR(__xludf.DUMMYFUNCTION("""COMPUTED_VALUE"""),13.82)</f>
        <v>13.82</v>
      </c>
      <c r="E161" s="1">
        <f ca="1">IFERROR(__xludf.DUMMYFUNCTION("""COMPUTED_VALUE"""),14.35)</f>
        <v>14.35</v>
      </c>
      <c r="F161" s="1">
        <f ca="1">IFERROR(__xludf.DUMMYFUNCTION("""COMPUTED_VALUE"""),6866321)</f>
        <v>6866321</v>
      </c>
      <c r="G161" s="5">
        <f t="shared" ca="1" si="6"/>
        <v>2.3693379790940758E-2</v>
      </c>
      <c r="H161" s="14">
        <f t="shared" si="7"/>
        <v>2016</v>
      </c>
      <c r="I161" s="5">
        <f t="shared" ca="1" si="8"/>
        <v>7.7247191011235554E-3</v>
      </c>
      <c r="J161" s="16"/>
    </row>
    <row r="162" spans="1:10" x14ac:dyDescent="0.2">
      <c r="A162" s="3">
        <v>42510</v>
      </c>
      <c r="B162" s="1">
        <f ca="1">IFERROR(__xludf.DUMMYFUNCTION("""COMPUTED_VALUE"""),14.47)</f>
        <v>14.47</v>
      </c>
      <c r="C162" s="1">
        <f ca="1">IFERROR(__xludf.DUMMYFUNCTION("""COMPUTED_VALUE"""),14.7)</f>
        <v>14.7</v>
      </c>
      <c r="D162" s="1">
        <f ca="1">IFERROR(__xludf.DUMMYFUNCTION("""COMPUTED_VALUE"""),14.42)</f>
        <v>14.42</v>
      </c>
      <c r="E162" s="1">
        <f ca="1">IFERROR(__xludf.DUMMYFUNCTION("""COMPUTED_VALUE"""),14.69)</f>
        <v>14.69</v>
      </c>
      <c r="F162" s="1">
        <f ca="1">IFERROR(__xludf.DUMMYFUNCTION("""COMPUTED_VALUE"""),9007076)</f>
        <v>9007076</v>
      </c>
      <c r="G162" s="5">
        <f t="shared" ca="1" si="6"/>
        <v>-1.9060585432266804E-2</v>
      </c>
      <c r="H162" s="14">
        <f t="shared" si="7"/>
        <v>2016</v>
      </c>
      <c r="I162" s="5">
        <f t="shared" ca="1" si="8"/>
        <v>1.520387007601927E-2</v>
      </c>
      <c r="J162" s="16"/>
    </row>
    <row r="163" spans="1:10" x14ac:dyDescent="0.2">
      <c r="A163" s="3">
        <v>42513</v>
      </c>
      <c r="B163" s="1">
        <f ca="1">IFERROR(__xludf.DUMMYFUNCTION("""COMPUTED_VALUE"""),14.66)</f>
        <v>14.66</v>
      </c>
      <c r="C163" s="1">
        <f ca="1">IFERROR(__xludf.DUMMYFUNCTION("""COMPUTED_VALUE"""),14.84)</f>
        <v>14.84</v>
      </c>
      <c r="D163" s="1">
        <f ca="1">IFERROR(__xludf.DUMMYFUNCTION("""COMPUTED_VALUE"""),14.39)</f>
        <v>14.39</v>
      </c>
      <c r="E163" s="1">
        <f ca="1">IFERROR(__xludf.DUMMYFUNCTION("""COMPUTED_VALUE"""),14.41)</f>
        <v>14.41</v>
      </c>
      <c r="F163" s="1">
        <f ca="1">IFERROR(__xludf.DUMMYFUNCTION("""COMPUTED_VALUE"""),5102479)</f>
        <v>5102479</v>
      </c>
      <c r="G163" s="5">
        <f t="shared" ca="1" si="6"/>
        <v>8.3275503122830826E-3</v>
      </c>
      <c r="H163" s="14">
        <f t="shared" si="7"/>
        <v>2016</v>
      </c>
      <c r="I163" s="5">
        <f t="shared" ca="1" si="8"/>
        <v>-1.7053206002728513E-2</v>
      </c>
      <c r="J163" s="16"/>
    </row>
    <row r="164" spans="1:10" x14ac:dyDescent="0.2">
      <c r="A164" s="3">
        <v>42514</v>
      </c>
      <c r="B164" s="1">
        <f ca="1">IFERROR(__xludf.DUMMYFUNCTION("""COMPUTED_VALUE"""),14.44)</f>
        <v>14.44</v>
      </c>
      <c r="C164" s="1">
        <f ca="1">IFERROR(__xludf.DUMMYFUNCTION("""COMPUTED_VALUE"""),14.58)</f>
        <v>14.58</v>
      </c>
      <c r="D164" s="1">
        <f ca="1">IFERROR(__xludf.DUMMYFUNCTION("""COMPUTED_VALUE"""),14.35)</f>
        <v>14.35</v>
      </c>
      <c r="E164" s="1">
        <f ca="1">IFERROR(__xludf.DUMMYFUNCTION("""COMPUTED_VALUE"""),14.53)</f>
        <v>14.53</v>
      </c>
      <c r="F164" s="1">
        <f ca="1">IFERROR(__xludf.DUMMYFUNCTION("""COMPUTED_VALUE"""),3013843)</f>
        <v>3013843</v>
      </c>
      <c r="G164" s="5">
        <f t="shared" ca="1" si="6"/>
        <v>7.570543702684185E-3</v>
      </c>
      <c r="H164" s="14">
        <f t="shared" si="7"/>
        <v>2016</v>
      </c>
      <c r="I164" s="5">
        <f t="shared" ca="1" si="8"/>
        <v>6.2326869806094091E-3</v>
      </c>
      <c r="J164" s="16"/>
    </row>
    <row r="165" spans="1:10" x14ac:dyDescent="0.2">
      <c r="A165" s="3">
        <v>42515</v>
      </c>
      <c r="B165" s="1">
        <f ca="1">IFERROR(__xludf.DUMMYFUNCTION("""COMPUTED_VALUE"""),14.53)</f>
        <v>14.53</v>
      </c>
      <c r="C165" s="1">
        <f ca="1">IFERROR(__xludf.DUMMYFUNCTION("""COMPUTED_VALUE"""),14.76)</f>
        <v>14.76</v>
      </c>
      <c r="D165" s="1">
        <f ca="1">IFERROR(__xludf.DUMMYFUNCTION("""COMPUTED_VALUE"""),14.43)</f>
        <v>14.43</v>
      </c>
      <c r="E165" s="1">
        <f ca="1">IFERROR(__xludf.DUMMYFUNCTION("""COMPUTED_VALUE"""),14.64)</f>
        <v>14.64</v>
      </c>
      <c r="F165" s="1">
        <f ca="1">IFERROR(__xludf.DUMMYFUNCTION("""COMPUTED_VALUE"""),3132615)</f>
        <v>3132615</v>
      </c>
      <c r="G165" s="5">
        <f t="shared" ca="1" si="6"/>
        <v>2.5273224043715792E-2</v>
      </c>
      <c r="H165" s="14">
        <f t="shared" si="7"/>
        <v>2016</v>
      </c>
      <c r="I165" s="5">
        <f t="shared" ca="1" si="8"/>
        <v>7.570543702684185E-3</v>
      </c>
      <c r="J165" s="16"/>
    </row>
    <row r="166" spans="1:10" x14ac:dyDescent="0.2">
      <c r="A166" s="3">
        <v>42516</v>
      </c>
      <c r="B166" s="1">
        <f ca="1">IFERROR(__xludf.DUMMYFUNCTION("""COMPUTED_VALUE"""),14.7)</f>
        <v>14.7</v>
      </c>
      <c r="C166" s="1">
        <f ca="1">IFERROR(__xludf.DUMMYFUNCTION("""COMPUTED_VALUE"""),15.02)</f>
        <v>15.02</v>
      </c>
      <c r="D166" s="1">
        <f ca="1">IFERROR(__xludf.DUMMYFUNCTION("""COMPUTED_VALUE"""),14.6)</f>
        <v>14.6</v>
      </c>
      <c r="E166" s="1">
        <f ca="1">IFERROR(__xludf.DUMMYFUNCTION("""COMPUTED_VALUE"""),15.01)</f>
        <v>15.01</v>
      </c>
      <c r="F166" s="1">
        <f ca="1">IFERROR(__xludf.DUMMYFUNCTION("""COMPUTED_VALUE"""),4072424)</f>
        <v>4072424</v>
      </c>
      <c r="G166" s="5">
        <f t="shared" ca="1" si="6"/>
        <v>-9.327115256495707E-3</v>
      </c>
      <c r="H166" s="14">
        <f t="shared" si="7"/>
        <v>2016</v>
      </c>
      <c r="I166" s="5">
        <f t="shared" ca="1" si="8"/>
        <v>2.1088435374149693E-2</v>
      </c>
      <c r="J166" s="16"/>
    </row>
    <row r="167" spans="1:10" x14ac:dyDescent="0.2">
      <c r="A167" s="3">
        <v>42517</v>
      </c>
      <c r="B167" s="1">
        <f ca="1">IFERROR(__xludf.DUMMYFUNCTION("""COMPUTED_VALUE"""),15)</f>
        <v>15</v>
      </c>
      <c r="C167" s="1">
        <f ca="1">IFERROR(__xludf.DUMMYFUNCTION("""COMPUTED_VALUE"""),15.06)</f>
        <v>15.06</v>
      </c>
      <c r="D167" s="1">
        <f ca="1">IFERROR(__xludf.DUMMYFUNCTION("""COMPUTED_VALUE"""),14.72)</f>
        <v>14.72</v>
      </c>
      <c r="E167" s="1">
        <f ca="1">IFERROR(__xludf.DUMMYFUNCTION("""COMPUTED_VALUE"""),14.87)</f>
        <v>14.87</v>
      </c>
      <c r="F167" s="1">
        <f ca="1">IFERROR(__xludf.DUMMYFUNCTION("""COMPUTED_VALUE"""),3650272)</f>
        <v>3650272</v>
      </c>
      <c r="G167" s="5">
        <f t="shared" ca="1" si="6"/>
        <v>6.72494956287933E-4</v>
      </c>
      <c r="H167" s="14">
        <f t="shared" si="7"/>
        <v>2016</v>
      </c>
      <c r="I167" s="5">
        <f t="shared" ca="1" si="8"/>
        <v>-8.6666666666667183E-3</v>
      </c>
      <c r="J167" s="16"/>
    </row>
    <row r="168" spans="1:10" x14ac:dyDescent="0.2">
      <c r="A168" s="3">
        <v>42521</v>
      </c>
      <c r="B168" s="1">
        <f ca="1">IFERROR(__xludf.DUMMYFUNCTION("""COMPUTED_VALUE"""),14.87)</f>
        <v>14.87</v>
      </c>
      <c r="C168" s="1">
        <f ca="1">IFERROR(__xludf.DUMMYFUNCTION("""COMPUTED_VALUE"""),14.98)</f>
        <v>14.98</v>
      </c>
      <c r="D168" s="1">
        <f ca="1">IFERROR(__xludf.DUMMYFUNCTION("""COMPUTED_VALUE"""),14.77)</f>
        <v>14.77</v>
      </c>
      <c r="E168" s="1">
        <f ca="1">IFERROR(__xludf.DUMMYFUNCTION("""COMPUTED_VALUE"""),14.88)</f>
        <v>14.88</v>
      </c>
      <c r="F168" s="1">
        <f ca="1">IFERROR(__xludf.DUMMYFUNCTION("""COMPUTED_VALUE"""),2789002)</f>
        <v>2789002</v>
      </c>
      <c r="G168" s="5">
        <f t="shared" ca="1" si="6"/>
        <v>-1.612903225806453E-2</v>
      </c>
      <c r="H168" s="14">
        <f t="shared" si="7"/>
        <v>2016</v>
      </c>
      <c r="I168" s="5">
        <f t="shared" ca="1" si="8"/>
        <v>6.72494956287933E-4</v>
      </c>
      <c r="J168" s="16"/>
    </row>
    <row r="169" spans="1:10" x14ac:dyDescent="0.2">
      <c r="A169" s="3">
        <v>42522</v>
      </c>
      <c r="B169" s="1">
        <f ca="1">IFERROR(__xludf.DUMMYFUNCTION("""COMPUTED_VALUE"""),14.77)</f>
        <v>14.77</v>
      </c>
      <c r="C169" s="1">
        <f ca="1">IFERROR(__xludf.DUMMYFUNCTION("""COMPUTED_VALUE"""),14.83)</f>
        <v>14.83</v>
      </c>
      <c r="D169" s="1">
        <f ca="1">IFERROR(__xludf.DUMMYFUNCTION("""COMPUTED_VALUE"""),14.46)</f>
        <v>14.46</v>
      </c>
      <c r="E169" s="1">
        <f ca="1">IFERROR(__xludf.DUMMYFUNCTION("""COMPUTED_VALUE"""),14.64)</f>
        <v>14.64</v>
      </c>
      <c r="F169" s="1">
        <f ca="1">IFERROR(__xludf.DUMMYFUNCTION("""COMPUTED_VALUE"""),2982695)</f>
        <v>2982695</v>
      </c>
      <c r="G169" s="5">
        <f t="shared" ca="1" si="6"/>
        <v>-2.7322404371585328E-3</v>
      </c>
      <c r="H169" s="14">
        <f t="shared" si="7"/>
        <v>2016</v>
      </c>
      <c r="I169" s="5">
        <f t="shared" ca="1" si="8"/>
        <v>-8.801624915368924E-3</v>
      </c>
      <c r="J169" s="16"/>
    </row>
    <row r="170" spans="1:10" x14ac:dyDescent="0.2">
      <c r="A170" s="3">
        <v>42523</v>
      </c>
      <c r="B170" s="1">
        <f ca="1">IFERROR(__xludf.DUMMYFUNCTION("""COMPUTED_VALUE"""),14.64)</f>
        <v>14.64</v>
      </c>
      <c r="C170" s="1">
        <f ca="1">IFERROR(__xludf.DUMMYFUNCTION("""COMPUTED_VALUE"""),14.66)</f>
        <v>14.66</v>
      </c>
      <c r="D170" s="1">
        <f ca="1">IFERROR(__xludf.DUMMYFUNCTION("""COMPUTED_VALUE"""),14.47)</f>
        <v>14.47</v>
      </c>
      <c r="E170" s="1">
        <f ca="1">IFERROR(__xludf.DUMMYFUNCTION("""COMPUTED_VALUE"""),14.6)</f>
        <v>14.6</v>
      </c>
      <c r="F170" s="1">
        <f ca="1">IFERROR(__xludf.DUMMYFUNCTION("""COMPUTED_VALUE"""),2032832)</f>
        <v>2032832</v>
      </c>
      <c r="G170" s="5">
        <f t="shared" ca="1" si="6"/>
        <v>0</v>
      </c>
      <c r="H170" s="14">
        <f t="shared" si="7"/>
        <v>2016</v>
      </c>
      <c r="I170" s="5">
        <f t="shared" ca="1" si="8"/>
        <v>-2.7322404371585328E-3</v>
      </c>
      <c r="J170" s="16"/>
    </row>
    <row r="171" spans="1:10" x14ac:dyDescent="0.2">
      <c r="A171" s="3">
        <v>42524</v>
      </c>
      <c r="B171" s="1">
        <f ca="1">IFERROR(__xludf.DUMMYFUNCTION("""COMPUTED_VALUE"""),14.67)</f>
        <v>14.67</v>
      </c>
      <c r="C171" s="1">
        <f ca="1">IFERROR(__xludf.DUMMYFUNCTION("""COMPUTED_VALUE"""),14.8)</f>
        <v>14.8</v>
      </c>
      <c r="D171" s="1">
        <f ca="1">IFERROR(__xludf.DUMMYFUNCTION("""COMPUTED_VALUE"""),14.53)</f>
        <v>14.53</v>
      </c>
      <c r="E171" s="1">
        <f ca="1">IFERROR(__xludf.DUMMYFUNCTION("""COMPUTED_VALUE"""),14.6)</f>
        <v>14.6</v>
      </c>
      <c r="F171" s="1">
        <f ca="1">IFERROR(__xludf.DUMMYFUNCTION("""COMPUTED_VALUE"""),2228970)</f>
        <v>2228970</v>
      </c>
      <c r="G171" s="5">
        <f t="shared" ca="1" si="6"/>
        <v>7.5342465753425484E-3</v>
      </c>
      <c r="H171" s="14">
        <f t="shared" si="7"/>
        <v>2016</v>
      </c>
      <c r="I171" s="5">
        <f t="shared" ca="1" si="8"/>
        <v>-4.7716428084526438E-3</v>
      </c>
      <c r="J171" s="16"/>
    </row>
    <row r="172" spans="1:10" x14ac:dyDescent="0.2">
      <c r="A172" s="3">
        <v>42527</v>
      </c>
      <c r="B172" s="1">
        <f ca="1">IFERROR(__xludf.DUMMYFUNCTION("""COMPUTED_VALUE"""),14.53)</f>
        <v>14.53</v>
      </c>
      <c r="C172" s="1">
        <f ca="1">IFERROR(__xludf.DUMMYFUNCTION("""COMPUTED_VALUE"""),14.73)</f>
        <v>14.73</v>
      </c>
      <c r="D172" s="1">
        <f ca="1">IFERROR(__xludf.DUMMYFUNCTION("""COMPUTED_VALUE"""),14.36)</f>
        <v>14.36</v>
      </c>
      <c r="E172" s="1">
        <f ca="1">IFERROR(__xludf.DUMMYFUNCTION("""COMPUTED_VALUE"""),14.71)</f>
        <v>14.71</v>
      </c>
      <c r="F172" s="1">
        <f ca="1">IFERROR(__xludf.DUMMYFUNCTION("""COMPUTED_VALUE"""),2249508)</f>
        <v>2249508</v>
      </c>
      <c r="G172" s="5">
        <f t="shared" ca="1" si="6"/>
        <v>5.3025152957171945E-2</v>
      </c>
      <c r="H172" s="14">
        <f t="shared" si="7"/>
        <v>2016</v>
      </c>
      <c r="I172" s="5">
        <f t="shared" ca="1" si="8"/>
        <v>1.2388162422574088E-2</v>
      </c>
      <c r="J172" s="16"/>
    </row>
    <row r="173" spans="1:10" x14ac:dyDescent="0.2">
      <c r="A173" s="3">
        <v>42528</v>
      </c>
      <c r="B173" s="1">
        <f ca="1">IFERROR(__xludf.DUMMYFUNCTION("""COMPUTED_VALUE"""),14.82)</f>
        <v>14.82</v>
      </c>
      <c r="C173" s="1">
        <f ca="1">IFERROR(__xludf.DUMMYFUNCTION("""COMPUTED_VALUE"""),15.63)</f>
        <v>15.63</v>
      </c>
      <c r="D173" s="1">
        <f ca="1">IFERROR(__xludf.DUMMYFUNCTION("""COMPUTED_VALUE"""),14.77)</f>
        <v>14.77</v>
      </c>
      <c r="E173" s="1">
        <f ca="1">IFERROR(__xludf.DUMMYFUNCTION("""COMPUTED_VALUE"""),15.49)</f>
        <v>15.49</v>
      </c>
      <c r="F173" s="1">
        <f ca="1">IFERROR(__xludf.DUMMYFUNCTION("""COMPUTED_VALUE"""),6213573)</f>
        <v>6213573</v>
      </c>
      <c r="G173" s="5">
        <f t="shared" ca="1" si="6"/>
        <v>1.3557133634602909E-2</v>
      </c>
      <c r="H173" s="14">
        <f t="shared" si="7"/>
        <v>2016</v>
      </c>
      <c r="I173" s="5">
        <f t="shared" ca="1" si="8"/>
        <v>4.5209176788124153E-2</v>
      </c>
      <c r="J173" s="16"/>
    </row>
    <row r="174" spans="1:10" x14ac:dyDescent="0.2">
      <c r="A174" s="3">
        <v>42529</v>
      </c>
      <c r="B174" s="1">
        <f ca="1">IFERROR(__xludf.DUMMYFUNCTION("""COMPUTED_VALUE"""),15.59)</f>
        <v>15.59</v>
      </c>
      <c r="C174" s="1">
        <f ca="1">IFERROR(__xludf.DUMMYFUNCTION("""COMPUTED_VALUE"""),16.06)</f>
        <v>16.059999999999999</v>
      </c>
      <c r="D174" s="1">
        <f ca="1">IFERROR(__xludf.DUMMYFUNCTION("""COMPUTED_VALUE"""),15.51)</f>
        <v>15.51</v>
      </c>
      <c r="E174" s="1">
        <f ca="1">IFERROR(__xludf.DUMMYFUNCTION("""COMPUTED_VALUE"""),15.7)</f>
        <v>15.7</v>
      </c>
      <c r="F174" s="1">
        <f ca="1">IFERROR(__xludf.DUMMYFUNCTION("""COMPUTED_VALUE"""),5971995)</f>
        <v>5971995</v>
      </c>
      <c r="G174" s="5">
        <f t="shared" ca="1" si="6"/>
        <v>-2.6114649681528674E-2</v>
      </c>
      <c r="H174" s="14">
        <f t="shared" si="7"/>
        <v>2016</v>
      </c>
      <c r="I174" s="5">
        <f t="shared" ca="1" si="8"/>
        <v>7.0558050032071473E-3</v>
      </c>
      <c r="J174" s="16"/>
    </row>
    <row r="175" spans="1:10" x14ac:dyDescent="0.2">
      <c r="A175" s="3">
        <v>42530</v>
      </c>
      <c r="B175" s="1">
        <f ca="1">IFERROR(__xludf.DUMMYFUNCTION("""COMPUTED_VALUE"""),15.67)</f>
        <v>15.67</v>
      </c>
      <c r="C175" s="1">
        <f ca="1">IFERROR(__xludf.DUMMYFUNCTION("""COMPUTED_VALUE"""),15.69)</f>
        <v>15.69</v>
      </c>
      <c r="D175" s="1">
        <f ca="1">IFERROR(__xludf.DUMMYFUNCTION("""COMPUTED_VALUE"""),15.14)</f>
        <v>15.14</v>
      </c>
      <c r="E175" s="1">
        <f ca="1">IFERROR(__xludf.DUMMYFUNCTION("""COMPUTED_VALUE"""),15.29)</f>
        <v>15.29</v>
      </c>
      <c r="F175" s="1">
        <f ca="1">IFERROR(__xludf.DUMMYFUNCTION("""COMPUTED_VALUE"""),4492075)</f>
        <v>4492075</v>
      </c>
      <c r="G175" s="5">
        <f t="shared" ca="1" si="6"/>
        <v>-4.5781556572923439E-2</v>
      </c>
      <c r="H175" s="14">
        <f t="shared" si="7"/>
        <v>2016</v>
      </c>
      <c r="I175" s="5">
        <f t="shared" ca="1" si="8"/>
        <v>-2.4250159540523342E-2</v>
      </c>
      <c r="J175" s="16"/>
    </row>
    <row r="176" spans="1:10" x14ac:dyDescent="0.2">
      <c r="A176" s="3">
        <v>42531</v>
      </c>
      <c r="B176" s="1">
        <f ca="1">IFERROR(__xludf.DUMMYFUNCTION("""COMPUTED_VALUE"""),15.16)</f>
        <v>15.16</v>
      </c>
      <c r="C176" s="1">
        <f ca="1">IFERROR(__xludf.DUMMYFUNCTION("""COMPUTED_VALUE"""),15.2)</f>
        <v>15.2</v>
      </c>
      <c r="D176" s="1">
        <f ca="1">IFERROR(__xludf.DUMMYFUNCTION("""COMPUTED_VALUE"""),14.56)</f>
        <v>14.56</v>
      </c>
      <c r="E176" s="1">
        <f ca="1">IFERROR(__xludf.DUMMYFUNCTION("""COMPUTED_VALUE"""),14.59)</f>
        <v>14.59</v>
      </c>
      <c r="F176" s="1">
        <f ca="1">IFERROR(__xludf.DUMMYFUNCTION("""COMPUTED_VALUE"""),6026603)</f>
        <v>6026603</v>
      </c>
      <c r="G176" s="5">
        <f t="shared" ca="1" si="6"/>
        <v>-4.7978067169294229E-3</v>
      </c>
      <c r="H176" s="14">
        <f t="shared" si="7"/>
        <v>2016</v>
      </c>
      <c r="I176" s="5">
        <f t="shared" ca="1" si="8"/>
        <v>-3.759894459102904E-2</v>
      </c>
      <c r="J176" s="16"/>
    </row>
    <row r="177" spans="1:10" x14ac:dyDescent="0.2">
      <c r="A177" s="3">
        <v>42534</v>
      </c>
      <c r="B177" s="1">
        <f ca="1">IFERROR(__xludf.DUMMYFUNCTION("""COMPUTED_VALUE"""),14.63)</f>
        <v>14.63</v>
      </c>
      <c r="C177" s="1">
        <f ca="1">IFERROR(__xludf.DUMMYFUNCTION("""COMPUTED_VALUE"""),15.05)</f>
        <v>15.05</v>
      </c>
      <c r="D177" s="1">
        <f ca="1">IFERROR(__xludf.DUMMYFUNCTION("""COMPUTED_VALUE"""),14.51)</f>
        <v>14.51</v>
      </c>
      <c r="E177" s="1">
        <f ca="1">IFERROR(__xludf.DUMMYFUNCTION("""COMPUTED_VALUE"""),14.52)</f>
        <v>14.52</v>
      </c>
      <c r="F177" s="1">
        <f ca="1">IFERROR(__xludf.DUMMYFUNCTION("""COMPUTED_VALUE"""),4193022)</f>
        <v>4193022</v>
      </c>
      <c r="G177" s="5">
        <f t="shared" ca="1" si="6"/>
        <v>-1.3085399449035778E-2</v>
      </c>
      <c r="H177" s="14">
        <f t="shared" si="7"/>
        <v>2016</v>
      </c>
      <c r="I177" s="5">
        <f t="shared" ca="1" si="8"/>
        <v>-7.518796992481285E-3</v>
      </c>
      <c r="J177" s="16"/>
    </row>
    <row r="178" spans="1:10" x14ac:dyDescent="0.2">
      <c r="A178" s="3">
        <v>42535</v>
      </c>
      <c r="B178" s="1">
        <f ca="1">IFERROR(__xludf.DUMMYFUNCTION("""COMPUTED_VALUE"""),14.59)</f>
        <v>14.59</v>
      </c>
      <c r="C178" s="1">
        <f ca="1">IFERROR(__xludf.DUMMYFUNCTION("""COMPUTED_VALUE"""),14.81)</f>
        <v>14.81</v>
      </c>
      <c r="D178" s="1">
        <f ca="1">IFERROR(__xludf.DUMMYFUNCTION("""COMPUTED_VALUE"""),14.17)</f>
        <v>14.17</v>
      </c>
      <c r="E178" s="1">
        <f ca="1">IFERROR(__xludf.DUMMYFUNCTION("""COMPUTED_VALUE"""),14.33)</f>
        <v>14.33</v>
      </c>
      <c r="F178" s="1">
        <f ca="1">IFERROR(__xludf.DUMMYFUNCTION("""COMPUTED_VALUE"""),3580167)</f>
        <v>3580167</v>
      </c>
      <c r="G178" s="5">
        <f t="shared" ca="1" si="6"/>
        <v>1.256106071179342E-2</v>
      </c>
      <c r="H178" s="14">
        <f t="shared" si="7"/>
        <v>2016</v>
      </c>
      <c r="I178" s="5">
        <f t="shared" ca="1" si="8"/>
        <v>-1.7820424948594912E-2</v>
      </c>
      <c r="J178" s="16"/>
    </row>
    <row r="179" spans="1:10" x14ac:dyDescent="0.2">
      <c r="A179" s="3">
        <v>42536</v>
      </c>
      <c r="B179" s="1">
        <f ca="1">IFERROR(__xludf.DUMMYFUNCTION("""COMPUTED_VALUE"""),14.46)</f>
        <v>14.46</v>
      </c>
      <c r="C179" s="1">
        <f ca="1">IFERROR(__xludf.DUMMYFUNCTION("""COMPUTED_VALUE"""),14.79)</f>
        <v>14.79</v>
      </c>
      <c r="D179" s="1">
        <f ca="1">IFERROR(__xludf.DUMMYFUNCTION("""COMPUTED_VALUE"""),14.34)</f>
        <v>14.34</v>
      </c>
      <c r="E179" s="1">
        <f ca="1">IFERROR(__xludf.DUMMYFUNCTION("""COMPUTED_VALUE"""),14.51)</f>
        <v>14.51</v>
      </c>
      <c r="F179" s="1">
        <f ca="1">IFERROR(__xludf.DUMMYFUNCTION("""COMPUTED_VALUE"""),2908522)</f>
        <v>2908522</v>
      </c>
      <c r="G179" s="5">
        <f t="shared" ca="1" si="6"/>
        <v>1.3783597518952154E-3</v>
      </c>
      <c r="H179" s="14">
        <f t="shared" si="7"/>
        <v>2016</v>
      </c>
      <c r="I179" s="5">
        <f t="shared" ca="1" si="8"/>
        <v>3.4578146611340893E-3</v>
      </c>
      <c r="J179" s="16"/>
    </row>
    <row r="180" spans="1:10" x14ac:dyDescent="0.2">
      <c r="A180" s="3">
        <v>42537</v>
      </c>
      <c r="B180" s="1">
        <f ca="1">IFERROR(__xludf.DUMMYFUNCTION("""COMPUTED_VALUE"""),14.49)</f>
        <v>14.49</v>
      </c>
      <c r="C180" s="1">
        <f ca="1">IFERROR(__xludf.DUMMYFUNCTION("""COMPUTED_VALUE"""),14.54)</f>
        <v>14.54</v>
      </c>
      <c r="D180" s="1">
        <f ca="1">IFERROR(__xludf.DUMMYFUNCTION("""COMPUTED_VALUE"""),14.23)</f>
        <v>14.23</v>
      </c>
      <c r="E180" s="1">
        <f ca="1">IFERROR(__xludf.DUMMYFUNCTION("""COMPUTED_VALUE"""),14.53)</f>
        <v>14.53</v>
      </c>
      <c r="F180" s="1">
        <f ca="1">IFERROR(__xludf.DUMMYFUNCTION("""COMPUTED_VALUE"""),2440259)</f>
        <v>2440259</v>
      </c>
      <c r="G180" s="5">
        <f t="shared" ca="1" si="6"/>
        <v>-1.1699931176875426E-2</v>
      </c>
      <c r="H180" s="14">
        <f t="shared" si="7"/>
        <v>2016</v>
      </c>
      <c r="I180" s="5">
        <f t="shared" ca="1" si="8"/>
        <v>2.7605244996548755E-3</v>
      </c>
      <c r="J180" s="16"/>
    </row>
    <row r="181" spans="1:10" x14ac:dyDescent="0.2">
      <c r="A181" s="3">
        <v>42538</v>
      </c>
      <c r="B181" s="1">
        <f ca="1">IFERROR(__xludf.DUMMYFUNCTION("""COMPUTED_VALUE"""),14.52)</f>
        <v>14.52</v>
      </c>
      <c r="C181" s="1">
        <f ca="1">IFERROR(__xludf.DUMMYFUNCTION("""COMPUTED_VALUE"""),14.67)</f>
        <v>14.67</v>
      </c>
      <c r="D181" s="1">
        <f ca="1">IFERROR(__xludf.DUMMYFUNCTION("""COMPUTED_VALUE"""),14.3)</f>
        <v>14.3</v>
      </c>
      <c r="E181" s="1">
        <f ca="1">IFERROR(__xludf.DUMMYFUNCTION("""COMPUTED_VALUE"""),14.36)</f>
        <v>14.36</v>
      </c>
      <c r="F181" s="1">
        <f ca="1">IFERROR(__xludf.DUMMYFUNCTION("""COMPUTED_VALUE"""),3112620)</f>
        <v>3112620</v>
      </c>
      <c r="G181" s="5">
        <f t="shared" ca="1" si="6"/>
        <v>2.0194986072423465E-2</v>
      </c>
      <c r="H181" s="14">
        <f t="shared" si="7"/>
        <v>2016</v>
      </c>
      <c r="I181" s="5">
        <f t="shared" ca="1" si="8"/>
        <v>-1.1019283746556485E-2</v>
      </c>
      <c r="J181" s="16"/>
    </row>
    <row r="182" spans="1:10" x14ac:dyDescent="0.2">
      <c r="A182" s="3">
        <v>42541</v>
      </c>
      <c r="B182" s="1">
        <f ca="1">IFERROR(__xludf.DUMMYFUNCTION("""COMPUTED_VALUE"""),14.63)</f>
        <v>14.63</v>
      </c>
      <c r="C182" s="1">
        <f ca="1">IFERROR(__xludf.DUMMYFUNCTION("""COMPUTED_VALUE"""),14.92)</f>
        <v>14.92</v>
      </c>
      <c r="D182" s="1">
        <f ca="1">IFERROR(__xludf.DUMMYFUNCTION("""COMPUTED_VALUE"""),14.55)</f>
        <v>14.55</v>
      </c>
      <c r="E182" s="1">
        <f ca="1">IFERROR(__xludf.DUMMYFUNCTION("""COMPUTED_VALUE"""),14.65)</f>
        <v>14.65</v>
      </c>
      <c r="F182" s="1">
        <f ca="1">IFERROR(__xludf.DUMMYFUNCTION("""COMPUTED_VALUE"""),3555471)</f>
        <v>3555471</v>
      </c>
      <c r="G182" s="5">
        <f t="shared" ca="1" si="6"/>
        <v>-6.8259385665527558E-4</v>
      </c>
      <c r="H182" s="14">
        <f t="shared" si="7"/>
        <v>2016</v>
      </c>
      <c r="I182" s="5">
        <f t="shared" ca="1" si="8"/>
        <v>1.3670539986329168E-3</v>
      </c>
      <c r="J182" s="16"/>
    </row>
    <row r="183" spans="1:10" x14ac:dyDescent="0.2">
      <c r="A183" s="3">
        <v>42542</v>
      </c>
      <c r="B183" s="1">
        <f ca="1">IFERROR(__xludf.DUMMYFUNCTION("""COMPUTED_VALUE"""),14.71)</f>
        <v>14.71</v>
      </c>
      <c r="C183" s="1">
        <f ca="1">IFERROR(__xludf.DUMMYFUNCTION("""COMPUTED_VALUE"""),14.84)</f>
        <v>14.84</v>
      </c>
      <c r="D183" s="1">
        <f ca="1">IFERROR(__xludf.DUMMYFUNCTION("""COMPUTED_VALUE"""),14.59)</f>
        <v>14.59</v>
      </c>
      <c r="E183" s="1">
        <f ca="1">IFERROR(__xludf.DUMMYFUNCTION("""COMPUTED_VALUE"""),14.64)</f>
        <v>14.64</v>
      </c>
      <c r="F183" s="1">
        <f ca="1">IFERROR(__xludf.DUMMYFUNCTION("""COMPUTED_VALUE"""),4529005)</f>
        <v>4529005</v>
      </c>
      <c r="G183" s="5">
        <f t="shared" ca="1" si="6"/>
        <v>-0.10450819672131155</v>
      </c>
      <c r="H183" s="14">
        <f t="shared" si="7"/>
        <v>2016</v>
      </c>
      <c r="I183" s="5">
        <f t="shared" ca="1" si="8"/>
        <v>-4.7586675730795572E-3</v>
      </c>
      <c r="J183" s="16"/>
    </row>
    <row r="184" spans="1:10" x14ac:dyDescent="0.2">
      <c r="A184" s="3">
        <v>42543</v>
      </c>
      <c r="B184" s="1">
        <f ca="1">IFERROR(__xludf.DUMMYFUNCTION("""COMPUTED_VALUE"""),13.3)</f>
        <v>13.3</v>
      </c>
      <c r="C184" s="1">
        <f ca="1">IFERROR(__xludf.DUMMYFUNCTION("""COMPUTED_VALUE"""),13.73)</f>
        <v>13.73</v>
      </c>
      <c r="D184" s="1">
        <f ca="1">IFERROR(__xludf.DUMMYFUNCTION("""COMPUTED_VALUE"""),13.05)</f>
        <v>13.05</v>
      </c>
      <c r="E184" s="1">
        <f ca="1">IFERROR(__xludf.DUMMYFUNCTION("""COMPUTED_VALUE"""),13.11)</f>
        <v>13.11</v>
      </c>
      <c r="F184" s="1">
        <f ca="1">IFERROR(__xludf.DUMMYFUNCTION("""COMPUTED_VALUE"""),23742414)</f>
        <v>23742414</v>
      </c>
      <c r="G184" s="5">
        <f t="shared" ca="1" si="6"/>
        <v>-1.5255530129671682E-3</v>
      </c>
      <c r="H184" s="14">
        <f t="shared" si="7"/>
        <v>2016</v>
      </c>
      <c r="I184" s="5">
        <f t="shared" ca="1" si="8"/>
        <v>-1.4285714285714381E-2</v>
      </c>
      <c r="J184" s="16"/>
    </row>
    <row r="185" spans="1:10" x14ac:dyDescent="0.2">
      <c r="A185" s="3">
        <v>42544</v>
      </c>
      <c r="B185" s="1">
        <f ca="1">IFERROR(__xludf.DUMMYFUNCTION("""COMPUTED_VALUE"""),13.05)</f>
        <v>13.05</v>
      </c>
      <c r="C185" s="1">
        <f ca="1">IFERROR(__xludf.DUMMYFUNCTION("""COMPUTED_VALUE"""),13.17)</f>
        <v>13.17</v>
      </c>
      <c r="D185" s="1">
        <f ca="1">IFERROR(__xludf.DUMMYFUNCTION("""COMPUTED_VALUE"""),12.81)</f>
        <v>12.81</v>
      </c>
      <c r="E185" s="1">
        <f ca="1">IFERROR(__xludf.DUMMYFUNCTION("""COMPUTED_VALUE"""),13.09)</f>
        <v>13.09</v>
      </c>
      <c r="F185" s="1">
        <f ca="1">IFERROR(__xludf.DUMMYFUNCTION("""COMPUTED_VALUE"""),10130748)</f>
        <v>10130748</v>
      </c>
      <c r="G185" s="5">
        <f t="shared" ca="1" si="6"/>
        <v>-1.604278074866303E-2</v>
      </c>
      <c r="H185" s="14">
        <f t="shared" si="7"/>
        <v>2016</v>
      </c>
      <c r="I185" s="5">
        <f t="shared" ca="1" si="8"/>
        <v>3.0651340996167929E-3</v>
      </c>
      <c r="J185" s="16"/>
    </row>
    <row r="186" spans="1:10" x14ac:dyDescent="0.2">
      <c r="A186" s="3">
        <v>42545</v>
      </c>
      <c r="B186" s="1">
        <f ca="1">IFERROR(__xludf.DUMMYFUNCTION("""COMPUTED_VALUE"""),12.67)</f>
        <v>12.67</v>
      </c>
      <c r="C186" s="1">
        <f ca="1">IFERROR(__xludf.DUMMYFUNCTION("""COMPUTED_VALUE"""),13.01)</f>
        <v>13.01</v>
      </c>
      <c r="D186" s="1">
        <f ca="1">IFERROR(__xludf.DUMMYFUNCTION("""COMPUTED_VALUE"""),12.65)</f>
        <v>12.65</v>
      </c>
      <c r="E186" s="1">
        <f ca="1">IFERROR(__xludf.DUMMYFUNCTION("""COMPUTED_VALUE"""),12.88)</f>
        <v>12.88</v>
      </c>
      <c r="F186" s="1">
        <f ca="1">IFERROR(__xludf.DUMMYFUNCTION("""COMPUTED_VALUE"""),7026516)</f>
        <v>7026516</v>
      </c>
      <c r="G186" s="5">
        <f t="shared" ca="1" si="6"/>
        <v>2.7950310559006167E-2</v>
      </c>
      <c r="H186" s="14">
        <f t="shared" si="7"/>
        <v>2016</v>
      </c>
      <c r="I186" s="5">
        <f t="shared" ca="1" si="8"/>
        <v>1.6574585635359185E-2</v>
      </c>
      <c r="J186" s="16"/>
    </row>
    <row r="187" spans="1:10" x14ac:dyDescent="0.2">
      <c r="A187" s="3">
        <v>42548</v>
      </c>
      <c r="B187" s="1">
        <f ca="1">IFERROR(__xludf.DUMMYFUNCTION("""COMPUTED_VALUE"""),12.72)</f>
        <v>12.72</v>
      </c>
      <c r="C187" s="1">
        <f ca="1">IFERROR(__xludf.DUMMYFUNCTION("""COMPUTED_VALUE"""),13.25)</f>
        <v>13.25</v>
      </c>
      <c r="D187" s="1">
        <f ca="1">IFERROR(__xludf.DUMMYFUNCTION("""COMPUTED_VALUE"""),12.52)</f>
        <v>12.52</v>
      </c>
      <c r="E187" s="1">
        <f ca="1">IFERROR(__xludf.DUMMYFUNCTION("""COMPUTED_VALUE"""),13.24)</f>
        <v>13.24</v>
      </c>
      <c r="F187" s="1">
        <f ca="1">IFERROR(__xludf.DUMMYFUNCTION("""COMPUTED_VALUE"""),7220323)</f>
        <v>7220323</v>
      </c>
      <c r="G187" s="5">
        <f t="shared" ca="1" si="6"/>
        <v>1.5861027190332257E-2</v>
      </c>
      <c r="H187" s="14">
        <f t="shared" si="7"/>
        <v>2016</v>
      </c>
      <c r="I187" s="5">
        <f t="shared" ca="1" si="8"/>
        <v>4.0880503144654051E-2</v>
      </c>
      <c r="J187" s="16"/>
    </row>
    <row r="188" spans="1:10" x14ac:dyDescent="0.2">
      <c r="A188" s="3">
        <v>42549</v>
      </c>
      <c r="B188" s="1">
        <f ca="1">IFERROR(__xludf.DUMMYFUNCTION("""COMPUTED_VALUE"""),13.46)</f>
        <v>13.46</v>
      </c>
      <c r="C188" s="1">
        <f ca="1">IFERROR(__xludf.DUMMYFUNCTION("""COMPUTED_VALUE"""),13.6)</f>
        <v>13.6</v>
      </c>
      <c r="D188" s="1">
        <f ca="1">IFERROR(__xludf.DUMMYFUNCTION("""COMPUTED_VALUE"""),13.29)</f>
        <v>13.29</v>
      </c>
      <c r="E188" s="1">
        <f ca="1">IFERROR(__xludf.DUMMYFUNCTION("""COMPUTED_VALUE"""),13.45)</f>
        <v>13.45</v>
      </c>
      <c r="F188" s="1">
        <f ca="1">IFERROR(__xludf.DUMMYFUNCTION("""COMPUTED_VALUE"""),6212422)</f>
        <v>6212422</v>
      </c>
      <c r="G188" s="5">
        <f t="shared" ca="1" si="6"/>
        <v>4.1635687732342046E-2</v>
      </c>
      <c r="H188" s="14">
        <f t="shared" si="7"/>
        <v>2016</v>
      </c>
      <c r="I188" s="5">
        <f t="shared" ca="1" si="8"/>
        <v>-7.4294205052017552E-4</v>
      </c>
      <c r="J188" s="16"/>
    </row>
    <row r="189" spans="1:10" x14ac:dyDescent="0.2">
      <c r="A189" s="3">
        <v>42550</v>
      </c>
      <c r="B189" s="1">
        <f ca="1">IFERROR(__xludf.DUMMYFUNCTION("""COMPUTED_VALUE"""),13.68)</f>
        <v>13.68</v>
      </c>
      <c r="C189" s="1">
        <f ca="1">IFERROR(__xludf.DUMMYFUNCTION("""COMPUTED_VALUE"""),14.12)</f>
        <v>14.12</v>
      </c>
      <c r="D189" s="1">
        <f ca="1">IFERROR(__xludf.DUMMYFUNCTION("""COMPUTED_VALUE"""),13.53)</f>
        <v>13.53</v>
      </c>
      <c r="E189" s="1">
        <f ca="1">IFERROR(__xludf.DUMMYFUNCTION("""COMPUTED_VALUE"""),14.01)</f>
        <v>14.01</v>
      </c>
      <c r="F189" s="1">
        <f ca="1">IFERROR(__xludf.DUMMYFUNCTION("""COMPUTED_VALUE"""),5994908)</f>
        <v>5994908</v>
      </c>
      <c r="G189" s="5">
        <f t="shared" ca="1" si="6"/>
        <v>9.9928622412562857E-3</v>
      </c>
      <c r="H189" s="14">
        <f t="shared" si="7"/>
        <v>2016</v>
      </c>
      <c r="I189" s="5">
        <f t="shared" ca="1" si="8"/>
        <v>2.4122807017543865E-2</v>
      </c>
      <c r="J189" s="16"/>
    </row>
    <row r="190" spans="1:10" x14ac:dyDescent="0.2">
      <c r="A190" s="3">
        <v>42551</v>
      </c>
      <c r="B190" s="1">
        <f ca="1">IFERROR(__xludf.DUMMYFUNCTION("""COMPUTED_VALUE"""),14.2)</f>
        <v>14.2</v>
      </c>
      <c r="C190" s="1">
        <f ca="1">IFERROR(__xludf.DUMMYFUNCTION("""COMPUTED_VALUE"""),14.23)</f>
        <v>14.23</v>
      </c>
      <c r="D190" s="1">
        <f ca="1">IFERROR(__xludf.DUMMYFUNCTION("""COMPUTED_VALUE"""),13.93)</f>
        <v>13.93</v>
      </c>
      <c r="E190" s="1">
        <f ca="1">IFERROR(__xludf.DUMMYFUNCTION("""COMPUTED_VALUE"""),14.15)</f>
        <v>14.15</v>
      </c>
      <c r="F190" s="1">
        <f ca="1">IFERROR(__xludf.DUMMYFUNCTION("""COMPUTED_VALUE"""),4843111)</f>
        <v>4843111</v>
      </c>
      <c r="G190" s="5">
        <f t="shared" ca="1" si="6"/>
        <v>1.9787985865724337E-2</v>
      </c>
      <c r="H190" s="14">
        <f t="shared" si="7"/>
        <v>2016</v>
      </c>
      <c r="I190" s="5">
        <f t="shared" ca="1" si="8"/>
        <v>-3.5211267605633053E-3</v>
      </c>
      <c r="J190" s="16"/>
    </row>
    <row r="191" spans="1:10" x14ac:dyDescent="0.2">
      <c r="A191" s="3">
        <v>42552</v>
      </c>
      <c r="B191" s="1">
        <f ca="1">IFERROR(__xludf.DUMMYFUNCTION("""COMPUTED_VALUE"""),13.74)</f>
        <v>13.74</v>
      </c>
      <c r="C191" s="1">
        <f ca="1">IFERROR(__xludf.DUMMYFUNCTION("""COMPUTED_VALUE"""),14.55)</f>
        <v>14.55</v>
      </c>
      <c r="D191" s="1">
        <f ca="1">IFERROR(__xludf.DUMMYFUNCTION("""COMPUTED_VALUE"""),13.73)</f>
        <v>13.73</v>
      </c>
      <c r="E191" s="1">
        <f ca="1">IFERROR(__xludf.DUMMYFUNCTION("""COMPUTED_VALUE"""),14.43)</f>
        <v>14.43</v>
      </c>
      <c r="F191" s="1">
        <f ca="1">IFERROR(__xludf.DUMMYFUNCTION("""COMPUTED_VALUE"""),5399951)</f>
        <v>5399951</v>
      </c>
      <c r="G191" s="5">
        <f t="shared" ca="1" si="6"/>
        <v>-1.1088011088011098E-2</v>
      </c>
      <c r="H191" s="14">
        <f t="shared" si="7"/>
        <v>2016</v>
      </c>
      <c r="I191" s="5">
        <f t="shared" ca="1" si="8"/>
        <v>5.0218340611353676E-2</v>
      </c>
      <c r="J191" s="16"/>
    </row>
    <row r="192" spans="1:10" x14ac:dyDescent="0.2">
      <c r="A192" s="3">
        <v>42556</v>
      </c>
      <c r="B192" s="1">
        <f ca="1">IFERROR(__xludf.DUMMYFUNCTION("""COMPUTED_VALUE"""),13.98)</f>
        <v>13.98</v>
      </c>
      <c r="C192" s="1">
        <f ca="1">IFERROR(__xludf.DUMMYFUNCTION("""COMPUTED_VALUE"""),14.3)</f>
        <v>14.3</v>
      </c>
      <c r="D192" s="1">
        <f ca="1">IFERROR(__xludf.DUMMYFUNCTION("""COMPUTED_VALUE"""),13.87)</f>
        <v>13.87</v>
      </c>
      <c r="E192" s="1">
        <f ca="1">IFERROR(__xludf.DUMMYFUNCTION("""COMPUTED_VALUE"""),14.27)</f>
        <v>14.27</v>
      </c>
      <c r="F192" s="1">
        <f ca="1">IFERROR(__xludf.DUMMYFUNCTION("""COMPUTED_VALUE"""),5175345)</f>
        <v>5175345</v>
      </c>
      <c r="G192" s="5">
        <f t="shared" ca="1" si="6"/>
        <v>2.1023125437982576E-3</v>
      </c>
      <c r="H192" s="14">
        <f t="shared" si="7"/>
        <v>2016</v>
      </c>
      <c r="I192" s="5">
        <f t="shared" ca="1" si="8"/>
        <v>2.0743919885550726E-2</v>
      </c>
      <c r="J192" s="16"/>
    </row>
    <row r="193" spans="1:10" x14ac:dyDescent="0.2">
      <c r="A193" s="3">
        <v>42557</v>
      </c>
      <c r="B193" s="1">
        <f ca="1">IFERROR(__xludf.DUMMYFUNCTION("""COMPUTED_VALUE"""),14)</f>
        <v>14</v>
      </c>
      <c r="C193" s="1">
        <f ca="1">IFERROR(__xludf.DUMMYFUNCTION("""COMPUTED_VALUE"""),14.35)</f>
        <v>14.35</v>
      </c>
      <c r="D193" s="1">
        <f ca="1">IFERROR(__xludf.DUMMYFUNCTION("""COMPUTED_VALUE"""),13.93)</f>
        <v>13.93</v>
      </c>
      <c r="E193" s="1">
        <f ca="1">IFERROR(__xludf.DUMMYFUNCTION("""COMPUTED_VALUE"""),14.3)</f>
        <v>14.3</v>
      </c>
      <c r="F193" s="1">
        <f ca="1">IFERROR(__xludf.DUMMYFUNCTION("""COMPUTED_VALUE"""),4919855)</f>
        <v>4919855</v>
      </c>
      <c r="G193" s="5">
        <f t="shared" ca="1" si="6"/>
        <v>6.9930069930069678E-3</v>
      </c>
      <c r="H193" s="14">
        <f t="shared" si="7"/>
        <v>2016</v>
      </c>
      <c r="I193" s="5">
        <f t="shared" ca="1" si="8"/>
        <v>2.1428571428571481E-2</v>
      </c>
      <c r="J193" s="16"/>
    </row>
    <row r="194" spans="1:10" x14ac:dyDescent="0.2">
      <c r="A194" s="3">
        <v>42558</v>
      </c>
      <c r="B194" s="1">
        <f ca="1">IFERROR(__xludf.DUMMYFUNCTION("""COMPUTED_VALUE"""),14.21)</f>
        <v>14.21</v>
      </c>
      <c r="C194" s="1">
        <f ca="1">IFERROR(__xludf.DUMMYFUNCTION("""COMPUTED_VALUE"""),14.54)</f>
        <v>14.54</v>
      </c>
      <c r="D194" s="1">
        <f ca="1">IFERROR(__xludf.DUMMYFUNCTION("""COMPUTED_VALUE"""),14.2)</f>
        <v>14.2</v>
      </c>
      <c r="E194" s="1">
        <f ca="1">IFERROR(__xludf.DUMMYFUNCTION("""COMPUTED_VALUE"""),14.4)</f>
        <v>14.4</v>
      </c>
      <c r="F194" s="1">
        <f ca="1">IFERROR(__xludf.DUMMYFUNCTION("""COMPUTED_VALUE"""),3612022)</f>
        <v>3612022</v>
      </c>
      <c r="G194" s="5">
        <f t="shared" ca="1" si="6"/>
        <v>3.4722222222221483E-3</v>
      </c>
      <c r="H194" s="14">
        <f t="shared" si="7"/>
        <v>2016</v>
      </c>
      <c r="I194" s="5">
        <f t="shared" ca="1" si="8"/>
        <v>1.3370865587614321E-2</v>
      </c>
      <c r="J194" s="16"/>
    </row>
    <row r="195" spans="1:10" x14ac:dyDescent="0.2">
      <c r="A195" s="3">
        <v>42559</v>
      </c>
      <c r="B195" s="1">
        <f ca="1">IFERROR(__xludf.DUMMYFUNCTION("""COMPUTED_VALUE"""),14.52)</f>
        <v>14.52</v>
      </c>
      <c r="C195" s="1">
        <f ca="1">IFERROR(__xludf.DUMMYFUNCTION("""COMPUTED_VALUE"""),14.65)</f>
        <v>14.65</v>
      </c>
      <c r="D195" s="1">
        <f ca="1">IFERROR(__xludf.DUMMYFUNCTION("""COMPUTED_VALUE"""),14.3)</f>
        <v>14.3</v>
      </c>
      <c r="E195" s="1">
        <f ca="1">IFERROR(__xludf.DUMMYFUNCTION("""COMPUTED_VALUE"""),14.45)</f>
        <v>14.45</v>
      </c>
      <c r="F195" s="1">
        <f ca="1">IFERROR(__xludf.DUMMYFUNCTION("""COMPUTED_VALUE"""),4074785)</f>
        <v>4074785</v>
      </c>
      <c r="G195" s="5">
        <f t="shared" ref="G195:G258" ca="1" si="9">(E196-E195)/E195</f>
        <v>3.7370242214532938E-2</v>
      </c>
      <c r="H195" s="14">
        <f t="shared" ref="H195:H258" si="10">YEAR(A195)</f>
        <v>2016</v>
      </c>
      <c r="I195" s="5">
        <f t="shared" ref="I195:I258" ca="1" si="11">((E195 - B195) / B195)</f>
        <v>-4.8209366391184774E-3</v>
      </c>
      <c r="J195" s="16"/>
    </row>
    <row r="196" spans="1:10" x14ac:dyDescent="0.2">
      <c r="A196" s="3">
        <v>42562</v>
      </c>
      <c r="B196" s="1">
        <f ca="1">IFERROR(__xludf.DUMMYFUNCTION("""COMPUTED_VALUE"""),14.66)</f>
        <v>14.66</v>
      </c>
      <c r="C196" s="1">
        <f ca="1">IFERROR(__xludf.DUMMYFUNCTION("""COMPUTED_VALUE"""),15.12)</f>
        <v>15.12</v>
      </c>
      <c r="D196" s="1">
        <f ca="1">IFERROR(__xludf.DUMMYFUNCTION("""COMPUTED_VALUE"""),14.63)</f>
        <v>14.63</v>
      </c>
      <c r="E196" s="1">
        <f ca="1">IFERROR(__xludf.DUMMYFUNCTION("""COMPUTED_VALUE"""),14.99)</f>
        <v>14.99</v>
      </c>
      <c r="F196" s="1">
        <f ca="1">IFERROR(__xludf.DUMMYFUNCTION("""COMPUTED_VALUE"""),5429823)</f>
        <v>5429823</v>
      </c>
      <c r="G196" s="5">
        <f t="shared" ca="1" si="9"/>
        <v>-6.6711140760505579E-4</v>
      </c>
      <c r="H196" s="14">
        <f t="shared" si="10"/>
        <v>2016</v>
      </c>
      <c r="I196" s="5">
        <f t="shared" ca="1" si="11"/>
        <v>2.2510231923601642E-2</v>
      </c>
      <c r="J196" s="16"/>
    </row>
    <row r="197" spans="1:10" x14ac:dyDescent="0.2">
      <c r="A197" s="3">
        <v>42563</v>
      </c>
      <c r="B197" s="1">
        <f ca="1">IFERROR(__xludf.DUMMYFUNCTION("""COMPUTED_VALUE"""),14.94)</f>
        <v>14.94</v>
      </c>
      <c r="C197" s="1">
        <f ca="1">IFERROR(__xludf.DUMMYFUNCTION("""COMPUTED_VALUE"""),15.17)</f>
        <v>15.17</v>
      </c>
      <c r="D197" s="1">
        <f ca="1">IFERROR(__xludf.DUMMYFUNCTION("""COMPUTED_VALUE"""),14.88)</f>
        <v>14.88</v>
      </c>
      <c r="E197" s="1">
        <f ca="1">IFERROR(__xludf.DUMMYFUNCTION("""COMPUTED_VALUE"""),14.98)</f>
        <v>14.98</v>
      </c>
      <c r="F197" s="1">
        <f ca="1">IFERROR(__xludf.DUMMYFUNCTION("""COMPUTED_VALUE"""),4576165)</f>
        <v>4576165</v>
      </c>
      <c r="G197" s="5">
        <f t="shared" ca="1" si="9"/>
        <v>-9.345794392523402E-3</v>
      </c>
      <c r="H197" s="14">
        <f t="shared" si="10"/>
        <v>2016</v>
      </c>
      <c r="I197" s="5">
        <f t="shared" ca="1" si="11"/>
        <v>2.6773761713521369E-3</v>
      </c>
      <c r="J197" s="16"/>
    </row>
    <row r="198" spans="1:10" x14ac:dyDescent="0.2">
      <c r="A198" s="3">
        <v>42564</v>
      </c>
      <c r="B198" s="1">
        <f ca="1">IFERROR(__xludf.DUMMYFUNCTION("""COMPUTED_VALUE"""),15.03)</f>
        <v>15.03</v>
      </c>
      <c r="C198" s="1">
        <f ca="1">IFERROR(__xludf.DUMMYFUNCTION("""COMPUTED_VALUE"""),15.04)</f>
        <v>15.04</v>
      </c>
      <c r="D198" s="1">
        <f ca="1">IFERROR(__xludf.DUMMYFUNCTION("""COMPUTED_VALUE"""),14.69)</f>
        <v>14.69</v>
      </c>
      <c r="E198" s="1">
        <f ca="1">IFERROR(__xludf.DUMMYFUNCTION("""COMPUTED_VALUE"""),14.84)</f>
        <v>14.84</v>
      </c>
      <c r="F198" s="1">
        <f ca="1">IFERROR(__xludf.DUMMYFUNCTION("""COMPUTED_VALUE"""),3567062)</f>
        <v>3567062</v>
      </c>
      <c r="G198" s="5">
        <f t="shared" ca="1" si="9"/>
        <v>-4.7169811320754906E-3</v>
      </c>
      <c r="H198" s="14">
        <f t="shared" si="10"/>
        <v>2016</v>
      </c>
      <c r="I198" s="5">
        <f t="shared" ca="1" si="11"/>
        <v>-1.2641383898868897E-2</v>
      </c>
      <c r="J198" s="16"/>
    </row>
    <row r="199" spans="1:10" x14ac:dyDescent="0.2">
      <c r="A199" s="3">
        <v>42565</v>
      </c>
      <c r="B199" s="1">
        <f ca="1">IFERROR(__xludf.DUMMYFUNCTION("""COMPUTED_VALUE"""),14.87)</f>
        <v>14.87</v>
      </c>
      <c r="C199" s="1">
        <f ca="1">IFERROR(__xludf.DUMMYFUNCTION("""COMPUTED_VALUE"""),15)</f>
        <v>15</v>
      </c>
      <c r="D199" s="1">
        <f ca="1">IFERROR(__xludf.DUMMYFUNCTION("""COMPUTED_VALUE"""),14.74)</f>
        <v>14.74</v>
      </c>
      <c r="E199" s="1">
        <f ca="1">IFERROR(__xludf.DUMMYFUNCTION("""COMPUTED_VALUE"""),14.77)</f>
        <v>14.77</v>
      </c>
      <c r="F199" s="1">
        <f ca="1">IFERROR(__xludf.DUMMYFUNCTION("""COMPUTED_VALUE"""),2675834)</f>
        <v>2675834</v>
      </c>
      <c r="G199" s="5">
        <f t="shared" ca="1" si="9"/>
        <v>-5.4163845633039996E-3</v>
      </c>
      <c r="H199" s="14">
        <f t="shared" si="10"/>
        <v>2016</v>
      </c>
      <c r="I199" s="5">
        <f t="shared" ca="1" si="11"/>
        <v>-6.7249495628782545E-3</v>
      </c>
      <c r="J199" s="16"/>
    </row>
    <row r="200" spans="1:10" x14ac:dyDescent="0.2">
      <c r="A200" s="3">
        <v>42566</v>
      </c>
      <c r="B200" s="1">
        <f ca="1">IFERROR(__xludf.DUMMYFUNCTION("""COMPUTED_VALUE"""),14.83)</f>
        <v>14.83</v>
      </c>
      <c r="C200" s="1">
        <f ca="1">IFERROR(__xludf.DUMMYFUNCTION("""COMPUTED_VALUE"""),14.85)</f>
        <v>14.85</v>
      </c>
      <c r="D200" s="1">
        <f ca="1">IFERROR(__xludf.DUMMYFUNCTION("""COMPUTED_VALUE"""),14.64)</f>
        <v>14.64</v>
      </c>
      <c r="E200" s="1">
        <f ca="1">IFERROR(__xludf.DUMMYFUNCTION("""COMPUTED_VALUE"""),14.69)</f>
        <v>14.69</v>
      </c>
      <c r="F200" s="1">
        <f ca="1">IFERROR(__xludf.DUMMYFUNCTION("""COMPUTED_VALUE"""),2234247)</f>
        <v>2234247</v>
      </c>
      <c r="G200" s="5">
        <f t="shared" ca="1" si="9"/>
        <v>2.6548672566371723E-2</v>
      </c>
      <c r="H200" s="14">
        <f t="shared" si="10"/>
        <v>2016</v>
      </c>
      <c r="I200" s="5">
        <f t="shared" ca="1" si="11"/>
        <v>-9.4403236682400922E-3</v>
      </c>
      <c r="J200" s="16"/>
    </row>
    <row r="201" spans="1:10" x14ac:dyDescent="0.2">
      <c r="A201" s="3">
        <v>42569</v>
      </c>
      <c r="B201" s="1">
        <f ca="1">IFERROR(__xludf.DUMMYFUNCTION("""COMPUTED_VALUE"""),14.64)</f>
        <v>14.64</v>
      </c>
      <c r="C201" s="1">
        <f ca="1">IFERROR(__xludf.DUMMYFUNCTION("""COMPUTED_VALUE"""),15.14)</f>
        <v>15.14</v>
      </c>
      <c r="D201" s="1">
        <f ca="1">IFERROR(__xludf.DUMMYFUNCTION("""COMPUTED_VALUE"""),14.55)</f>
        <v>14.55</v>
      </c>
      <c r="E201" s="1">
        <f ca="1">IFERROR(__xludf.DUMMYFUNCTION("""COMPUTED_VALUE"""),15.08)</f>
        <v>15.08</v>
      </c>
      <c r="F201" s="1">
        <f ca="1">IFERROR(__xludf.DUMMYFUNCTION("""COMPUTED_VALUE"""),3412055)</f>
        <v>3412055</v>
      </c>
      <c r="G201" s="5">
        <f t="shared" ca="1" si="9"/>
        <v>-3.9787798408488393E-3</v>
      </c>
      <c r="H201" s="14">
        <f t="shared" si="10"/>
        <v>2016</v>
      </c>
      <c r="I201" s="5">
        <f t="shared" ca="1" si="11"/>
        <v>3.0054644808743133E-2</v>
      </c>
      <c r="J201" s="16"/>
    </row>
    <row r="202" spans="1:10" x14ac:dyDescent="0.2">
      <c r="A202" s="3">
        <v>42570</v>
      </c>
      <c r="B202" s="1">
        <f ca="1">IFERROR(__xludf.DUMMYFUNCTION("""COMPUTED_VALUE"""),15)</f>
        <v>15</v>
      </c>
      <c r="C202" s="1">
        <f ca="1">IFERROR(__xludf.DUMMYFUNCTION("""COMPUTED_VALUE"""),15.27)</f>
        <v>15.27</v>
      </c>
      <c r="D202" s="1">
        <f ca="1">IFERROR(__xludf.DUMMYFUNCTION("""COMPUTED_VALUE"""),14.98)</f>
        <v>14.98</v>
      </c>
      <c r="E202" s="1">
        <f ca="1">IFERROR(__xludf.DUMMYFUNCTION("""COMPUTED_VALUE"""),15.02)</f>
        <v>15.02</v>
      </c>
      <c r="F202" s="1">
        <f ca="1">IFERROR(__xludf.DUMMYFUNCTION("""COMPUTED_VALUE"""),3115065)</f>
        <v>3115065</v>
      </c>
      <c r="G202" s="5">
        <f t="shared" ca="1" si="9"/>
        <v>1.3315579227696476E-2</v>
      </c>
      <c r="H202" s="14">
        <f t="shared" si="10"/>
        <v>2016</v>
      </c>
      <c r="I202" s="5">
        <f t="shared" ca="1" si="11"/>
        <v>1.3333333333333049E-3</v>
      </c>
      <c r="J202" s="16"/>
    </row>
    <row r="203" spans="1:10" x14ac:dyDescent="0.2">
      <c r="A203" s="3">
        <v>42571</v>
      </c>
      <c r="B203" s="1">
        <f ca="1">IFERROR(__xludf.DUMMYFUNCTION("""COMPUTED_VALUE"""),15.1)</f>
        <v>15.1</v>
      </c>
      <c r="C203" s="1">
        <f ca="1">IFERROR(__xludf.DUMMYFUNCTION("""COMPUTED_VALUE"""),15.32)</f>
        <v>15.32</v>
      </c>
      <c r="D203" s="1">
        <f ca="1">IFERROR(__xludf.DUMMYFUNCTION("""COMPUTED_VALUE"""),15)</f>
        <v>15</v>
      </c>
      <c r="E203" s="1">
        <f ca="1">IFERROR(__xludf.DUMMYFUNCTION("""COMPUTED_VALUE"""),15.22)</f>
        <v>15.22</v>
      </c>
      <c r="F203" s="1">
        <f ca="1">IFERROR(__xludf.DUMMYFUNCTION("""COMPUTED_VALUE"""),2568498)</f>
        <v>2568498</v>
      </c>
      <c r="G203" s="5">
        <f t="shared" ca="1" si="9"/>
        <v>-3.4165571616294438E-2</v>
      </c>
      <c r="H203" s="14">
        <f t="shared" si="10"/>
        <v>2016</v>
      </c>
      <c r="I203" s="5">
        <f t="shared" ca="1" si="11"/>
        <v>7.9470198675497348E-3</v>
      </c>
      <c r="J203" s="16"/>
    </row>
    <row r="204" spans="1:10" x14ac:dyDescent="0.2">
      <c r="A204" s="3">
        <v>42572</v>
      </c>
      <c r="B204" s="1">
        <f ca="1">IFERROR(__xludf.DUMMYFUNCTION("""COMPUTED_VALUE"""),15.07)</f>
        <v>15.07</v>
      </c>
      <c r="C204" s="1">
        <f ca="1">IFERROR(__xludf.DUMMYFUNCTION("""COMPUTED_VALUE"""),15.19)</f>
        <v>15.19</v>
      </c>
      <c r="D204" s="1">
        <f ca="1">IFERROR(__xludf.DUMMYFUNCTION("""COMPUTED_VALUE"""),14.61)</f>
        <v>14.61</v>
      </c>
      <c r="E204" s="1">
        <f ca="1">IFERROR(__xludf.DUMMYFUNCTION("""COMPUTED_VALUE"""),14.7)</f>
        <v>14.7</v>
      </c>
      <c r="F204" s="1">
        <f ca="1">IFERROR(__xludf.DUMMYFUNCTION("""COMPUTED_VALUE"""),4428651)</f>
        <v>4428651</v>
      </c>
      <c r="G204" s="5">
        <f t="shared" ca="1" si="9"/>
        <v>8.1632653061225174E-3</v>
      </c>
      <c r="H204" s="14">
        <f t="shared" si="10"/>
        <v>2016</v>
      </c>
      <c r="I204" s="5">
        <f t="shared" ca="1" si="11"/>
        <v>-2.4552090245520967E-2</v>
      </c>
      <c r="J204" s="16"/>
    </row>
    <row r="205" spans="1:10" x14ac:dyDescent="0.2">
      <c r="A205" s="3">
        <v>42573</v>
      </c>
      <c r="B205" s="1">
        <f ca="1">IFERROR(__xludf.DUMMYFUNCTION("""COMPUTED_VALUE"""),14.8)</f>
        <v>14.8</v>
      </c>
      <c r="C205" s="1">
        <f ca="1">IFERROR(__xludf.DUMMYFUNCTION("""COMPUTED_VALUE"""),14.97)</f>
        <v>14.97</v>
      </c>
      <c r="D205" s="1">
        <f ca="1">IFERROR(__xludf.DUMMYFUNCTION("""COMPUTED_VALUE"""),14.59)</f>
        <v>14.59</v>
      </c>
      <c r="E205" s="1">
        <f ca="1">IFERROR(__xludf.DUMMYFUNCTION("""COMPUTED_VALUE"""),14.82)</f>
        <v>14.82</v>
      </c>
      <c r="F205" s="1">
        <f ca="1">IFERROR(__xludf.DUMMYFUNCTION("""COMPUTED_VALUE"""),2579692)</f>
        <v>2579692</v>
      </c>
      <c r="G205" s="5">
        <f t="shared" ca="1" si="9"/>
        <v>3.4412955465587029E-2</v>
      </c>
      <c r="H205" s="14">
        <f t="shared" si="10"/>
        <v>2016</v>
      </c>
      <c r="I205" s="5">
        <f t="shared" ca="1" si="11"/>
        <v>1.3513513513513226E-3</v>
      </c>
      <c r="J205" s="16"/>
    </row>
    <row r="206" spans="1:10" x14ac:dyDescent="0.2">
      <c r="A206" s="3">
        <v>42576</v>
      </c>
      <c r="B206" s="1">
        <f ca="1">IFERROR(__xludf.DUMMYFUNCTION("""COMPUTED_VALUE"""),14.82)</f>
        <v>14.82</v>
      </c>
      <c r="C206" s="1">
        <f ca="1">IFERROR(__xludf.DUMMYFUNCTION("""COMPUTED_VALUE"""),15.43)</f>
        <v>15.43</v>
      </c>
      <c r="D206" s="1">
        <f ca="1">IFERROR(__xludf.DUMMYFUNCTION("""COMPUTED_VALUE"""),14.76)</f>
        <v>14.76</v>
      </c>
      <c r="E206" s="1">
        <f ca="1">IFERROR(__xludf.DUMMYFUNCTION("""COMPUTED_VALUE"""),15.33)</f>
        <v>15.33</v>
      </c>
      <c r="F206" s="1">
        <f ca="1">IFERROR(__xludf.DUMMYFUNCTION("""COMPUTED_VALUE"""),4490683)</f>
        <v>4490683</v>
      </c>
      <c r="G206" s="5">
        <f t="shared" ca="1" si="9"/>
        <v>-1.9569471624265727E-3</v>
      </c>
      <c r="H206" s="14">
        <f t="shared" si="10"/>
        <v>2016</v>
      </c>
      <c r="I206" s="5">
        <f t="shared" ca="1" si="11"/>
        <v>3.4412955465587029E-2</v>
      </c>
      <c r="J206" s="16"/>
    </row>
    <row r="207" spans="1:10" x14ac:dyDescent="0.2">
      <c r="A207" s="3">
        <v>42577</v>
      </c>
      <c r="B207" s="1">
        <f ca="1">IFERROR(__xludf.DUMMYFUNCTION("""COMPUTED_VALUE"""),15.18)</f>
        <v>15.18</v>
      </c>
      <c r="C207" s="1">
        <f ca="1">IFERROR(__xludf.DUMMYFUNCTION("""COMPUTED_VALUE"""),15.33)</f>
        <v>15.33</v>
      </c>
      <c r="D207" s="1">
        <f ca="1">IFERROR(__xludf.DUMMYFUNCTION("""COMPUTED_VALUE"""),15.02)</f>
        <v>15.02</v>
      </c>
      <c r="E207" s="1">
        <f ca="1">IFERROR(__xludf.DUMMYFUNCTION("""COMPUTED_VALUE"""),15.3)</f>
        <v>15.3</v>
      </c>
      <c r="F207" s="1">
        <f ca="1">IFERROR(__xludf.DUMMYFUNCTION("""COMPUTED_VALUE"""),3430042)</f>
        <v>3430042</v>
      </c>
      <c r="G207" s="5">
        <f t="shared" ca="1" si="9"/>
        <v>-4.5751633986928289E-3</v>
      </c>
      <c r="H207" s="14">
        <f t="shared" si="10"/>
        <v>2016</v>
      </c>
      <c r="I207" s="5">
        <f t="shared" ca="1" si="11"/>
        <v>7.905138339921014E-3</v>
      </c>
      <c r="J207" s="16"/>
    </row>
    <row r="208" spans="1:10" x14ac:dyDescent="0.2">
      <c r="A208" s="3">
        <v>42578</v>
      </c>
      <c r="B208" s="1">
        <f ca="1">IFERROR(__xludf.DUMMYFUNCTION("""COMPUTED_VALUE"""),15.29)</f>
        <v>15.29</v>
      </c>
      <c r="C208" s="1">
        <f ca="1">IFERROR(__xludf.DUMMYFUNCTION("""COMPUTED_VALUE"""),15.56)</f>
        <v>15.56</v>
      </c>
      <c r="D208" s="1">
        <f ca="1">IFERROR(__xludf.DUMMYFUNCTION("""COMPUTED_VALUE"""),15.13)</f>
        <v>15.13</v>
      </c>
      <c r="E208" s="1">
        <f ca="1">IFERROR(__xludf.DUMMYFUNCTION("""COMPUTED_VALUE"""),15.23)</f>
        <v>15.23</v>
      </c>
      <c r="F208" s="1">
        <f ca="1">IFERROR(__xludf.DUMMYFUNCTION("""COMPUTED_VALUE"""),2889007)</f>
        <v>2889007</v>
      </c>
      <c r="G208" s="5">
        <f t="shared" ca="1" si="9"/>
        <v>9.1923834537097036E-3</v>
      </c>
      <c r="H208" s="14">
        <f t="shared" si="10"/>
        <v>2016</v>
      </c>
      <c r="I208" s="5">
        <f t="shared" ca="1" si="11"/>
        <v>-3.924133420536215E-3</v>
      </c>
      <c r="J208" s="16"/>
    </row>
    <row r="209" spans="1:10" x14ac:dyDescent="0.2">
      <c r="A209" s="3">
        <v>42579</v>
      </c>
      <c r="B209" s="1">
        <f ca="1">IFERROR(__xludf.DUMMYFUNCTION("""COMPUTED_VALUE"""),15.2)</f>
        <v>15.2</v>
      </c>
      <c r="C209" s="1">
        <f ca="1">IFERROR(__xludf.DUMMYFUNCTION("""COMPUTED_VALUE"""),15.38)</f>
        <v>15.38</v>
      </c>
      <c r="D209" s="1">
        <f ca="1">IFERROR(__xludf.DUMMYFUNCTION("""COMPUTED_VALUE"""),15.11)</f>
        <v>15.11</v>
      </c>
      <c r="E209" s="1">
        <f ca="1">IFERROR(__xludf.DUMMYFUNCTION("""COMPUTED_VALUE"""),15.37)</f>
        <v>15.37</v>
      </c>
      <c r="F209" s="1">
        <f ca="1">IFERROR(__xludf.DUMMYFUNCTION("""COMPUTED_VALUE"""),2419059)</f>
        <v>2419059</v>
      </c>
      <c r="G209" s="5">
        <f t="shared" ca="1" si="9"/>
        <v>1.8217306441119137E-2</v>
      </c>
      <c r="H209" s="14">
        <f t="shared" si="10"/>
        <v>2016</v>
      </c>
      <c r="I209" s="5">
        <f t="shared" ca="1" si="11"/>
        <v>1.1184210526315786E-2</v>
      </c>
      <c r="J209" s="16"/>
    </row>
    <row r="210" spans="1:10" x14ac:dyDescent="0.2">
      <c r="A210" s="3">
        <v>42580</v>
      </c>
      <c r="B210" s="1">
        <f ca="1">IFERROR(__xludf.DUMMYFUNCTION("""COMPUTED_VALUE"""),15.38)</f>
        <v>15.38</v>
      </c>
      <c r="C210" s="1">
        <f ca="1">IFERROR(__xludf.DUMMYFUNCTION("""COMPUTED_VALUE"""),15.69)</f>
        <v>15.69</v>
      </c>
      <c r="D210" s="1">
        <f ca="1">IFERROR(__xludf.DUMMYFUNCTION("""COMPUTED_VALUE"""),15.35)</f>
        <v>15.35</v>
      </c>
      <c r="E210" s="1">
        <f ca="1">IFERROR(__xludf.DUMMYFUNCTION("""COMPUTED_VALUE"""),15.65)</f>
        <v>15.65</v>
      </c>
      <c r="F210" s="1">
        <f ca="1">IFERROR(__xludf.DUMMYFUNCTION("""COMPUTED_VALUE"""),3070813)</f>
        <v>3070813</v>
      </c>
      <c r="G210" s="5">
        <f t="shared" ca="1" si="9"/>
        <v>-2.0447284345047941E-2</v>
      </c>
      <c r="H210" s="14">
        <f t="shared" si="10"/>
        <v>2016</v>
      </c>
      <c r="I210" s="5">
        <f t="shared" ca="1" si="11"/>
        <v>1.7555266579973965E-2</v>
      </c>
      <c r="J210" s="16"/>
    </row>
    <row r="211" spans="1:10" x14ac:dyDescent="0.2">
      <c r="A211" s="3">
        <v>42583</v>
      </c>
      <c r="B211" s="1">
        <f ca="1">IFERROR(__xludf.DUMMYFUNCTION("""COMPUTED_VALUE"""),15.7)</f>
        <v>15.7</v>
      </c>
      <c r="C211" s="1">
        <f ca="1">IFERROR(__xludf.DUMMYFUNCTION("""COMPUTED_VALUE"""),15.78)</f>
        <v>15.78</v>
      </c>
      <c r="D211" s="1">
        <f ca="1">IFERROR(__xludf.DUMMYFUNCTION("""COMPUTED_VALUE"""),15.29)</f>
        <v>15.29</v>
      </c>
      <c r="E211" s="1">
        <f ca="1">IFERROR(__xludf.DUMMYFUNCTION("""COMPUTED_VALUE"""),15.33)</f>
        <v>15.33</v>
      </c>
      <c r="F211" s="1">
        <f ca="1">IFERROR(__xludf.DUMMYFUNCTION("""COMPUTED_VALUE"""),4016284)</f>
        <v>4016284</v>
      </c>
      <c r="G211" s="5">
        <f t="shared" ca="1" si="9"/>
        <v>-1.1741682974559669E-2</v>
      </c>
      <c r="H211" s="14">
        <f t="shared" si="10"/>
        <v>2016</v>
      </c>
      <c r="I211" s="5">
        <f t="shared" ca="1" si="11"/>
        <v>-2.3566878980891669E-2</v>
      </c>
      <c r="J211" s="16"/>
    </row>
    <row r="212" spans="1:10" x14ac:dyDescent="0.2">
      <c r="A212" s="3">
        <v>42584</v>
      </c>
      <c r="B212" s="1">
        <f ca="1">IFERROR(__xludf.DUMMYFUNCTION("""COMPUTED_VALUE"""),15.29)</f>
        <v>15.29</v>
      </c>
      <c r="C212" s="1">
        <f ca="1">IFERROR(__xludf.DUMMYFUNCTION("""COMPUTED_VALUE"""),15.32)</f>
        <v>15.32</v>
      </c>
      <c r="D212" s="1">
        <f ca="1">IFERROR(__xludf.DUMMYFUNCTION("""COMPUTED_VALUE"""),14.76)</f>
        <v>14.76</v>
      </c>
      <c r="E212" s="1">
        <f ca="1">IFERROR(__xludf.DUMMYFUNCTION("""COMPUTED_VALUE"""),15.15)</f>
        <v>15.15</v>
      </c>
      <c r="F212" s="1">
        <f ca="1">IFERROR(__xludf.DUMMYFUNCTION("""COMPUTED_VALUE"""),3934432)</f>
        <v>3934432</v>
      </c>
      <c r="G212" s="5">
        <f t="shared" ca="1" si="9"/>
        <v>-6.6006600660065773E-3</v>
      </c>
      <c r="H212" s="14">
        <f t="shared" si="10"/>
        <v>2016</v>
      </c>
      <c r="I212" s="5">
        <f t="shared" ca="1" si="11"/>
        <v>-9.1563113145846173E-3</v>
      </c>
      <c r="J212" s="16"/>
    </row>
    <row r="213" spans="1:10" x14ac:dyDescent="0.2">
      <c r="A213" s="3">
        <v>42585</v>
      </c>
      <c r="B213" s="1">
        <f ca="1">IFERROR(__xludf.DUMMYFUNCTION("""COMPUTED_VALUE"""),15.16)</f>
        <v>15.16</v>
      </c>
      <c r="C213" s="1">
        <f ca="1">IFERROR(__xludf.DUMMYFUNCTION("""COMPUTED_VALUE"""),15.31)</f>
        <v>15.31</v>
      </c>
      <c r="D213" s="1">
        <f ca="1">IFERROR(__xludf.DUMMYFUNCTION("""COMPUTED_VALUE"""),14.95)</f>
        <v>14.95</v>
      </c>
      <c r="E213" s="1">
        <f ca="1">IFERROR(__xludf.DUMMYFUNCTION("""COMPUTED_VALUE"""),15.05)</f>
        <v>15.05</v>
      </c>
      <c r="F213" s="1">
        <f ca="1">IFERROR(__xludf.DUMMYFUNCTION("""COMPUTED_VALUE"""),3887759)</f>
        <v>3887759</v>
      </c>
      <c r="G213" s="5">
        <f t="shared" ca="1" si="9"/>
        <v>2.1262458471760698E-2</v>
      </c>
      <c r="H213" s="14">
        <f t="shared" si="10"/>
        <v>2016</v>
      </c>
      <c r="I213" s="5">
        <f t="shared" ca="1" si="11"/>
        <v>-7.2559366754617041E-3</v>
      </c>
      <c r="J213" s="16"/>
    </row>
    <row r="214" spans="1:10" x14ac:dyDescent="0.2">
      <c r="A214" s="3">
        <v>42586</v>
      </c>
      <c r="B214" s="1">
        <f ca="1">IFERROR(__xludf.DUMMYFUNCTION("""COMPUTED_VALUE"""),15.05)</f>
        <v>15.05</v>
      </c>
      <c r="C214" s="1">
        <f ca="1">IFERROR(__xludf.DUMMYFUNCTION("""COMPUTED_VALUE"""),15.39)</f>
        <v>15.39</v>
      </c>
      <c r="D214" s="1">
        <f ca="1">IFERROR(__xludf.DUMMYFUNCTION("""COMPUTED_VALUE"""),14.8)</f>
        <v>14.8</v>
      </c>
      <c r="E214" s="1">
        <f ca="1">IFERROR(__xludf.DUMMYFUNCTION("""COMPUTED_VALUE"""),15.37)</f>
        <v>15.37</v>
      </c>
      <c r="F214" s="1">
        <f ca="1">IFERROR(__xludf.DUMMYFUNCTION("""COMPUTED_VALUE"""),4146997)</f>
        <v>4146997</v>
      </c>
      <c r="G214" s="5">
        <f t="shared" ca="1" si="9"/>
        <v>-1.9518542615484294E-3</v>
      </c>
      <c r="H214" s="14">
        <f t="shared" si="10"/>
        <v>2016</v>
      </c>
      <c r="I214" s="5">
        <f t="shared" ca="1" si="11"/>
        <v>2.1262458471760698E-2</v>
      </c>
      <c r="J214" s="16"/>
    </row>
    <row r="215" spans="1:10" x14ac:dyDescent="0.2">
      <c r="A215" s="3">
        <v>42587</v>
      </c>
      <c r="B215" s="1">
        <f ca="1">IFERROR(__xludf.DUMMYFUNCTION("""COMPUTED_VALUE"""),15.33)</f>
        <v>15.33</v>
      </c>
      <c r="C215" s="1">
        <f ca="1">IFERROR(__xludf.DUMMYFUNCTION("""COMPUTED_VALUE"""),15.47)</f>
        <v>15.47</v>
      </c>
      <c r="D215" s="1">
        <f ca="1">IFERROR(__xludf.DUMMYFUNCTION("""COMPUTED_VALUE"""),15.16)</f>
        <v>15.16</v>
      </c>
      <c r="E215" s="1">
        <f ca="1">IFERROR(__xludf.DUMMYFUNCTION("""COMPUTED_VALUE"""),15.34)</f>
        <v>15.34</v>
      </c>
      <c r="F215" s="1">
        <f ca="1">IFERROR(__xludf.DUMMYFUNCTION("""COMPUTED_VALUE"""),3205215)</f>
        <v>3205215</v>
      </c>
      <c r="G215" s="5">
        <f t="shared" ca="1" si="9"/>
        <v>-1.6949152542372867E-2</v>
      </c>
      <c r="H215" s="14">
        <f t="shared" si="10"/>
        <v>2016</v>
      </c>
      <c r="I215" s="5">
        <f t="shared" ca="1" si="11"/>
        <v>6.5231572080885758E-4</v>
      </c>
      <c r="J215" s="16"/>
    </row>
    <row r="216" spans="1:10" x14ac:dyDescent="0.2">
      <c r="A216" s="3">
        <v>42590</v>
      </c>
      <c r="B216" s="1">
        <f ca="1">IFERROR(__xludf.DUMMYFUNCTION("""COMPUTED_VALUE"""),15.2)</f>
        <v>15.2</v>
      </c>
      <c r="C216" s="1">
        <f ca="1">IFERROR(__xludf.DUMMYFUNCTION("""COMPUTED_VALUE"""),15.31)</f>
        <v>15.31</v>
      </c>
      <c r="D216" s="1">
        <f ca="1">IFERROR(__xludf.DUMMYFUNCTION("""COMPUTED_VALUE"""),15.07)</f>
        <v>15.07</v>
      </c>
      <c r="E216" s="1">
        <f ca="1">IFERROR(__xludf.DUMMYFUNCTION("""COMPUTED_VALUE"""),15.08)</f>
        <v>15.08</v>
      </c>
      <c r="F216" s="1">
        <f ca="1">IFERROR(__xludf.DUMMYFUNCTION("""COMPUTED_VALUE"""),2263584)</f>
        <v>2263584</v>
      </c>
      <c r="G216" s="5">
        <f t="shared" ca="1" si="9"/>
        <v>1.2599469496021188E-2</v>
      </c>
      <c r="H216" s="14">
        <f t="shared" si="10"/>
        <v>2016</v>
      </c>
      <c r="I216" s="5">
        <f t="shared" ca="1" si="11"/>
        <v>-7.8947368421052114E-3</v>
      </c>
      <c r="J216" s="16"/>
    </row>
    <row r="217" spans="1:10" x14ac:dyDescent="0.2">
      <c r="A217" s="3">
        <v>42591</v>
      </c>
      <c r="B217" s="1">
        <f ca="1">IFERROR(__xludf.DUMMYFUNCTION("""COMPUTED_VALUE"""),15.12)</f>
        <v>15.12</v>
      </c>
      <c r="C217" s="1">
        <f ca="1">IFERROR(__xludf.DUMMYFUNCTION("""COMPUTED_VALUE"""),15.44)</f>
        <v>15.44</v>
      </c>
      <c r="D217" s="1">
        <f ca="1">IFERROR(__xludf.DUMMYFUNCTION("""COMPUTED_VALUE"""),15.11)</f>
        <v>15.11</v>
      </c>
      <c r="E217" s="1">
        <f ca="1">IFERROR(__xludf.DUMMYFUNCTION("""COMPUTED_VALUE"""),15.27)</f>
        <v>15.27</v>
      </c>
      <c r="F217" s="1">
        <f ca="1">IFERROR(__xludf.DUMMYFUNCTION("""COMPUTED_VALUE"""),2207833)</f>
        <v>2207833</v>
      </c>
      <c r="G217" s="5">
        <f t="shared" ca="1" si="9"/>
        <v>-1.5062213490504284E-2</v>
      </c>
      <c r="H217" s="14">
        <f t="shared" si="10"/>
        <v>2016</v>
      </c>
      <c r="I217" s="5">
        <f t="shared" ca="1" si="11"/>
        <v>9.9206349206349444E-3</v>
      </c>
      <c r="J217" s="16"/>
    </row>
    <row r="218" spans="1:10" x14ac:dyDescent="0.2">
      <c r="A218" s="3">
        <v>42592</v>
      </c>
      <c r="B218" s="1">
        <f ca="1">IFERROR(__xludf.DUMMYFUNCTION("""COMPUTED_VALUE"""),15.22)</f>
        <v>15.22</v>
      </c>
      <c r="C218" s="1">
        <f ca="1">IFERROR(__xludf.DUMMYFUNCTION("""COMPUTED_VALUE"""),15.32)</f>
        <v>15.32</v>
      </c>
      <c r="D218" s="1">
        <f ca="1">IFERROR(__xludf.DUMMYFUNCTION("""COMPUTED_VALUE"""),14.97)</f>
        <v>14.97</v>
      </c>
      <c r="E218" s="1">
        <f ca="1">IFERROR(__xludf.DUMMYFUNCTION("""COMPUTED_VALUE"""),15.04)</f>
        <v>15.04</v>
      </c>
      <c r="F218" s="1">
        <f ca="1">IFERROR(__xludf.DUMMYFUNCTION("""COMPUTED_VALUE"""),2338301)</f>
        <v>2338301</v>
      </c>
      <c r="G218" s="5">
        <f t="shared" ca="1" si="9"/>
        <v>-3.3244680851063123E-3</v>
      </c>
      <c r="H218" s="14">
        <f t="shared" si="10"/>
        <v>2016</v>
      </c>
      <c r="I218" s="5">
        <f t="shared" ca="1" si="11"/>
        <v>-1.1826544021025065E-2</v>
      </c>
      <c r="J218" s="16"/>
    </row>
    <row r="219" spans="1:10" x14ac:dyDescent="0.2">
      <c r="A219" s="3">
        <v>42593</v>
      </c>
      <c r="B219" s="1">
        <f ca="1">IFERROR(__xludf.DUMMYFUNCTION("""COMPUTED_VALUE"""),15.08)</f>
        <v>15.08</v>
      </c>
      <c r="C219" s="1">
        <f ca="1">IFERROR(__xludf.DUMMYFUNCTION("""COMPUTED_VALUE"""),15.17)</f>
        <v>15.17</v>
      </c>
      <c r="D219" s="1">
        <f ca="1">IFERROR(__xludf.DUMMYFUNCTION("""COMPUTED_VALUE"""),14.89)</f>
        <v>14.89</v>
      </c>
      <c r="E219" s="1">
        <f ca="1">IFERROR(__xludf.DUMMYFUNCTION("""COMPUTED_VALUE"""),14.99)</f>
        <v>14.99</v>
      </c>
      <c r="F219" s="1">
        <f ca="1">IFERROR(__xludf.DUMMYFUNCTION("""COMPUTED_VALUE"""),1880936)</f>
        <v>1880936</v>
      </c>
      <c r="G219" s="5">
        <f t="shared" ca="1" si="9"/>
        <v>3.335557038025279E-3</v>
      </c>
      <c r="H219" s="14">
        <f t="shared" si="10"/>
        <v>2016</v>
      </c>
      <c r="I219" s="5">
        <f t="shared" ca="1" si="11"/>
        <v>-5.9681697612732005E-3</v>
      </c>
      <c r="J219" s="16"/>
    </row>
    <row r="220" spans="1:10" x14ac:dyDescent="0.2">
      <c r="A220" s="3">
        <v>42594</v>
      </c>
      <c r="B220" s="1">
        <f ca="1">IFERROR(__xludf.DUMMYFUNCTION("""COMPUTED_VALUE"""),15.03)</f>
        <v>15.03</v>
      </c>
      <c r="C220" s="1">
        <f ca="1">IFERROR(__xludf.DUMMYFUNCTION("""COMPUTED_VALUE"""),15.11)</f>
        <v>15.11</v>
      </c>
      <c r="D220" s="1">
        <f ca="1">IFERROR(__xludf.DUMMYFUNCTION("""COMPUTED_VALUE"""),14.94)</f>
        <v>14.94</v>
      </c>
      <c r="E220" s="1">
        <f ca="1">IFERROR(__xludf.DUMMYFUNCTION("""COMPUTED_VALUE"""),15.04)</f>
        <v>15.04</v>
      </c>
      <c r="F220" s="1">
        <f ca="1">IFERROR(__xludf.DUMMYFUNCTION("""COMPUTED_VALUE"""),1813540)</f>
        <v>1813540</v>
      </c>
      <c r="G220" s="5">
        <f t="shared" ca="1" si="9"/>
        <v>0</v>
      </c>
      <c r="H220" s="14">
        <f t="shared" si="10"/>
        <v>2016</v>
      </c>
      <c r="I220" s="5">
        <f t="shared" ca="1" si="11"/>
        <v>6.6533599467729786E-4</v>
      </c>
      <c r="J220" s="16"/>
    </row>
    <row r="221" spans="1:10" x14ac:dyDescent="0.2">
      <c r="A221" s="3">
        <v>42597</v>
      </c>
      <c r="B221" s="1">
        <f ca="1">IFERROR(__xludf.DUMMYFUNCTION("""COMPUTED_VALUE"""),15.07)</f>
        <v>15.07</v>
      </c>
      <c r="C221" s="1">
        <f ca="1">IFERROR(__xludf.DUMMYFUNCTION("""COMPUTED_VALUE"""),15.3)</f>
        <v>15.3</v>
      </c>
      <c r="D221" s="1">
        <f ca="1">IFERROR(__xludf.DUMMYFUNCTION("""COMPUTED_VALUE"""),15)</f>
        <v>15</v>
      </c>
      <c r="E221" s="1">
        <f ca="1">IFERROR(__xludf.DUMMYFUNCTION("""COMPUTED_VALUE"""),15.04)</f>
        <v>15.04</v>
      </c>
      <c r="F221" s="1">
        <f ca="1">IFERROR(__xludf.DUMMYFUNCTION("""COMPUTED_VALUE"""),2034328)</f>
        <v>2034328</v>
      </c>
      <c r="G221" s="5">
        <f t="shared" ca="1" si="9"/>
        <v>-8.6436170212765302E-3</v>
      </c>
      <c r="H221" s="14">
        <f t="shared" si="10"/>
        <v>2016</v>
      </c>
      <c r="I221" s="5">
        <f t="shared" ca="1" si="11"/>
        <v>-1.9907100199071754E-3</v>
      </c>
      <c r="J221" s="16"/>
    </row>
    <row r="222" spans="1:10" x14ac:dyDescent="0.2">
      <c r="A222" s="3">
        <v>42598</v>
      </c>
      <c r="B222" s="1">
        <f ca="1">IFERROR(__xludf.DUMMYFUNCTION("""COMPUTED_VALUE"""),15.03)</f>
        <v>15.03</v>
      </c>
      <c r="C222" s="1">
        <f ca="1">IFERROR(__xludf.DUMMYFUNCTION("""COMPUTED_VALUE"""),15.15)</f>
        <v>15.15</v>
      </c>
      <c r="D222" s="1">
        <f ca="1">IFERROR(__xludf.DUMMYFUNCTION("""COMPUTED_VALUE"""),14.89)</f>
        <v>14.89</v>
      </c>
      <c r="E222" s="1">
        <f ca="1">IFERROR(__xludf.DUMMYFUNCTION("""COMPUTED_VALUE"""),14.91)</f>
        <v>14.91</v>
      </c>
      <c r="F222" s="1">
        <f ca="1">IFERROR(__xludf.DUMMYFUNCTION("""COMPUTED_VALUE"""),2267147)</f>
        <v>2267147</v>
      </c>
      <c r="G222" s="5">
        <f t="shared" ca="1" si="9"/>
        <v>-2.0120724346076031E-3</v>
      </c>
      <c r="H222" s="14">
        <f t="shared" si="10"/>
        <v>2016</v>
      </c>
      <c r="I222" s="5">
        <f t="shared" ca="1" si="11"/>
        <v>-7.9840319361276935E-3</v>
      </c>
      <c r="J222" s="16"/>
    </row>
    <row r="223" spans="1:10" x14ac:dyDescent="0.2">
      <c r="A223" s="3">
        <v>42599</v>
      </c>
      <c r="B223" s="1">
        <f ca="1">IFERROR(__xludf.DUMMYFUNCTION("""COMPUTED_VALUE"""),14.96)</f>
        <v>14.96</v>
      </c>
      <c r="C223" s="1">
        <f ca="1">IFERROR(__xludf.DUMMYFUNCTION("""COMPUTED_VALUE"""),14.99)</f>
        <v>14.99</v>
      </c>
      <c r="D223" s="1">
        <f ca="1">IFERROR(__xludf.DUMMYFUNCTION("""COMPUTED_VALUE"""),14.85)</f>
        <v>14.85</v>
      </c>
      <c r="E223" s="1">
        <f ca="1">IFERROR(__xludf.DUMMYFUNCTION("""COMPUTED_VALUE"""),14.88)</f>
        <v>14.88</v>
      </c>
      <c r="F223" s="1">
        <f ca="1">IFERROR(__xludf.DUMMYFUNCTION("""COMPUTED_VALUE"""),1787127)</f>
        <v>1787127</v>
      </c>
      <c r="G223" s="5">
        <f t="shared" ca="1" si="9"/>
        <v>1.3440860215053476E-3</v>
      </c>
      <c r="H223" s="14">
        <f t="shared" si="10"/>
        <v>2016</v>
      </c>
      <c r="I223" s="5">
        <f t="shared" ca="1" si="11"/>
        <v>-5.3475935828877046E-3</v>
      </c>
      <c r="J223" s="16"/>
    </row>
    <row r="224" spans="1:10" x14ac:dyDescent="0.2">
      <c r="A224" s="3">
        <v>42600</v>
      </c>
      <c r="B224" s="1">
        <f ca="1">IFERROR(__xludf.DUMMYFUNCTION("""COMPUTED_VALUE"""),14.92)</f>
        <v>14.92</v>
      </c>
      <c r="C224" s="1">
        <f ca="1">IFERROR(__xludf.DUMMYFUNCTION("""COMPUTED_VALUE"""),15.04)</f>
        <v>15.04</v>
      </c>
      <c r="D224" s="1">
        <f ca="1">IFERROR(__xludf.DUMMYFUNCTION("""COMPUTED_VALUE"""),14.82)</f>
        <v>14.82</v>
      </c>
      <c r="E224" s="1">
        <f ca="1">IFERROR(__xludf.DUMMYFUNCTION("""COMPUTED_VALUE"""),14.9)</f>
        <v>14.9</v>
      </c>
      <c r="F224" s="1">
        <f ca="1">IFERROR(__xludf.DUMMYFUNCTION("""COMPUTED_VALUE"""),1714467)</f>
        <v>1714467</v>
      </c>
      <c r="G224" s="5">
        <f t="shared" ca="1" si="9"/>
        <v>6.7114093959731299E-3</v>
      </c>
      <c r="H224" s="14">
        <f t="shared" si="10"/>
        <v>2016</v>
      </c>
      <c r="I224" s="5">
        <f t="shared" ca="1" si="11"/>
        <v>-1.340482573726513E-3</v>
      </c>
      <c r="J224" s="16"/>
    </row>
    <row r="225" spans="1:10" x14ac:dyDescent="0.2">
      <c r="A225" s="3">
        <v>42601</v>
      </c>
      <c r="B225" s="1">
        <f ca="1">IFERROR(__xludf.DUMMYFUNCTION("""COMPUTED_VALUE"""),14.9)</f>
        <v>14.9</v>
      </c>
      <c r="C225" s="1">
        <f ca="1">IFERROR(__xludf.DUMMYFUNCTION("""COMPUTED_VALUE"""),15.01)</f>
        <v>15.01</v>
      </c>
      <c r="D225" s="1">
        <f ca="1">IFERROR(__xludf.DUMMYFUNCTION("""COMPUTED_VALUE"""),14.84)</f>
        <v>14.84</v>
      </c>
      <c r="E225" s="1">
        <f ca="1">IFERROR(__xludf.DUMMYFUNCTION("""COMPUTED_VALUE"""),15)</f>
        <v>15</v>
      </c>
      <c r="F225" s="1">
        <f ca="1">IFERROR(__xludf.DUMMYFUNCTION("""COMPUTED_VALUE"""),1659530)</f>
        <v>1659530</v>
      </c>
      <c r="G225" s="5">
        <f t="shared" ca="1" si="9"/>
        <v>-9.3333333333333705E-3</v>
      </c>
      <c r="H225" s="14">
        <f t="shared" si="10"/>
        <v>2016</v>
      </c>
      <c r="I225" s="5">
        <f t="shared" ca="1" si="11"/>
        <v>6.7114093959731299E-3</v>
      </c>
      <c r="J225" s="16"/>
    </row>
    <row r="226" spans="1:10" x14ac:dyDescent="0.2">
      <c r="A226" s="3">
        <v>42604</v>
      </c>
      <c r="B226" s="1">
        <f ca="1">IFERROR(__xludf.DUMMYFUNCTION("""COMPUTED_VALUE"""),14.94)</f>
        <v>14.94</v>
      </c>
      <c r="C226" s="1">
        <f ca="1">IFERROR(__xludf.DUMMYFUNCTION("""COMPUTED_VALUE"""),15.01)</f>
        <v>15.01</v>
      </c>
      <c r="D226" s="1">
        <f ca="1">IFERROR(__xludf.DUMMYFUNCTION("""COMPUTED_VALUE"""),14.85)</f>
        <v>14.85</v>
      </c>
      <c r="E226" s="1">
        <f ca="1">IFERROR(__xludf.DUMMYFUNCTION("""COMPUTED_VALUE"""),14.86)</f>
        <v>14.86</v>
      </c>
      <c r="F226" s="1">
        <f ca="1">IFERROR(__xludf.DUMMYFUNCTION("""COMPUTED_VALUE"""),2065493)</f>
        <v>2065493</v>
      </c>
      <c r="G226" s="5">
        <f t="shared" ca="1" si="9"/>
        <v>8.7483176312248175E-3</v>
      </c>
      <c r="H226" s="14">
        <f t="shared" si="10"/>
        <v>2016</v>
      </c>
      <c r="I226" s="5">
        <f t="shared" ca="1" si="11"/>
        <v>-5.3547523427041549E-3</v>
      </c>
      <c r="J226" s="16"/>
    </row>
    <row r="227" spans="1:10" x14ac:dyDescent="0.2">
      <c r="A227" s="3">
        <v>42605</v>
      </c>
      <c r="B227" s="1">
        <f ca="1">IFERROR(__xludf.DUMMYFUNCTION("""COMPUTED_VALUE"""),14.95)</f>
        <v>14.95</v>
      </c>
      <c r="C227" s="1">
        <f ca="1">IFERROR(__xludf.DUMMYFUNCTION("""COMPUTED_VALUE"""),15.23)</f>
        <v>15.23</v>
      </c>
      <c r="D227" s="1">
        <f ca="1">IFERROR(__xludf.DUMMYFUNCTION("""COMPUTED_VALUE"""),14.85)</f>
        <v>14.85</v>
      </c>
      <c r="E227" s="1">
        <f ca="1">IFERROR(__xludf.DUMMYFUNCTION("""COMPUTED_VALUE"""),14.99)</f>
        <v>14.99</v>
      </c>
      <c r="F227" s="1">
        <f ca="1">IFERROR(__xludf.DUMMYFUNCTION("""COMPUTED_VALUE"""),4784418)</f>
        <v>4784418</v>
      </c>
      <c r="G227" s="5">
        <f t="shared" ca="1" si="9"/>
        <v>-1.0006671114076075E-2</v>
      </c>
      <c r="H227" s="14">
        <f t="shared" si="10"/>
        <v>2016</v>
      </c>
      <c r="I227" s="5">
        <f t="shared" ca="1" si="11"/>
        <v>2.6755852842809983E-3</v>
      </c>
      <c r="J227" s="16"/>
    </row>
    <row r="228" spans="1:10" x14ac:dyDescent="0.2">
      <c r="A228" s="3">
        <v>42606</v>
      </c>
      <c r="B228" s="1">
        <f ca="1">IFERROR(__xludf.DUMMYFUNCTION("""COMPUTED_VALUE"""),15.14)</f>
        <v>15.14</v>
      </c>
      <c r="C228" s="1">
        <f ca="1">IFERROR(__xludf.DUMMYFUNCTION("""COMPUTED_VALUE"""),15.14)</f>
        <v>15.14</v>
      </c>
      <c r="D228" s="1">
        <f ca="1">IFERROR(__xludf.DUMMYFUNCTION("""COMPUTED_VALUE"""),14.81)</f>
        <v>14.81</v>
      </c>
      <c r="E228" s="1">
        <f ca="1">IFERROR(__xludf.DUMMYFUNCTION("""COMPUTED_VALUE"""),14.84)</f>
        <v>14.84</v>
      </c>
      <c r="F228" s="1">
        <f ca="1">IFERROR(__xludf.DUMMYFUNCTION("""COMPUTED_VALUE"""),2570693)</f>
        <v>2570693</v>
      </c>
      <c r="G228" s="5">
        <f t="shared" ca="1" si="9"/>
        <v>-7.4123989218328459E-3</v>
      </c>
      <c r="H228" s="14">
        <f t="shared" si="10"/>
        <v>2016</v>
      </c>
      <c r="I228" s="5">
        <f t="shared" ca="1" si="11"/>
        <v>-1.9815059445178383E-2</v>
      </c>
      <c r="J228" s="16"/>
    </row>
    <row r="229" spans="1:10" x14ac:dyDescent="0.2">
      <c r="A229" s="3">
        <v>42607</v>
      </c>
      <c r="B229" s="1">
        <f ca="1">IFERROR(__xludf.DUMMYFUNCTION("""COMPUTED_VALUE"""),14.87)</f>
        <v>14.87</v>
      </c>
      <c r="C229" s="1">
        <f ca="1">IFERROR(__xludf.DUMMYFUNCTION("""COMPUTED_VALUE"""),14.92)</f>
        <v>14.92</v>
      </c>
      <c r="D229" s="1">
        <f ca="1">IFERROR(__xludf.DUMMYFUNCTION("""COMPUTED_VALUE"""),14.72)</f>
        <v>14.72</v>
      </c>
      <c r="E229" s="1">
        <f ca="1">IFERROR(__xludf.DUMMYFUNCTION("""COMPUTED_VALUE"""),14.73)</f>
        <v>14.73</v>
      </c>
      <c r="F229" s="1">
        <f ca="1">IFERROR(__xludf.DUMMYFUNCTION("""COMPUTED_VALUE"""),1762519)</f>
        <v>1762519</v>
      </c>
      <c r="G229" s="5">
        <f t="shared" ca="1" si="9"/>
        <v>-4.0733197556008481E-3</v>
      </c>
      <c r="H229" s="14">
        <f t="shared" si="10"/>
        <v>2016</v>
      </c>
      <c r="I229" s="5">
        <f t="shared" ca="1" si="11"/>
        <v>-9.4149293880295085E-3</v>
      </c>
      <c r="J229" s="16"/>
    </row>
    <row r="230" spans="1:10" x14ac:dyDescent="0.2">
      <c r="A230" s="3">
        <v>42608</v>
      </c>
      <c r="B230" s="1">
        <f ca="1">IFERROR(__xludf.DUMMYFUNCTION("""COMPUTED_VALUE"""),14.81)</f>
        <v>14.81</v>
      </c>
      <c r="C230" s="1">
        <f ca="1">IFERROR(__xludf.DUMMYFUNCTION("""COMPUTED_VALUE"""),14.86)</f>
        <v>14.86</v>
      </c>
      <c r="D230" s="1">
        <f ca="1">IFERROR(__xludf.DUMMYFUNCTION("""COMPUTED_VALUE"""),14.59)</f>
        <v>14.59</v>
      </c>
      <c r="E230" s="1">
        <f ca="1">IFERROR(__xludf.DUMMYFUNCTION("""COMPUTED_VALUE"""),14.67)</f>
        <v>14.67</v>
      </c>
      <c r="F230" s="1">
        <f ca="1">IFERROR(__xludf.DUMMYFUNCTION("""COMPUTED_VALUE"""),2238992)</f>
        <v>2238992</v>
      </c>
      <c r="G230" s="5">
        <f t="shared" ca="1" si="9"/>
        <v>-2.1813224267212016E-2</v>
      </c>
      <c r="H230" s="14">
        <f t="shared" si="10"/>
        <v>2016</v>
      </c>
      <c r="I230" s="5">
        <f t="shared" ca="1" si="11"/>
        <v>-9.4530722484807948E-3</v>
      </c>
      <c r="J230" s="16"/>
    </row>
    <row r="231" spans="1:10" x14ac:dyDescent="0.2">
      <c r="A231" s="3">
        <v>42611</v>
      </c>
      <c r="B231" s="1">
        <f ca="1">IFERROR(__xludf.DUMMYFUNCTION("""COMPUTED_VALUE"""),14.68)</f>
        <v>14.68</v>
      </c>
      <c r="C231" s="1">
        <f ca="1">IFERROR(__xludf.DUMMYFUNCTION("""COMPUTED_VALUE"""),14.69)</f>
        <v>14.69</v>
      </c>
      <c r="D231" s="1">
        <f ca="1">IFERROR(__xludf.DUMMYFUNCTION("""COMPUTED_VALUE"""),14.33)</f>
        <v>14.33</v>
      </c>
      <c r="E231" s="1">
        <f ca="1">IFERROR(__xludf.DUMMYFUNCTION("""COMPUTED_VALUE"""),14.35)</f>
        <v>14.35</v>
      </c>
      <c r="F231" s="1">
        <f ca="1">IFERROR(__xludf.DUMMYFUNCTION("""COMPUTED_VALUE"""),3266334)</f>
        <v>3266334</v>
      </c>
      <c r="G231" s="5">
        <f t="shared" ca="1" si="9"/>
        <v>-1.8118466898954688E-2</v>
      </c>
      <c r="H231" s="14">
        <f t="shared" si="10"/>
        <v>2016</v>
      </c>
      <c r="I231" s="5">
        <f t="shared" ca="1" si="11"/>
        <v>-2.2479564032697553E-2</v>
      </c>
      <c r="J231" s="16"/>
    </row>
    <row r="232" spans="1:10" x14ac:dyDescent="0.2">
      <c r="A232" s="3">
        <v>42612</v>
      </c>
      <c r="B232" s="1">
        <f ca="1">IFERROR(__xludf.DUMMYFUNCTION("""COMPUTED_VALUE"""),14.41)</f>
        <v>14.41</v>
      </c>
      <c r="C232" s="1">
        <f ca="1">IFERROR(__xludf.DUMMYFUNCTION("""COMPUTED_VALUE"""),14.41)</f>
        <v>14.41</v>
      </c>
      <c r="D232" s="1">
        <f ca="1">IFERROR(__xludf.DUMMYFUNCTION("""COMPUTED_VALUE"""),14.03)</f>
        <v>14.03</v>
      </c>
      <c r="E232" s="1">
        <f ca="1">IFERROR(__xludf.DUMMYFUNCTION("""COMPUTED_VALUE"""),14.09)</f>
        <v>14.09</v>
      </c>
      <c r="F232" s="1">
        <f ca="1">IFERROR(__xludf.DUMMYFUNCTION("""COMPUTED_VALUE"""),3168862)</f>
        <v>3168862</v>
      </c>
      <c r="G232" s="5">
        <f t="shared" ca="1" si="9"/>
        <v>2.8388928317956653E-3</v>
      </c>
      <c r="H232" s="14">
        <f t="shared" si="10"/>
        <v>2016</v>
      </c>
      <c r="I232" s="5">
        <f t="shared" ca="1" si="11"/>
        <v>-2.2206800832755051E-2</v>
      </c>
      <c r="J232" s="16"/>
    </row>
    <row r="233" spans="1:10" x14ac:dyDescent="0.2">
      <c r="A233" s="3">
        <v>42613</v>
      </c>
      <c r="B233" s="1">
        <f ca="1">IFERROR(__xludf.DUMMYFUNCTION("""COMPUTED_VALUE"""),14.03)</f>
        <v>14.03</v>
      </c>
      <c r="C233" s="1">
        <f ca="1">IFERROR(__xludf.DUMMYFUNCTION("""COMPUTED_VALUE"""),14.17)</f>
        <v>14.17</v>
      </c>
      <c r="D233" s="1">
        <f ca="1">IFERROR(__xludf.DUMMYFUNCTION("""COMPUTED_VALUE"""),13.91)</f>
        <v>13.91</v>
      </c>
      <c r="E233" s="1">
        <f ca="1">IFERROR(__xludf.DUMMYFUNCTION("""COMPUTED_VALUE"""),14.13)</f>
        <v>14.13</v>
      </c>
      <c r="F233" s="1">
        <f ca="1">IFERROR(__xludf.DUMMYFUNCTION("""COMPUTED_VALUE"""),3276548)</f>
        <v>3276548</v>
      </c>
      <c r="G233" s="5">
        <f t="shared" ca="1" si="9"/>
        <v>-5.3078556263269634E-2</v>
      </c>
      <c r="H233" s="14">
        <f t="shared" si="10"/>
        <v>2016</v>
      </c>
      <c r="I233" s="5">
        <f t="shared" ca="1" si="11"/>
        <v>7.1275837491091539E-3</v>
      </c>
      <c r="J233" s="16"/>
    </row>
    <row r="234" spans="1:10" x14ac:dyDescent="0.2">
      <c r="A234" s="3">
        <v>42614</v>
      </c>
      <c r="B234" s="1">
        <f ca="1">IFERROR(__xludf.DUMMYFUNCTION("""COMPUTED_VALUE"""),13.93)</f>
        <v>13.93</v>
      </c>
      <c r="C234" s="1">
        <f ca="1">IFERROR(__xludf.DUMMYFUNCTION("""COMPUTED_VALUE"""),14.07)</f>
        <v>14.07</v>
      </c>
      <c r="D234" s="1">
        <f ca="1">IFERROR(__xludf.DUMMYFUNCTION("""COMPUTED_VALUE"""),13.37)</f>
        <v>13.37</v>
      </c>
      <c r="E234" s="1">
        <f ca="1">IFERROR(__xludf.DUMMYFUNCTION("""COMPUTED_VALUE"""),13.38)</f>
        <v>13.38</v>
      </c>
      <c r="F234" s="1">
        <f ca="1">IFERROR(__xludf.DUMMYFUNCTION("""COMPUTED_VALUE"""),7943138)</f>
        <v>7943138</v>
      </c>
      <c r="G234" s="5">
        <f t="shared" ca="1" si="9"/>
        <v>-1.4200298953662278E-2</v>
      </c>
      <c r="H234" s="14">
        <f t="shared" si="10"/>
        <v>2016</v>
      </c>
      <c r="I234" s="5">
        <f t="shared" ca="1" si="11"/>
        <v>-3.9483129935391166E-2</v>
      </c>
      <c r="J234" s="16"/>
    </row>
    <row r="235" spans="1:10" x14ac:dyDescent="0.2">
      <c r="A235" s="3">
        <v>42615</v>
      </c>
      <c r="B235" s="1">
        <f ca="1">IFERROR(__xludf.DUMMYFUNCTION("""COMPUTED_VALUE"""),13.49)</f>
        <v>13.49</v>
      </c>
      <c r="C235" s="1">
        <f ca="1">IFERROR(__xludf.DUMMYFUNCTION("""COMPUTED_VALUE"""),13.55)</f>
        <v>13.55</v>
      </c>
      <c r="D235" s="1">
        <f ca="1">IFERROR(__xludf.DUMMYFUNCTION("""COMPUTED_VALUE"""),13.08)</f>
        <v>13.08</v>
      </c>
      <c r="E235" s="1">
        <f ca="1">IFERROR(__xludf.DUMMYFUNCTION("""COMPUTED_VALUE"""),13.19)</f>
        <v>13.19</v>
      </c>
      <c r="F235" s="1">
        <f ca="1">IFERROR(__xludf.DUMMYFUNCTION("""COMPUTED_VALUE"""),5977413)</f>
        <v>5977413</v>
      </c>
      <c r="G235" s="5">
        <f t="shared" ca="1" si="9"/>
        <v>2.5018953752843069E-2</v>
      </c>
      <c r="H235" s="14">
        <f t="shared" si="10"/>
        <v>2016</v>
      </c>
      <c r="I235" s="5">
        <f t="shared" ca="1" si="11"/>
        <v>-2.2238695329874034E-2</v>
      </c>
      <c r="J235" s="16"/>
    </row>
    <row r="236" spans="1:10" x14ac:dyDescent="0.2">
      <c r="A236" s="3">
        <v>42619</v>
      </c>
      <c r="B236" s="1">
        <f ca="1">IFERROR(__xludf.DUMMYFUNCTION("""COMPUTED_VALUE"""),13.27)</f>
        <v>13.27</v>
      </c>
      <c r="C236" s="1">
        <f ca="1">IFERROR(__xludf.DUMMYFUNCTION("""COMPUTED_VALUE"""),13.55)</f>
        <v>13.55</v>
      </c>
      <c r="D236" s="1">
        <f ca="1">IFERROR(__xludf.DUMMYFUNCTION("""COMPUTED_VALUE"""),13.27)</f>
        <v>13.27</v>
      </c>
      <c r="E236" s="1">
        <f ca="1">IFERROR(__xludf.DUMMYFUNCTION("""COMPUTED_VALUE"""),13.52)</f>
        <v>13.52</v>
      </c>
      <c r="F236" s="1">
        <f ca="1">IFERROR(__xludf.DUMMYFUNCTION("""COMPUTED_VALUE"""),4390572)</f>
        <v>4390572</v>
      </c>
      <c r="G236" s="5">
        <f t="shared" ca="1" si="9"/>
        <v>-5.1775147928994295E-3</v>
      </c>
      <c r="H236" s="14">
        <f t="shared" si="10"/>
        <v>2016</v>
      </c>
      <c r="I236" s="5">
        <f t="shared" ca="1" si="11"/>
        <v>1.8839487565938208E-2</v>
      </c>
      <c r="J236" s="16"/>
    </row>
    <row r="237" spans="1:10" x14ac:dyDescent="0.2">
      <c r="A237" s="3">
        <v>42620</v>
      </c>
      <c r="B237" s="1">
        <f ca="1">IFERROR(__xludf.DUMMYFUNCTION("""COMPUTED_VALUE"""),13.7)</f>
        <v>13.7</v>
      </c>
      <c r="C237" s="1">
        <f ca="1">IFERROR(__xludf.DUMMYFUNCTION("""COMPUTED_VALUE"""),13.77)</f>
        <v>13.77</v>
      </c>
      <c r="D237" s="1">
        <f ca="1">IFERROR(__xludf.DUMMYFUNCTION("""COMPUTED_VALUE"""),13.38)</f>
        <v>13.38</v>
      </c>
      <c r="E237" s="1">
        <f ca="1">IFERROR(__xludf.DUMMYFUNCTION("""COMPUTED_VALUE"""),13.45)</f>
        <v>13.45</v>
      </c>
      <c r="F237" s="1">
        <f ca="1">IFERROR(__xludf.DUMMYFUNCTION("""COMPUTED_VALUE"""),3640923)</f>
        <v>3640923</v>
      </c>
      <c r="G237" s="5">
        <f t="shared" ca="1" si="9"/>
        <v>-2.1561338289962761E-2</v>
      </c>
      <c r="H237" s="14">
        <f t="shared" si="10"/>
        <v>2016</v>
      </c>
      <c r="I237" s="5">
        <f t="shared" ca="1" si="11"/>
        <v>-1.8248175182481754E-2</v>
      </c>
      <c r="J237" s="16"/>
    </row>
    <row r="238" spans="1:10" x14ac:dyDescent="0.2">
      <c r="A238" s="3">
        <v>42621</v>
      </c>
      <c r="B238" s="1">
        <f ca="1">IFERROR(__xludf.DUMMYFUNCTION("""COMPUTED_VALUE"""),13.3)</f>
        <v>13.3</v>
      </c>
      <c r="C238" s="1">
        <f ca="1">IFERROR(__xludf.DUMMYFUNCTION("""COMPUTED_VALUE"""),13.33)</f>
        <v>13.33</v>
      </c>
      <c r="D238" s="1">
        <f ca="1">IFERROR(__xludf.DUMMYFUNCTION("""COMPUTED_VALUE"""),13.09)</f>
        <v>13.09</v>
      </c>
      <c r="E238" s="1">
        <f ca="1">IFERROR(__xludf.DUMMYFUNCTION("""COMPUTED_VALUE"""),13.16)</f>
        <v>13.16</v>
      </c>
      <c r="F238" s="1">
        <f ca="1">IFERROR(__xludf.DUMMYFUNCTION("""COMPUTED_VALUE"""),3377946)</f>
        <v>3377946</v>
      </c>
      <c r="G238" s="5">
        <f t="shared" ca="1" si="9"/>
        <v>-1.5197568389057697E-2</v>
      </c>
      <c r="H238" s="14">
        <f t="shared" si="10"/>
        <v>2016</v>
      </c>
      <c r="I238" s="5">
        <f t="shared" ca="1" si="11"/>
        <v>-1.0526315789473726E-2</v>
      </c>
      <c r="J238" s="16"/>
    </row>
    <row r="239" spans="1:10" x14ac:dyDescent="0.2">
      <c r="A239" s="3">
        <v>42622</v>
      </c>
      <c r="B239" s="1">
        <f ca="1">IFERROR(__xludf.DUMMYFUNCTION("""COMPUTED_VALUE"""),13.27)</f>
        <v>13.27</v>
      </c>
      <c r="C239" s="1">
        <f ca="1">IFERROR(__xludf.DUMMYFUNCTION("""COMPUTED_VALUE"""),13.33)</f>
        <v>13.33</v>
      </c>
      <c r="D239" s="1">
        <f ca="1">IFERROR(__xludf.DUMMYFUNCTION("""COMPUTED_VALUE"""),12.91)</f>
        <v>12.91</v>
      </c>
      <c r="E239" s="1">
        <f ca="1">IFERROR(__xludf.DUMMYFUNCTION("""COMPUTED_VALUE"""),12.96)</f>
        <v>12.96</v>
      </c>
      <c r="F239" s="1">
        <f ca="1">IFERROR(__xludf.DUMMYFUNCTION("""COMPUTED_VALUE"""),3756992)</f>
        <v>3756992</v>
      </c>
      <c r="G239" s="5">
        <f t="shared" ca="1" si="9"/>
        <v>2.006172839506171E-2</v>
      </c>
      <c r="H239" s="14">
        <f t="shared" si="10"/>
        <v>2016</v>
      </c>
      <c r="I239" s="5">
        <f t="shared" ca="1" si="11"/>
        <v>-2.3360964581763281E-2</v>
      </c>
      <c r="J239" s="16"/>
    </row>
    <row r="240" spans="1:10" x14ac:dyDescent="0.2">
      <c r="A240" s="3">
        <v>42625</v>
      </c>
      <c r="B240" s="1">
        <f ca="1">IFERROR(__xludf.DUMMYFUNCTION("""COMPUTED_VALUE"""),13)</f>
        <v>13</v>
      </c>
      <c r="C240" s="1">
        <f ca="1">IFERROR(__xludf.DUMMYFUNCTION("""COMPUTED_VALUE"""),13.42)</f>
        <v>13.42</v>
      </c>
      <c r="D240" s="1">
        <f ca="1">IFERROR(__xludf.DUMMYFUNCTION("""COMPUTED_VALUE"""),12.94)</f>
        <v>12.94</v>
      </c>
      <c r="E240" s="1">
        <f ca="1">IFERROR(__xludf.DUMMYFUNCTION("""COMPUTED_VALUE"""),13.22)</f>
        <v>13.22</v>
      </c>
      <c r="F240" s="1">
        <f ca="1">IFERROR(__xludf.DUMMYFUNCTION("""COMPUTED_VALUE"""),3715161)</f>
        <v>3715161</v>
      </c>
      <c r="G240" s="5">
        <f t="shared" ca="1" si="9"/>
        <v>-1.1346444780635427E-2</v>
      </c>
      <c r="H240" s="14">
        <f t="shared" si="10"/>
        <v>2016</v>
      </c>
      <c r="I240" s="5">
        <f t="shared" ca="1" si="11"/>
        <v>1.6923076923076971E-2</v>
      </c>
      <c r="J240" s="16"/>
    </row>
    <row r="241" spans="1:10" x14ac:dyDescent="0.2">
      <c r="A241" s="3">
        <v>42626</v>
      </c>
      <c r="B241" s="1">
        <f ca="1">IFERROR(__xludf.DUMMYFUNCTION("""COMPUTED_VALUE"""),13.14)</f>
        <v>13.14</v>
      </c>
      <c r="C241" s="1">
        <f ca="1">IFERROR(__xludf.DUMMYFUNCTION("""COMPUTED_VALUE"""),13.23)</f>
        <v>13.23</v>
      </c>
      <c r="D241" s="1">
        <f ca="1">IFERROR(__xludf.DUMMYFUNCTION("""COMPUTED_VALUE"""),12.9)</f>
        <v>12.9</v>
      </c>
      <c r="E241" s="1">
        <f ca="1">IFERROR(__xludf.DUMMYFUNCTION("""COMPUTED_VALUE"""),13.07)</f>
        <v>13.07</v>
      </c>
      <c r="F241" s="1">
        <f ca="1">IFERROR(__xludf.DUMMYFUNCTION("""COMPUTED_VALUE"""),3589379)</f>
        <v>3589379</v>
      </c>
      <c r="G241" s="5">
        <f t="shared" ca="1" si="9"/>
        <v>1.5302218821728825E-3</v>
      </c>
      <c r="H241" s="14">
        <f t="shared" si="10"/>
        <v>2016</v>
      </c>
      <c r="I241" s="5">
        <f t="shared" ca="1" si="11"/>
        <v>-5.3272450532724719E-3</v>
      </c>
      <c r="J241" s="16"/>
    </row>
    <row r="242" spans="1:10" x14ac:dyDescent="0.2">
      <c r="A242" s="3">
        <v>42627</v>
      </c>
      <c r="B242" s="1">
        <f ca="1">IFERROR(__xludf.DUMMYFUNCTION("""COMPUTED_VALUE"""),13.05)</f>
        <v>13.05</v>
      </c>
      <c r="C242" s="1">
        <f ca="1">IFERROR(__xludf.DUMMYFUNCTION("""COMPUTED_VALUE"""),13.19)</f>
        <v>13.19</v>
      </c>
      <c r="D242" s="1">
        <f ca="1">IFERROR(__xludf.DUMMYFUNCTION("""COMPUTED_VALUE"""),12.99)</f>
        <v>12.99</v>
      </c>
      <c r="E242" s="1">
        <f ca="1">IFERROR(__xludf.DUMMYFUNCTION("""COMPUTED_VALUE"""),13.09)</f>
        <v>13.09</v>
      </c>
      <c r="F242" s="1">
        <f ca="1">IFERROR(__xludf.DUMMYFUNCTION("""COMPUTED_VALUE"""),2259231)</f>
        <v>2259231</v>
      </c>
      <c r="G242" s="5">
        <f t="shared" ca="1" si="9"/>
        <v>2.062643239113824E-2</v>
      </c>
      <c r="H242" s="14">
        <f t="shared" si="10"/>
        <v>2016</v>
      </c>
      <c r="I242" s="5">
        <f t="shared" ca="1" si="11"/>
        <v>3.0651340996167929E-3</v>
      </c>
      <c r="J242" s="16"/>
    </row>
    <row r="243" spans="1:10" x14ac:dyDescent="0.2">
      <c r="A243" s="3">
        <v>42628</v>
      </c>
      <c r="B243" s="1">
        <f ca="1">IFERROR(__xludf.DUMMYFUNCTION("""COMPUTED_VALUE"""),13.1)</f>
        <v>13.1</v>
      </c>
      <c r="C243" s="1">
        <f ca="1">IFERROR(__xludf.DUMMYFUNCTION("""COMPUTED_VALUE"""),13.5)</f>
        <v>13.5</v>
      </c>
      <c r="D243" s="1">
        <f ca="1">IFERROR(__xludf.DUMMYFUNCTION("""COMPUTED_VALUE"""),13.09)</f>
        <v>13.09</v>
      </c>
      <c r="E243" s="1">
        <f ca="1">IFERROR(__xludf.DUMMYFUNCTION("""COMPUTED_VALUE"""),13.36)</f>
        <v>13.36</v>
      </c>
      <c r="F243" s="1">
        <f ca="1">IFERROR(__xludf.DUMMYFUNCTION("""COMPUTED_VALUE"""),3085115)</f>
        <v>3085115</v>
      </c>
      <c r="G243" s="5">
        <f t="shared" ca="1" si="9"/>
        <v>2.4700598802395217E-2</v>
      </c>
      <c r="H243" s="14">
        <f t="shared" si="10"/>
        <v>2016</v>
      </c>
      <c r="I243" s="5">
        <f t="shared" ca="1" si="11"/>
        <v>1.9847328244274792E-2</v>
      </c>
      <c r="J243" s="16"/>
    </row>
    <row r="244" spans="1:10" x14ac:dyDescent="0.2">
      <c r="A244" s="3">
        <v>42629</v>
      </c>
      <c r="B244" s="1">
        <f ca="1">IFERROR(__xludf.DUMMYFUNCTION("""COMPUTED_VALUE"""),13.36)</f>
        <v>13.36</v>
      </c>
      <c r="C244" s="1">
        <f ca="1">IFERROR(__xludf.DUMMYFUNCTION("""COMPUTED_VALUE"""),13.71)</f>
        <v>13.71</v>
      </c>
      <c r="D244" s="1">
        <f ca="1">IFERROR(__xludf.DUMMYFUNCTION("""COMPUTED_VALUE"""),13.27)</f>
        <v>13.27</v>
      </c>
      <c r="E244" s="1">
        <f ca="1">IFERROR(__xludf.DUMMYFUNCTION("""COMPUTED_VALUE"""),13.69)</f>
        <v>13.69</v>
      </c>
      <c r="F244" s="1">
        <f ca="1">IFERROR(__xludf.DUMMYFUNCTION("""COMPUTED_VALUE"""),3107808)</f>
        <v>3107808</v>
      </c>
      <c r="G244" s="5">
        <f t="shared" ca="1" si="9"/>
        <v>5.1132213294375669E-3</v>
      </c>
      <c r="H244" s="14">
        <f t="shared" si="10"/>
        <v>2016</v>
      </c>
      <c r="I244" s="5">
        <f t="shared" ca="1" si="11"/>
        <v>2.4700598802395217E-2</v>
      </c>
      <c r="J244" s="16"/>
    </row>
    <row r="245" spans="1:10" x14ac:dyDescent="0.2">
      <c r="A245" s="3">
        <v>42632</v>
      </c>
      <c r="B245" s="1">
        <f ca="1">IFERROR(__xludf.DUMMYFUNCTION("""COMPUTED_VALUE"""),13.8)</f>
        <v>13.8</v>
      </c>
      <c r="C245" s="1">
        <f ca="1">IFERROR(__xludf.DUMMYFUNCTION("""COMPUTED_VALUE"""),13.96)</f>
        <v>13.96</v>
      </c>
      <c r="D245" s="1">
        <f ca="1">IFERROR(__xludf.DUMMYFUNCTION("""COMPUTED_VALUE"""),13.67)</f>
        <v>13.67</v>
      </c>
      <c r="E245" s="1">
        <f ca="1">IFERROR(__xludf.DUMMYFUNCTION("""COMPUTED_VALUE"""),13.76)</f>
        <v>13.76</v>
      </c>
      <c r="F245" s="1">
        <f ca="1">IFERROR(__xludf.DUMMYFUNCTION("""COMPUTED_VALUE"""),2299498)</f>
        <v>2299498</v>
      </c>
      <c r="G245" s="5">
        <f t="shared" ca="1" si="9"/>
        <v>-8.7209302325580822E-3</v>
      </c>
      <c r="H245" s="14">
        <f t="shared" si="10"/>
        <v>2016</v>
      </c>
      <c r="I245" s="5">
        <f t="shared" ca="1" si="11"/>
        <v>-2.898550724637748E-3</v>
      </c>
      <c r="J245" s="16"/>
    </row>
    <row r="246" spans="1:10" x14ac:dyDescent="0.2">
      <c r="A246" s="3">
        <v>42633</v>
      </c>
      <c r="B246" s="1">
        <f ca="1">IFERROR(__xludf.DUMMYFUNCTION("""COMPUTED_VALUE"""),13.79)</f>
        <v>13.79</v>
      </c>
      <c r="C246" s="1">
        <f ca="1">IFERROR(__xludf.DUMMYFUNCTION("""COMPUTED_VALUE"""),13.85)</f>
        <v>13.85</v>
      </c>
      <c r="D246" s="1">
        <f ca="1">IFERROR(__xludf.DUMMYFUNCTION("""COMPUTED_VALUE"""),13.59)</f>
        <v>13.59</v>
      </c>
      <c r="E246" s="1">
        <f ca="1">IFERROR(__xludf.DUMMYFUNCTION("""COMPUTED_VALUE"""),13.64)</f>
        <v>13.64</v>
      </c>
      <c r="F246" s="1">
        <f ca="1">IFERROR(__xludf.DUMMYFUNCTION("""COMPUTED_VALUE"""),2410488)</f>
        <v>2410488</v>
      </c>
      <c r="G246" s="5">
        <f t="shared" ca="1" si="9"/>
        <v>2.9325513196480314E-3</v>
      </c>
      <c r="H246" s="14">
        <f t="shared" si="10"/>
        <v>2016</v>
      </c>
      <c r="I246" s="5">
        <f t="shared" ca="1" si="11"/>
        <v>-1.0877447425670674E-2</v>
      </c>
      <c r="J246" s="16"/>
    </row>
    <row r="247" spans="1:10" x14ac:dyDescent="0.2">
      <c r="A247" s="3">
        <v>42634</v>
      </c>
      <c r="B247" s="1">
        <f ca="1">IFERROR(__xludf.DUMMYFUNCTION("""COMPUTED_VALUE"""),13.76)</f>
        <v>13.76</v>
      </c>
      <c r="C247" s="1">
        <f ca="1">IFERROR(__xludf.DUMMYFUNCTION("""COMPUTED_VALUE"""),13.8)</f>
        <v>13.8</v>
      </c>
      <c r="D247" s="1">
        <f ca="1">IFERROR(__xludf.DUMMYFUNCTION("""COMPUTED_VALUE"""),13.44)</f>
        <v>13.44</v>
      </c>
      <c r="E247" s="1">
        <f ca="1">IFERROR(__xludf.DUMMYFUNCTION("""COMPUTED_VALUE"""),13.68)</f>
        <v>13.68</v>
      </c>
      <c r="F247" s="1">
        <f ca="1">IFERROR(__xludf.DUMMYFUNCTION("""COMPUTED_VALUE"""),2633503)</f>
        <v>2633503</v>
      </c>
      <c r="G247" s="5">
        <f t="shared" ca="1" si="9"/>
        <v>5.8479532163742748E-3</v>
      </c>
      <c r="H247" s="14">
        <f t="shared" si="10"/>
        <v>2016</v>
      </c>
      <c r="I247" s="5">
        <f t="shared" ca="1" si="11"/>
        <v>-5.8139534883720981E-3</v>
      </c>
      <c r="J247" s="16"/>
    </row>
    <row r="248" spans="1:10" x14ac:dyDescent="0.2">
      <c r="A248" s="3">
        <v>42635</v>
      </c>
      <c r="B248" s="1">
        <f ca="1">IFERROR(__xludf.DUMMYFUNCTION("""COMPUTED_VALUE"""),13.76)</f>
        <v>13.76</v>
      </c>
      <c r="C248" s="1">
        <f ca="1">IFERROR(__xludf.DUMMYFUNCTION("""COMPUTED_VALUE"""),13.82)</f>
        <v>13.82</v>
      </c>
      <c r="D248" s="1">
        <f ca="1">IFERROR(__xludf.DUMMYFUNCTION("""COMPUTED_VALUE"""),13.53)</f>
        <v>13.53</v>
      </c>
      <c r="E248" s="1">
        <f ca="1">IFERROR(__xludf.DUMMYFUNCTION("""COMPUTED_VALUE"""),13.76)</f>
        <v>13.76</v>
      </c>
      <c r="F248" s="1">
        <f ca="1">IFERROR(__xludf.DUMMYFUNCTION("""COMPUTED_VALUE"""),2382902)</f>
        <v>2382902</v>
      </c>
      <c r="G248" s="5">
        <f t="shared" ca="1" si="9"/>
        <v>5.0872093023256017E-3</v>
      </c>
      <c r="H248" s="14">
        <f t="shared" si="10"/>
        <v>2016</v>
      </c>
      <c r="I248" s="5">
        <f t="shared" ca="1" si="11"/>
        <v>0</v>
      </c>
      <c r="J248" s="16"/>
    </row>
    <row r="249" spans="1:10" x14ac:dyDescent="0.2">
      <c r="A249" s="3">
        <v>42636</v>
      </c>
      <c r="B249" s="1">
        <f ca="1">IFERROR(__xludf.DUMMYFUNCTION("""COMPUTED_VALUE"""),13.73)</f>
        <v>13.73</v>
      </c>
      <c r="C249" s="1">
        <f ca="1">IFERROR(__xludf.DUMMYFUNCTION("""COMPUTED_VALUE"""),14.01)</f>
        <v>14.01</v>
      </c>
      <c r="D249" s="1">
        <f ca="1">IFERROR(__xludf.DUMMYFUNCTION("""COMPUTED_VALUE"""),13.71)</f>
        <v>13.71</v>
      </c>
      <c r="E249" s="1">
        <f ca="1">IFERROR(__xludf.DUMMYFUNCTION("""COMPUTED_VALUE"""),13.83)</f>
        <v>13.83</v>
      </c>
      <c r="F249" s="1">
        <f ca="1">IFERROR(__xludf.DUMMYFUNCTION("""COMPUTED_VALUE"""),2905229)</f>
        <v>2905229</v>
      </c>
      <c r="G249" s="5">
        <f t="shared" ca="1" si="9"/>
        <v>7.2306579898770533E-3</v>
      </c>
      <c r="H249" s="14">
        <f t="shared" si="10"/>
        <v>2016</v>
      </c>
      <c r="I249" s="5">
        <f t="shared" ca="1" si="11"/>
        <v>7.2833211944646498E-3</v>
      </c>
      <c r="J249" s="16"/>
    </row>
    <row r="250" spans="1:10" x14ac:dyDescent="0.2">
      <c r="A250" s="3">
        <v>42639</v>
      </c>
      <c r="B250" s="1">
        <f ca="1">IFERROR(__xludf.DUMMYFUNCTION("""COMPUTED_VALUE"""),13.77)</f>
        <v>13.77</v>
      </c>
      <c r="C250" s="1">
        <f ca="1">IFERROR(__xludf.DUMMYFUNCTION("""COMPUTED_VALUE"""),14.07)</f>
        <v>14.07</v>
      </c>
      <c r="D250" s="1">
        <f ca="1">IFERROR(__xludf.DUMMYFUNCTION("""COMPUTED_VALUE"""),13.77)</f>
        <v>13.77</v>
      </c>
      <c r="E250" s="1">
        <f ca="1">IFERROR(__xludf.DUMMYFUNCTION("""COMPUTED_VALUE"""),13.93)</f>
        <v>13.93</v>
      </c>
      <c r="F250" s="1">
        <f ca="1">IFERROR(__xludf.DUMMYFUNCTION("""COMPUTED_VALUE"""),2394358)</f>
        <v>2394358</v>
      </c>
      <c r="G250" s="5">
        <f t="shared" ca="1" si="9"/>
        <v>-1.5075376884422044E-2</v>
      </c>
      <c r="H250" s="14">
        <f t="shared" si="10"/>
        <v>2016</v>
      </c>
      <c r="I250" s="5">
        <f t="shared" ca="1" si="11"/>
        <v>1.1619462599854767E-2</v>
      </c>
      <c r="J250" s="16"/>
    </row>
    <row r="251" spans="1:10" x14ac:dyDescent="0.2">
      <c r="A251" s="3">
        <v>42640</v>
      </c>
      <c r="B251" s="1">
        <f ca="1">IFERROR(__xludf.DUMMYFUNCTION("""COMPUTED_VALUE"""),13.98)</f>
        <v>13.98</v>
      </c>
      <c r="C251" s="1">
        <f ca="1">IFERROR(__xludf.DUMMYFUNCTION("""COMPUTED_VALUE"""),14)</f>
        <v>14</v>
      </c>
      <c r="D251" s="1">
        <f ca="1">IFERROR(__xludf.DUMMYFUNCTION("""COMPUTED_VALUE"""),13.64)</f>
        <v>13.64</v>
      </c>
      <c r="E251" s="1">
        <f ca="1">IFERROR(__xludf.DUMMYFUNCTION("""COMPUTED_VALUE"""),13.72)</f>
        <v>13.72</v>
      </c>
      <c r="F251" s="1">
        <f ca="1">IFERROR(__xludf.DUMMYFUNCTION("""COMPUTED_VALUE"""),3373180)</f>
        <v>3373180</v>
      </c>
      <c r="G251" s="5">
        <f t="shared" ca="1" si="9"/>
        <v>2.1865889212827521E-3</v>
      </c>
      <c r="H251" s="14">
        <f t="shared" si="10"/>
        <v>2016</v>
      </c>
      <c r="I251" s="5">
        <f t="shared" ca="1" si="11"/>
        <v>-1.8597997138769654E-2</v>
      </c>
      <c r="J251" s="16"/>
    </row>
    <row r="252" spans="1:10" x14ac:dyDescent="0.2">
      <c r="A252" s="3">
        <v>42641</v>
      </c>
      <c r="B252" s="1">
        <f ca="1">IFERROR(__xludf.DUMMYFUNCTION("""COMPUTED_VALUE"""),13.83)</f>
        <v>13.83</v>
      </c>
      <c r="C252" s="1">
        <f ca="1">IFERROR(__xludf.DUMMYFUNCTION("""COMPUTED_VALUE"""),13.88)</f>
        <v>13.88</v>
      </c>
      <c r="D252" s="1">
        <f ca="1">IFERROR(__xludf.DUMMYFUNCTION("""COMPUTED_VALUE"""),13.68)</f>
        <v>13.68</v>
      </c>
      <c r="E252" s="1">
        <f ca="1">IFERROR(__xludf.DUMMYFUNCTION("""COMPUTED_VALUE"""),13.75)</f>
        <v>13.75</v>
      </c>
      <c r="F252" s="1">
        <f ca="1">IFERROR(__xludf.DUMMYFUNCTION("""COMPUTED_VALUE"""),2088374)</f>
        <v>2088374</v>
      </c>
      <c r="G252" s="5">
        <f t="shared" ca="1" si="9"/>
        <v>-2.6909090909090851E-2</v>
      </c>
      <c r="H252" s="14">
        <f t="shared" si="10"/>
        <v>2016</v>
      </c>
      <c r="I252" s="5">
        <f t="shared" ca="1" si="11"/>
        <v>-5.7845263919016681E-3</v>
      </c>
      <c r="J252" s="16"/>
    </row>
    <row r="253" spans="1:10" x14ac:dyDescent="0.2">
      <c r="A253" s="3">
        <v>42642</v>
      </c>
      <c r="B253" s="1">
        <f ca="1">IFERROR(__xludf.DUMMYFUNCTION("""COMPUTED_VALUE"""),13.71)</f>
        <v>13.71</v>
      </c>
      <c r="C253" s="1">
        <f ca="1">IFERROR(__xludf.DUMMYFUNCTION("""COMPUTED_VALUE"""),13.82)</f>
        <v>13.82</v>
      </c>
      <c r="D253" s="1">
        <f ca="1">IFERROR(__xludf.DUMMYFUNCTION("""COMPUTED_VALUE"""),13.37)</f>
        <v>13.37</v>
      </c>
      <c r="E253" s="1">
        <f ca="1">IFERROR(__xludf.DUMMYFUNCTION("""COMPUTED_VALUE"""),13.38)</f>
        <v>13.38</v>
      </c>
      <c r="F253" s="1">
        <f ca="1">IFERROR(__xludf.DUMMYFUNCTION("""COMPUTED_VALUE"""),2727029)</f>
        <v>2727029</v>
      </c>
      <c r="G253" s="5">
        <f t="shared" ca="1" si="9"/>
        <v>1.644245142002981E-2</v>
      </c>
      <c r="H253" s="14">
        <f t="shared" si="10"/>
        <v>2016</v>
      </c>
      <c r="I253" s="5">
        <f t="shared" ca="1" si="11"/>
        <v>-2.4070021881838079E-2</v>
      </c>
      <c r="J253" s="16"/>
    </row>
    <row r="254" spans="1:10" x14ac:dyDescent="0.2">
      <c r="A254" s="3">
        <v>42643</v>
      </c>
      <c r="B254" s="1">
        <f ca="1">IFERROR(__xludf.DUMMYFUNCTION("""COMPUTED_VALUE"""),13.48)</f>
        <v>13.48</v>
      </c>
      <c r="C254" s="1">
        <f ca="1">IFERROR(__xludf.DUMMYFUNCTION("""COMPUTED_VALUE"""),13.67)</f>
        <v>13.67</v>
      </c>
      <c r="D254" s="1">
        <f ca="1">IFERROR(__xludf.DUMMYFUNCTION("""COMPUTED_VALUE"""),13.3)</f>
        <v>13.3</v>
      </c>
      <c r="E254" s="1">
        <f ca="1">IFERROR(__xludf.DUMMYFUNCTION("""COMPUTED_VALUE"""),13.6)</f>
        <v>13.6</v>
      </c>
      <c r="F254" s="1">
        <f ca="1">IFERROR(__xludf.DUMMYFUNCTION("""COMPUTED_VALUE"""),2586273)</f>
        <v>2586273</v>
      </c>
      <c r="G254" s="5">
        <f t="shared" ca="1" si="9"/>
        <v>4.7794117647058848E-2</v>
      </c>
      <c r="H254" s="14">
        <f t="shared" si="10"/>
        <v>2016</v>
      </c>
      <c r="I254" s="5">
        <f t="shared" ca="1" si="11"/>
        <v>8.9020771513352529E-3</v>
      </c>
      <c r="J254" s="16"/>
    </row>
    <row r="255" spans="1:10" x14ac:dyDescent="0.2">
      <c r="A255" s="3">
        <v>42646</v>
      </c>
      <c r="B255" s="1">
        <f ca="1">IFERROR(__xludf.DUMMYFUNCTION("""COMPUTED_VALUE"""),14.15)</f>
        <v>14.15</v>
      </c>
      <c r="C255" s="1">
        <f ca="1">IFERROR(__xludf.DUMMYFUNCTION("""COMPUTED_VALUE"""),14.38)</f>
        <v>14.38</v>
      </c>
      <c r="D255" s="1">
        <f ca="1">IFERROR(__xludf.DUMMYFUNCTION("""COMPUTED_VALUE"""),13.88)</f>
        <v>13.88</v>
      </c>
      <c r="E255" s="1">
        <f ca="1">IFERROR(__xludf.DUMMYFUNCTION("""COMPUTED_VALUE"""),14.25)</f>
        <v>14.25</v>
      </c>
      <c r="F255" s="1">
        <f ca="1">IFERROR(__xludf.DUMMYFUNCTION("""COMPUTED_VALUE"""),5999892)</f>
        <v>5999892</v>
      </c>
      <c r="G255" s="5">
        <f t="shared" ca="1" si="9"/>
        <v>-1.1228070175438606E-2</v>
      </c>
      <c r="H255" s="14">
        <f t="shared" si="10"/>
        <v>2016</v>
      </c>
      <c r="I255" s="5">
        <f t="shared" ca="1" si="11"/>
        <v>7.0671378091872539E-3</v>
      </c>
      <c r="J255" s="16"/>
    </row>
    <row r="256" spans="1:10" x14ac:dyDescent="0.2">
      <c r="A256" s="3">
        <v>42647</v>
      </c>
      <c r="B256" s="1">
        <f ca="1">IFERROR(__xludf.DUMMYFUNCTION("""COMPUTED_VALUE"""),14.21)</f>
        <v>14.21</v>
      </c>
      <c r="C256" s="1">
        <f ca="1">IFERROR(__xludf.DUMMYFUNCTION("""COMPUTED_VALUE"""),14.22)</f>
        <v>14.22</v>
      </c>
      <c r="D256" s="1">
        <f ca="1">IFERROR(__xludf.DUMMYFUNCTION("""COMPUTED_VALUE"""),13.92)</f>
        <v>13.92</v>
      </c>
      <c r="E256" s="1">
        <f ca="1">IFERROR(__xludf.DUMMYFUNCTION("""COMPUTED_VALUE"""),14.09)</f>
        <v>14.09</v>
      </c>
      <c r="F256" s="1">
        <f ca="1">IFERROR(__xludf.DUMMYFUNCTION("""COMPUTED_VALUE"""),3541481)</f>
        <v>3541481</v>
      </c>
      <c r="G256" s="5">
        <f t="shared" ca="1" si="9"/>
        <v>-1.3484740951029063E-2</v>
      </c>
      <c r="H256" s="14">
        <f t="shared" si="10"/>
        <v>2016</v>
      </c>
      <c r="I256" s="5">
        <f t="shared" ca="1" si="11"/>
        <v>-8.4447572132301894E-3</v>
      </c>
      <c r="J256" s="16"/>
    </row>
    <row r="257" spans="1:10" x14ac:dyDescent="0.2">
      <c r="A257" s="3">
        <v>42648</v>
      </c>
      <c r="B257" s="1">
        <f ca="1">IFERROR(__xludf.DUMMYFUNCTION("""COMPUTED_VALUE"""),14.15)</f>
        <v>14.15</v>
      </c>
      <c r="C257" s="1">
        <f ca="1">IFERROR(__xludf.DUMMYFUNCTION("""COMPUTED_VALUE"""),14.21)</f>
        <v>14.21</v>
      </c>
      <c r="D257" s="1">
        <f ca="1">IFERROR(__xludf.DUMMYFUNCTION("""COMPUTED_VALUE"""),13.87)</f>
        <v>13.87</v>
      </c>
      <c r="E257" s="1">
        <f ca="1">IFERROR(__xludf.DUMMYFUNCTION("""COMPUTED_VALUE"""),13.9)</f>
        <v>13.9</v>
      </c>
      <c r="F257" s="1">
        <f ca="1">IFERROR(__xludf.DUMMYFUNCTION("""COMPUTED_VALUE"""),1877534)</f>
        <v>1877534</v>
      </c>
      <c r="G257" s="5">
        <f t="shared" ca="1" si="9"/>
        <v>-3.5971223021582732E-2</v>
      </c>
      <c r="H257" s="14">
        <f t="shared" si="10"/>
        <v>2016</v>
      </c>
      <c r="I257" s="5">
        <f t="shared" ca="1" si="11"/>
        <v>-1.7667844522968199E-2</v>
      </c>
      <c r="J257" s="16"/>
    </row>
    <row r="258" spans="1:10" x14ac:dyDescent="0.2">
      <c r="A258" s="3">
        <v>42649</v>
      </c>
      <c r="B258" s="1">
        <f ca="1">IFERROR(__xludf.DUMMYFUNCTION("""COMPUTED_VALUE"""),13.5)</f>
        <v>13.5</v>
      </c>
      <c r="C258" s="1">
        <f ca="1">IFERROR(__xludf.DUMMYFUNCTION("""COMPUTED_VALUE"""),13.61)</f>
        <v>13.61</v>
      </c>
      <c r="D258" s="1">
        <f ca="1">IFERROR(__xludf.DUMMYFUNCTION("""COMPUTED_VALUE"""),13.35)</f>
        <v>13.35</v>
      </c>
      <c r="E258" s="1">
        <f ca="1">IFERROR(__xludf.DUMMYFUNCTION("""COMPUTED_VALUE"""),13.4)</f>
        <v>13.4</v>
      </c>
      <c r="F258" s="1">
        <f ca="1">IFERROR(__xludf.DUMMYFUNCTION("""COMPUTED_VALUE"""),4703402)</f>
        <v>4703402</v>
      </c>
      <c r="G258" s="5">
        <f t="shared" ca="1" si="9"/>
        <v>-2.1641791044776187E-2</v>
      </c>
      <c r="H258" s="14">
        <f t="shared" si="10"/>
        <v>2016</v>
      </c>
      <c r="I258" s="5">
        <f t="shared" ca="1" si="11"/>
        <v>-7.4074074074073808E-3</v>
      </c>
      <c r="J258" s="16"/>
    </row>
    <row r="259" spans="1:10" x14ac:dyDescent="0.2">
      <c r="A259" s="3">
        <v>42650</v>
      </c>
      <c r="B259" s="1">
        <f ca="1">IFERROR(__xludf.DUMMYFUNCTION("""COMPUTED_VALUE"""),13.4)</f>
        <v>13.4</v>
      </c>
      <c r="C259" s="1">
        <f ca="1">IFERROR(__xludf.DUMMYFUNCTION("""COMPUTED_VALUE"""),13.42)</f>
        <v>13.42</v>
      </c>
      <c r="D259" s="1">
        <f ca="1">IFERROR(__xludf.DUMMYFUNCTION("""COMPUTED_VALUE"""),13.05)</f>
        <v>13.05</v>
      </c>
      <c r="E259" s="1">
        <f ca="1">IFERROR(__xludf.DUMMYFUNCTION("""COMPUTED_VALUE"""),13.11)</f>
        <v>13.11</v>
      </c>
      <c r="F259" s="1">
        <f ca="1">IFERROR(__xludf.DUMMYFUNCTION("""COMPUTED_VALUE"""),3493018)</f>
        <v>3493018</v>
      </c>
      <c r="G259" s="5">
        <f t="shared" ref="G259:G322" ca="1" si="12">(E260-E259)/E259</f>
        <v>2.212051868802448E-2</v>
      </c>
      <c r="H259" s="14">
        <f t="shared" ref="H259:H322" si="13">YEAR(A259)</f>
        <v>2016</v>
      </c>
      <c r="I259" s="5">
        <f t="shared" ref="I259:I322" ca="1" si="14">((E259 - B259) / B259)</f>
        <v>-2.1641791044776187E-2</v>
      </c>
      <c r="J259" s="16"/>
    </row>
    <row r="260" spans="1:10" x14ac:dyDescent="0.2">
      <c r="A260" s="3">
        <v>42653</v>
      </c>
      <c r="B260" s="1">
        <f ca="1">IFERROR(__xludf.DUMMYFUNCTION("""COMPUTED_VALUE"""),13.42)</f>
        <v>13.42</v>
      </c>
      <c r="C260" s="1">
        <f ca="1">IFERROR(__xludf.DUMMYFUNCTION("""COMPUTED_VALUE"""),13.61)</f>
        <v>13.61</v>
      </c>
      <c r="D260" s="1">
        <f ca="1">IFERROR(__xludf.DUMMYFUNCTION("""COMPUTED_VALUE"""),13.31)</f>
        <v>13.31</v>
      </c>
      <c r="E260" s="1">
        <f ca="1">IFERROR(__xludf.DUMMYFUNCTION("""COMPUTED_VALUE"""),13.4)</f>
        <v>13.4</v>
      </c>
      <c r="F260" s="1">
        <f ca="1">IFERROR(__xludf.DUMMYFUNCTION("""COMPUTED_VALUE"""),3316297)</f>
        <v>3316297</v>
      </c>
      <c r="G260" s="5">
        <f t="shared" ca="1" si="12"/>
        <v>-4.4776119402985442E-3</v>
      </c>
      <c r="H260" s="14">
        <f t="shared" si="13"/>
        <v>2016</v>
      </c>
      <c r="I260" s="5">
        <f t="shared" ca="1" si="14"/>
        <v>-1.4903129657227701E-3</v>
      </c>
      <c r="J260" s="16"/>
    </row>
    <row r="261" spans="1:10" x14ac:dyDescent="0.2">
      <c r="A261" s="3">
        <v>42654</v>
      </c>
      <c r="B261" s="1">
        <f ca="1">IFERROR(__xludf.DUMMYFUNCTION("""COMPUTED_VALUE"""),13.46)</f>
        <v>13.46</v>
      </c>
      <c r="C261" s="1">
        <f ca="1">IFERROR(__xludf.DUMMYFUNCTION("""COMPUTED_VALUE"""),13.48)</f>
        <v>13.48</v>
      </c>
      <c r="D261" s="1">
        <f ca="1">IFERROR(__xludf.DUMMYFUNCTION("""COMPUTED_VALUE"""),13.22)</f>
        <v>13.22</v>
      </c>
      <c r="E261" s="1">
        <f ca="1">IFERROR(__xludf.DUMMYFUNCTION("""COMPUTED_VALUE"""),13.34)</f>
        <v>13.34</v>
      </c>
      <c r="F261" s="1">
        <f ca="1">IFERROR(__xludf.DUMMYFUNCTION("""COMPUTED_VALUE"""),2328422)</f>
        <v>2328422</v>
      </c>
      <c r="G261" s="5">
        <f t="shared" ca="1" si="12"/>
        <v>6.7466266866566607E-3</v>
      </c>
      <c r="H261" s="14">
        <f t="shared" si="13"/>
        <v>2016</v>
      </c>
      <c r="I261" s="5">
        <f t="shared" ca="1" si="14"/>
        <v>-8.9153046062407874E-3</v>
      </c>
      <c r="J261" s="16"/>
    </row>
    <row r="262" spans="1:10" x14ac:dyDescent="0.2">
      <c r="A262" s="3">
        <v>42655</v>
      </c>
      <c r="B262" s="1">
        <f ca="1">IFERROR(__xludf.DUMMYFUNCTION("""COMPUTED_VALUE"""),13.4)</f>
        <v>13.4</v>
      </c>
      <c r="C262" s="1">
        <f ca="1">IFERROR(__xludf.DUMMYFUNCTION("""COMPUTED_VALUE"""),13.59)</f>
        <v>13.59</v>
      </c>
      <c r="D262" s="1">
        <f ca="1">IFERROR(__xludf.DUMMYFUNCTION("""COMPUTED_VALUE"""),13.36)</f>
        <v>13.36</v>
      </c>
      <c r="E262" s="1">
        <f ca="1">IFERROR(__xludf.DUMMYFUNCTION("""COMPUTED_VALUE"""),13.43)</f>
        <v>13.43</v>
      </c>
      <c r="F262" s="1">
        <f ca="1">IFERROR(__xludf.DUMMYFUNCTION("""COMPUTED_VALUE"""),1970689)</f>
        <v>1970689</v>
      </c>
      <c r="G262" s="5">
        <f t="shared" ca="1" si="12"/>
        <v>-5.9568131049888362E-3</v>
      </c>
      <c r="H262" s="14">
        <f t="shared" si="13"/>
        <v>2016</v>
      </c>
      <c r="I262" s="5">
        <f t="shared" ca="1" si="14"/>
        <v>2.2388059701492062E-3</v>
      </c>
      <c r="J262" s="16"/>
    </row>
    <row r="263" spans="1:10" x14ac:dyDescent="0.2">
      <c r="A263" s="3">
        <v>42656</v>
      </c>
      <c r="B263" s="1">
        <f ca="1">IFERROR(__xludf.DUMMYFUNCTION("""COMPUTED_VALUE"""),13.37)</f>
        <v>13.37</v>
      </c>
      <c r="C263" s="1">
        <f ca="1">IFERROR(__xludf.DUMMYFUNCTION("""COMPUTED_VALUE"""),13.39)</f>
        <v>13.39</v>
      </c>
      <c r="D263" s="1">
        <f ca="1">IFERROR(__xludf.DUMMYFUNCTION("""COMPUTED_VALUE"""),13.14)</f>
        <v>13.14</v>
      </c>
      <c r="E263" s="1">
        <f ca="1">IFERROR(__xludf.DUMMYFUNCTION("""COMPUTED_VALUE"""),13.35)</f>
        <v>13.35</v>
      </c>
      <c r="F263" s="1">
        <f ca="1">IFERROR(__xludf.DUMMYFUNCTION("""COMPUTED_VALUE"""),2495413)</f>
        <v>2495413</v>
      </c>
      <c r="G263" s="5">
        <f t="shared" ca="1" si="12"/>
        <v>-1.8726591760299626E-2</v>
      </c>
      <c r="H263" s="14">
        <f t="shared" si="13"/>
        <v>2016</v>
      </c>
      <c r="I263" s="5">
        <f t="shared" ca="1" si="14"/>
        <v>-1.4958863126402077E-3</v>
      </c>
      <c r="J263" s="16"/>
    </row>
    <row r="264" spans="1:10" x14ac:dyDescent="0.2">
      <c r="A264" s="3">
        <v>42657</v>
      </c>
      <c r="B264" s="1">
        <f ca="1">IFERROR(__xludf.DUMMYFUNCTION("""COMPUTED_VALUE"""),13.38)</f>
        <v>13.38</v>
      </c>
      <c r="C264" s="1">
        <f ca="1">IFERROR(__xludf.DUMMYFUNCTION("""COMPUTED_VALUE"""),13.43)</f>
        <v>13.43</v>
      </c>
      <c r="D264" s="1">
        <f ca="1">IFERROR(__xludf.DUMMYFUNCTION("""COMPUTED_VALUE"""),13.09)</f>
        <v>13.09</v>
      </c>
      <c r="E264" s="1">
        <f ca="1">IFERROR(__xludf.DUMMYFUNCTION("""COMPUTED_VALUE"""),13.1)</f>
        <v>13.1</v>
      </c>
      <c r="F264" s="1">
        <f ca="1">IFERROR(__xludf.DUMMYFUNCTION("""COMPUTED_VALUE"""),4269850)</f>
        <v>4269850</v>
      </c>
      <c r="G264" s="5">
        <f t="shared" ca="1" si="12"/>
        <v>-1.2977099236641216E-2</v>
      </c>
      <c r="H264" s="14">
        <f t="shared" si="13"/>
        <v>2016</v>
      </c>
      <c r="I264" s="5">
        <f t="shared" ca="1" si="14"/>
        <v>-2.0926756352765405E-2</v>
      </c>
      <c r="J264" s="16"/>
    </row>
    <row r="265" spans="1:10" x14ac:dyDescent="0.2">
      <c r="A265" s="3">
        <v>42660</v>
      </c>
      <c r="B265" s="1">
        <f ca="1">IFERROR(__xludf.DUMMYFUNCTION("""COMPUTED_VALUE"""),13.14)</f>
        <v>13.14</v>
      </c>
      <c r="C265" s="1">
        <f ca="1">IFERROR(__xludf.DUMMYFUNCTION("""COMPUTED_VALUE"""),13.23)</f>
        <v>13.23</v>
      </c>
      <c r="D265" s="1">
        <f ca="1">IFERROR(__xludf.DUMMYFUNCTION("""COMPUTED_VALUE"""),12.8)</f>
        <v>12.8</v>
      </c>
      <c r="E265" s="1">
        <f ca="1">IFERROR(__xludf.DUMMYFUNCTION("""COMPUTED_VALUE"""),12.93)</f>
        <v>12.93</v>
      </c>
      <c r="F265" s="1">
        <f ca="1">IFERROR(__xludf.DUMMYFUNCTION("""COMPUTED_VALUE"""),4554080)</f>
        <v>4554080</v>
      </c>
      <c r="G265" s="5">
        <f t="shared" ca="1" si="12"/>
        <v>2.6295436968290786E-2</v>
      </c>
      <c r="H265" s="14">
        <f t="shared" si="13"/>
        <v>2016</v>
      </c>
      <c r="I265" s="5">
        <f t="shared" ca="1" si="14"/>
        <v>-1.5981735159817417E-2</v>
      </c>
      <c r="J265" s="16"/>
    </row>
    <row r="266" spans="1:10" x14ac:dyDescent="0.2">
      <c r="A266" s="3">
        <v>42661</v>
      </c>
      <c r="B266" s="1">
        <f ca="1">IFERROR(__xludf.DUMMYFUNCTION("""COMPUTED_VALUE"""),13.07)</f>
        <v>13.07</v>
      </c>
      <c r="C266" s="1">
        <f ca="1">IFERROR(__xludf.DUMMYFUNCTION("""COMPUTED_VALUE"""),13.3)</f>
        <v>13.3</v>
      </c>
      <c r="D266" s="1">
        <f ca="1">IFERROR(__xludf.DUMMYFUNCTION("""COMPUTED_VALUE"""),12.88)</f>
        <v>12.88</v>
      </c>
      <c r="E266" s="1">
        <f ca="1">IFERROR(__xludf.DUMMYFUNCTION("""COMPUTED_VALUE"""),13.27)</f>
        <v>13.27</v>
      </c>
      <c r="F266" s="1">
        <f ca="1">IFERROR(__xludf.DUMMYFUNCTION("""COMPUTED_VALUE"""),5680475)</f>
        <v>5680475</v>
      </c>
      <c r="G266" s="5">
        <f t="shared" ca="1" si="12"/>
        <v>2.2607385079125901E-2</v>
      </c>
      <c r="H266" s="14">
        <f t="shared" si="13"/>
        <v>2016</v>
      </c>
      <c r="I266" s="5">
        <f t="shared" ca="1" si="14"/>
        <v>1.5302218821729096E-2</v>
      </c>
      <c r="J266" s="16"/>
    </row>
    <row r="267" spans="1:10" x14ac:dyDescent="0.2">
      <c r="A267" s="3">
        <v>42662</v>
      </c>
      <c r="B267" s="1">
        <f ca="1">IFERROR(__xludf.DUMMYFUNCTION("""COMPUTED_VALUE"""),13.32)</f>
        <v>13.32</v>
      </c>
      <c r="C267" s="1">
        <f ca="1">IFERROR(__xludf.DUMMYFUNCTION("""COMPUTED_VALUE"""),13.78)</f>
        <v>13.78</v>
      </c>
      <c r="D267" s="1">
        <f ca="1">IFERROR(__xludf.DUMMYFUNCTION("""COMPUTED_VALUE"""),13.2)</f>
        <v>13.2</v>
      </c>
      <c r="E267" s="1">
        <f ca="1">IFERROR(__xludf.DUMMYFUNCTION("""COMPUTED_VALUE"""),13.57)</f>
        <v>13.57</v>
      </c>
      <c r="F267" s="1">
        <f ca="1">IFERROR(__xludf.DUMMYFUNCTION("""COMPUTED_VALUE"""),6991183)</f>
        <v>6991183</v>
      </c>
      <c r="G267" s="5">
        <f t="shared" ca="1" si="12"/>
        <v>-2.2107590272660332E-2</v>
      </c>
      <c r="H267" s="14">
        <f t="shared" si="13"/>
        <v>2016</v>
      </c>
      <c r="I267" s="5">
        <f t="shared" ca="1" si="14"/>
        <v>1.8768768768768769E-2</v>
      </c>
      <c r="J267" s="16"/>
    </row>
    <row r="268" spans="1:10" x14ac:dyDescent="0.2">
      <c r="A268" s="3">
        <v>42663</v>
      </c>
      <c r="B268" s="1">
        <f ca="1">IFERROR(__xludf.DUMMYFUNCTION("""COMPUTED_VALUE"""),13.47)</f>
        <v>13.47</v>
      </c>
      <c r="C268" s="1">
        <f ca="1">IFERROR(__xludf.DUMMYFUNCTION("""COMPUTED_VALUE"""),13.53)</f>
        <v>13.53</v>
      </c>
      <c r="D268" s="1">
        <f ca="1">IFERROR(__xludf.DUMMYFUNCTION("""COMPUTED_VALUE"""),13.14)</f>
        <v>13.14</v>
      </c>
      <c r="E268" s="1">
        <f ca="1">IFERROR(__xludf.DUMMYFUNCTION("""COMPUTED_VALUE"""),13.27)</f>
        <v>13.27</v>
      </c>
      <c r="F268" s="1">
        <f ca="1">IFERROR(__xludf.DUMMYFUNCTION("""COMPUTED_VALUE"""),5072877)</f>
        <v>5072877</v>
      </c>
      <c r="G268" s="5">
        <f t="shared" ca="1" si="12"/>
        <v>5.2750565184627191E-3</v>
      </c>
      <c r="H268" s="14">
        <f t="shared" si="13"/>
        <v>2016</v>
      </c>
      <c r="I268" s="5">
        <f t="shared" ca="1" si="14"/>
        <v>-1.4847809948032744E-2</v>
      </c>
      <c r="J268" s="16"/>
    </row>
    <row r="269" spans="1:10" x14ac:dyDescent="0.2">
      <c r="A269" s="3">
        <v>42664</v>
      </c>
      <c r="B269" s="1">
        <f ca="1">IFERROR(__xludf.DUMMYFUNCTION("""COMPUTED_VALUE"""),13.24)</f>
        <v>13.24</v>
      </c>
      <c r="C269" s="1">
        <f ca="1">IFERROR(__xludf.DUMMYFUNCTION("""COMPUTED_VALUE"""),13.44)</f>
        <v>13.44</v>
      </c>
      <c r="D269" s="1">
        <f ca="1">IFERROR(__xludf.DUMMYFUNCTION("""COMPUTED_VALUE"""),13.16)</f>
        <v>13.16</v>
      </c>
      <c r="E269" s="1">
        <f ca="1">IFERROR(__xludf.DUMMYFUNCTION("""COMPUTED_VALUE"""),13.34)</f>
        <v>13.34</v>
      </c>
      <c r="F269" s="1">
        <f ca="1">IFERROR(__xludf.DUMMYFUNCTION("""COMPUTED_VALUE"""),2943402)</f>
        <v>2943402</v>
      </c>
      <c r="G269" s="5">
        <f t="shared" ca="1" si="12"/>
        <v>1.3493253373313321E-2</v>
      </c>
      <c r="H269" s="14">
        <f t="shared" si="13"/>
        <v>2016</v>
      </c>
      <c r="I269" s="5">
        <f t="shared" ca="1" si="14"/>
        <v>7.5528700906344138E-3</v>
      </c>
      <c r="J269" s="16"/>
    </row>
    <row r="270" spans="1:10" x14ac:dyDescent="0.2">
      <c r="A270" s="3">
        <v>42667</v>
      </c>
      <c r="B270" s="1">
        <f ca="1">IFERROR(__xludf.DUMMYFUNCTION("""COMPUTED_VALUE"""),13.4)</f>
        <v>13.4</v>
      </c>
      <c r="C270" s="1">
        <f ca="1">IFERROR(__xludf.DUMMYFUNCTION("""COMPUTED_VALUE"""),13.6)</f>
        <v>13.6</v>
      </c>
      <c r="D270" s="1">
        <f ca="1">IFERROR(__xludf.DUMMYFUNCTION("""COMPUTED_VALUE"""),13.35)</f>
        <v>13.35</v>
      </c>
      <c r="E270" s="1">
        <f ca="1">IFERROR(__xludf.DUMMYFUNCTION("""COMPUTED_VALUE"""),13.52)</f>
        <v>13.52</v>
      </c>
      <c r="F270" s="1">
        <f ca="1">IFERROR(__xludf.DUMMYFUNCTION("""COMPUTED_VALUE"""),2751562)</f>
        <v>2751562</v>
      </c>
      <c r="G270" s="5">
        <f t="shared" ca="1" si="12"/>
        <v>-2.2189349112425563E-3</v>
      </c>
      <c r="H270" s="14">
        <f t="shared" si="13"/>
        <v>2016</v>
      </c>
      <c r="I270" s="5">
        <f t="shared" ca="1" si="14"/>
        <v>8.9552238805969565E-3</v>
      </c>
      <c r="J270" s="16"/>
    </row>
    <row r="271" spans="1:10" x14ac:dyDescent="0.2">
      <c r="A271" s="3">
        <v>42668</v>
      </c>
      <c r="B271" s="1">
        <f ca="1">IFERROR(__xludf.DUMMYFUNCTION("""COMPUTED_VALUE"""),13.53)</f>
        <v>13.53</v>
      </c>
      <c r="C271" s="1">
        <f ca="1">IFERROR(__xludf.DUMMYFUNCTION("""COMPUTED_VALUE"""),13.65)</f>
        <v>13.65</v>
      </c>
      <c r="D271" s="1">
        <f ca="1">IFERROR(__xludf.DUMMYFUNCTION("""COMPUTED_VALUE"""),13.41)</f>
        <v>13.41</v>
      </c>
      <c r="E271" s="1">
        <f ca="1">IFERROR(__xludf.DUMMYFUNCTION("""COMPUTED_VALUE"""),13.49)</f>
        <v>13.49</v>
      </c>
      <c r="F271" s="1">
        <f ca="1">IFERROR(__xludf.DUMMYFUNCTION("""COMPUTED_VALUE"""),2445014)</f>
        <v>2445014</v>
      </c>
      <c r="G271" s="5">
        <f t="shared" ca="1" si="12"/>
        <v>-7.4128984432911683E-4</v>
      </c>
      <c r="H271" s="14">
        <f t="shared" si="13"/>
        <v>2016</v>
      </c>
      <c r="I271" s="5">
        <f t="shared" ca="1" si="14"/>
        <v>-2.9563932002955764E-3</v>
      </c>
      <c r="J271" s="16"/>
    </row>
    <row r="272" spans="1:10" x14ac:dyDescent="0.2">
      <c r="A272" s="3">
        <v>42669</v>
      </c>
      <c r="B272" s="1">
        <f ca="1">IFERROR(__xludf.DUMMYFUNCTION("""COMPUTED_VALUE"""),13.4)</f>
        <v>13.4</v>
      </c>
      <c r="C272" s="1">
        <f ca="1">IFERROR(__xludf.DUMMYFUNCTION("""COMPUTED_VALUE"""),13.55)</f>
        <v>13.55</v>
      </c>
      <c r="D272" s="1">
        <f ca="1">IFERROR(__xludf.DUMMYFUNCTION("""COMPUTED_VALUE"""),13.34)</f>
        <v>13.34</v>
      </c>
      <c r="E272" s="1">
        <f ca="1">IFERROR(__xludf.DUMMYFUNCTION("""COMPUTED_VALUE"""),13.48)</f>
        <v>13.48</v>
      </c>
      <c r="F272" s="1">
        <f ca="1">IFERROR(__xludf.DUMMYFUNCTION("""COMPUTED_VALUE"""),5632841)</f>
        <v>5632841</v>
      </c>
      <c r="G272" s="5">
        <f t="shared" ca="1" si="12"/>
        <v>8.9020771513352529E-3</v>
      </c>
      <c r="H272" s="14">
        <f t="shared" si="13"/>
        <v>2016</v>
      </c>
      <c r="I272" s="5">
        <f t="shared" ca="1" si="14"/>
        <v>5.9701492537313485E-3</v>
      </c>
      <c r="J272" s="16"/>
    </row>
    <row r="273" spans="1:10" x14ac:dyDescent="0.2">
      <c r="A273" s="3">
        <v>42670</v>
      </c>
      <c r="B273" s="1">
        <f ca="1">IFERROR(__xludf.DUMMYFUNCTION("""COMPUTED_VALUE"""),14.09)</f>
        <v>14.09</v>
      </c>
      <c r="C273" s="1">
        <f ca="1">IFERROR(__xludf.DUMMYFUNCTION("""COMPUTED_VALUE"""),14.25)</f>
        <v>14.25</v>
      </c>
      <c r="D273" s="1">
        <f ca="1">IFERROR(__xludf.DUMMYFUNCTION("""COMPUTED_VALUE"""),13.44)</f>
        <v>13.44</v>
      </c>
      <c r="E273" s="1">
        <f ca="1">IFERROR(__xludf.DUMMYFUNCTION("""COMPUTED_VALUE"""),13.6)</f>
        <v>13.6</v>
      </c>
      <c r="F273" s="1">
        <f ca="1">IFERROR(__xludf.DUMMYFUNCTION("""COMPUTED_VALUE"""),13093744)</f>
        <v>13093744</v>
      </c>
      <c r="G273" s="5">
        <f t="shared" ca="1" si="12"/>
        <v>-1.9852941176470556E-2</v>
      </c>
      <c r="H273" s="14">
        <f t="shared" si="13"/>
        <v>2016</v>
      </c>
      <c r="I273" s="5">
        <f t="shared" ca="1" si="14"/>
        <v>-3.4776437189496114E-2</v>
      </c>
      <c r="J273" s="16"/>
    </row>
    <row r="274" spans="1:10" x14ac:dyDescent="0.2">
      <c r="A274" s="3">
        <v>42671</v>
      </c>
      <c r="B274" s="1">
        <f ca="1">IFERROR(__xludf.DUMMYFUNCTION("""COMPUTED_VALUE"""),13.6)</f>
        <v>13.6</v>
      </c>
      <c r="C274" s="1">
        <f ca="1">IFERROR(__xludf.DUMMYFUNCTION("""COMPUTED_VALUE"""),13.69)</f>
        <v>13.69</v>
      </c>
      <c r="D274" s="1">
        <f ca="1">IFERROR(__xludf.DUMMYFUNCTION("""COMPUTED_VALUE"""),13.32)</f>
        <v>13.32</v>
      </c>
      <c r="E274" s="1">
        <f ca="1">IFERROR(__xludf.DUMMYFUNCTION("""COMPUTED_VALUE"""),13.33)</f>
        <v>13.33</v>
      </c>
      <c r="F274" s="1">
        <f ca="1">IFERROR(__xludf.DUMMYFUNCTION("""COMPUTED_VALUE"""),4280141)</f>
        <v>4280141</v>
      </c>
      <c r="G274" s="5">
        <f t="shared" ca="1" si="12"/>
        <v>-1.1252813203300852E-2</v>
      </c>
      <c r="H274" s="14">
        <f t="shared" si="13"/>
        <v>2016</v>
      </c>
      <c r="I274" s="5">
        <f t="shared" ca="1" si="14"/>
        <v>-1.9852941176470556E-2</v>
      </c>
      <c r="J274" s="16"/>
    </row>
    <row r="275" spans="1:10" x14ac:dyDescent="0.2">
      <c r="A275" s="3">
        <v>42674</v>
      </c>
      <c r="B275" s="1">
        <f ca="1">IFERROR(__xludf.DUMMYFUNCTION("""COMPUTED_VALUE"""),13.5)</f>
        <v>13.5</v>
      </c>
      <c r="C275" s="1">
        <f ca="1">IFERROR(__xludf.DUMMYFUNCTION("""COMPUTED_VALUE"""),13.5)</f>
        <v>13.5</v>
      </c>
      <c r="D275" s="1">
        <f ca="1">IFERROR(__xludf.DUMMYFUNCTION("""COMPUTED_VALUE"""),13.05)</f>
        <v>13.05</v>
      </c>
      <c r="E275" s="1">
        <f ca="1">IFERROR(__xludf.DUMMYFUNCTION("""COMPUTED_VALUE"""),13.18)</f>
        <v>13.18</v>
      </c>
      <c r="F275" s="1">
        <f ca="1">IFERROR(__xludf.DUMMYFUNCTION("""COMPUTED_VALUE"""),4692273)</f>
        <v>4692273</v>
      </c>
      <c r="G275" s="5">
        <f t="shared" ca="1" si="12"/>
        <v>-3.4901365705614501E-2</v>
      </c>
      <c r="H275" s="14">
        <f t="shared" si="13"/>
        <v>2016</v>
      </c>
      <c r="I275" s="5">
        <f t="shared" ca="1" si="14"/>
        <v>-2.3703703703703723E-2</v>
      </c>
      <c r="J275" s="16"/>
    </row>
    <row r="276" spans="1:10" x14ac:dyDescent="0.2">
      <c r="A276" s="3">
        <v>42675</v>
      </c>
      <c r="B276" s="1">
        <f ca="1">IFERROR(__xludf.DUMMYFUNCTION("""COMPUTED_VALUE"""),13.2)</f>
        <v>13.2</v>
      </c>
      <c r="C276" s="1">
        <f ca="1">IFERROR(__xludf.DUMMYFUNCTION("""COMPUTED_VALUE"""),13.23)</f>
        <v>13.23</v>
      </c>
      <c r="D276" s="1">
        <f ca="1">IFERROR(__xludf.DUMMYFUNCTION("""COMPUTED_VALUE"""),12.54)</f>
        <v>12.54</v>
      </c>
      <c r="E276" s="1">
        <f ca="1">IFERROR(__xludf.DUMMYFUNCTION("""COMPUTED_VALUE"""),12.72)</f>
        <v>12.72</v>
      </c>
      <c r="F276" s="1">
        <f ca="1">IFERROR(__xludf.DUMMYFUNCTION("""COMPUTED_VALUE"""),7060036)</f>
        <v>7060036</v>
      </c>
      <c r="G276" s="5">
        <f t="shared" ca="1" si="12"/>
        <v>-1.4937106918239093E-2</v>
      </c>
      <c r="H276" s="14">
        <f t="shared" si="13"/>
        <v>2016</v>
      </c>
      <c r="I276" s="5">
        <f t="shared" ca="1" si="14"/>
        <v>-3.6363636363636265E-2</v>
      </c>
      <c r="J276" s="16"/>
    </row>
    <row r="277" spans="1:10" x14ac:dyDescent="0.2">
      <c r="A277" s="3">
        <v>42676</v>
      </c>
      <c r="B277" s="1">
        <f ca="1">IFERROR(__xludf.DUMMYFUNCTION("""COMPUTED_VALUE"""),12.67)</f>
        <v>12.67</v>
      </c>
      <c r="C277" s="1">
        <f ca="1">IFERROR(__xludf.DUMMYFUNCTION("""COMPUTED_VALUE"""),12.85)</f>
        <v>12.85</v>
      </c>
      <c r="D277" s="1">
        <f ca="1">IFERROR(__xludf.DUMMYFUNCTION("""COMPUTED_VALUE"""),12.5)</f>
        <v>12.5</v>
      </c>
      <c r="E277" s="1">
        <f ca="1">IFERROR(__xludf.DUMMYFUNCTION("""COMPUTED_VALUE"""),12.53)</f>
        <v>12.53</v>
      </c>
      <c r="F277" s="1">
        <f ca="1">IFERROR(__xludf.DUMMYFUNCTION("""COMPUTED_VALUE"""),4253382)</f>
        <v>4253382</v>
      </c>
      <c r="G277" s="5">
        <f t="shared" ca="1" si="12"/>
        <v>-3.1923383878690462E-3</v>
      </c>
      <c r="H277" s="14">
        <f t="shared" si="13"/>
        <v>2016</v>
      </c>
      <c r="I277" s="5">
        <f t="shared" ca="1" si="14"/>
        <v>-1.1049723756906122E-2</v>
      </c>
      <c r="J277" s="16"/>
    </row>
    <row r="278" spans="1:10" x14ac:dyDescent="0.2">
      <c r="A278" s="3">
        <v>42677</v>
      </c>
      <c r="B278" s="1">
        <f ca="1">IFERROR(__xludf.DUMMYFUNCTION("""COMPUTED_VALUE"""),12.6)</f>
        <v>12.6</v>
      </c>
      <c r="C278" s="1">
        <f ca="1">IFERROR(__xludf.DUMMYFUNCTION("""COMPUTED_VALUE"""),12.76)</f>
        <v>12.76</v>
      </c>
      <c r="D278" s="1">
        <f ca="1">IFERROR(__xludf.DUMMYFUNCTION("""COMPUTED_VALUE"""),12.47)</f>
        <v>12.47</v>
      </c>
      <c r="E278" s="1">
        <f ca="1">IFERROR(__xludf.DUMMYFUNCTION("""COMPUTED_VALUE"""),12.49)</f>
        <v>12.49</v>
      </c>
      <c r="F278" s="1">
        <f ca="1">IFERROR(__xludf.DUMMYFUNCTION("""COMPUTED_VALUE"""),2653023)</f>
        <v>2653023</v>
      </c>
      <c r="G278" s="5">
        <f t="shared" ca="1" si="12"/>
        <v>1.6813450760608414E-2</v>
      </c>
      <c r="H278" s="14">
        <f t="shared" si="13"/>
        <v>2016</v>
      </c>
      <c r="I278" s="5">
        <f t="shared" ca="1" si="14"/>
        <v>-8.7301587301586853E-3</v>
      </c>
      <c r="J278" s="16"/>
    </row>
    <row r="279" spans="1:10" x14ac:dyDescent="0.2">
      <c r="A279" s="3">
        <v>42678</v>
      </c>
      <c r="B279" s="1">
        <f ca="1">IFERROR(__xludf.DUMMYFUNCTION("""COMPUTED_VALUE"""),12.6)</f>
        <v>12.6</v>
      </c>
      <c r="C279" s="1">
        <f ca="1">IFERROR(__xludf.DUMMYFUNCTION("""COMPUTED_VALUE"""),12.9)</f>
        <v>12.9</v>
      </c>
      <c r="D279" s="1">
        <f ca="1">IFERROR(__xludf.DUMMYFUNCTION("""COMPUTED_VALUE"""),12.4)</f>
        <v>12.4</v>
      </c>
      <c r="E279" s="1">
        <f ca="1">IFERROR(__xludf.DUMMYFUNCTION("""COMPUTED_VALUE"""),12.7)</f>
        <v>12.7</v>
      </c>
      <c r="F279" s="1">
        <f ca="1">IFERROR(__xludf.DUMMYFUNCTION("""COMPUTED_VALUE"""),5146043)</f>
        <v>5146043</v>
      </c>
      <c r="G279" s="5">
        <f t="shared" ca="1" si="12"/>
        <v>1.4173228346456811E-2</v>
      </c>
      <c r="H279" s="14">
        <f t="shared" si="13"/>
        <v>2016</v>
      </c>
      <c r="I279" s="5">
        <f t="shared" ca="1" si="14"/>
        <v>7.9365079365079083E-3</v>
      </c>
      <c r="J279" s="16"/>
    </row>
    <row r="280" spans="1:10" x14ac:dyDescent="0.2">
      <c r="A280" s="3">
        <v>42681</v>
      </c>
      <c r="B280" s="1">
        <f ca="1">IFERROR(__xludf.DUMMYFUNCTION("""COMPUTED_VALUE"""),12.91)</f>
        <v>12.91</v>
      </c>
      <c r="C280" s="1">
        <f ca="1">IFERROR(__xludf.DUMMYFUNCTION("""COMPUTED_VALUE"""),12.95)</f>
        <v>12.95</v>
      </c>
      <c r="D280" s="1">
        <f ca="1">IFERROR(__xludf.DUMMYFUNCTION("""COMPUTED_VALUE"""),12.67)</f>
        <v>12.67</v>
      </c>
      <c r="E280" s="1">
        <f ca="1">IFERROR(__xludf.DUMMYFUNCTION("""COMPUTED_VALUE"""),12.88)</f>
        <v>12.88</v>
      </c>
      <c r="F280" s="1">
        <f ca="1">IFERROR(__xludf.DUMMYFUNCTION("""COMPUTED_VALUE"""),3870112)</f>
        <v>3870112</v>
      </c>
      <c r="G280" s="5">
        <f t="shared" ca="1" si="12"/>
        <v>9.3167701863353432E-3</v>
      </c>
      <c r="H280" s="14">
        <f t="shared" si="13"/>
        <v>2016</v>
      </c>
      <c r="I280" s="5">
        <f t="shared" ca="1" si="14"/>
        <v>-2.3237800154918171E-3</v>
      </c>
      <c r="J280" s="16"/>
    </row>
    <row r="281" spans="1:10" x14ac:dyDescent="0.2">
      <c r="A281" s="3">
        <v>42682</v>
      </c>
      <c r="B281" s="1">
        <f ca="1">IFERROR(__xludf.DUMMYFUNCTION("""COMPUTED_VALUE"""),12.92)</f>
        <v>12.92</v>
      </c>
      <c r="C281" s="1">
        <f ca="1">IFERROR(__xludf.DUMMYFUNCTION("""COMPUTED_VALUE"""),13.17)</f>
        <v>13.17</v>
      </c>
      <c r="D281" s="1">
        <f ca="1">IFERROR(__xludf.DUMMYFUNCTION("""COMPUTED_VALUE"""),12.75)</f>
        <v>12.75</v>
      </c>
      <c r="E281" s="1">
        <f ca="1">IFERROR(__xludf.DUMMYFUNCTION("""COMPUTED_VALUE"""),13)</f>
        <v>13</v>
      </c>
      <c r="F281" s="1">
        <f ca="1">IFERROR(__xludf.DUMMYFUNCTION("""COMPUTED_VALUE"""),3267580)</f>
        <v>3267580</v>
      </c>
      <c r="G281" s="5">
        <f t="shared" ca="1" si="12"/>
        <v>-2.5384615384615391E-2</v>
      </c>
      <c r="H281" s="14">
        <f t="shared" si="13"/>
        <v>2016</v>
      </c>
      <c r="I281" s="5">
        <f t="shared" ca="1" si="14"/>
        <v>6.1919504643962904E-3</v>
      </c>
      <c r="J281" s="16"/>
    </row>
    <row r="282" spans="1:10" x14ac:dyDescent="0.2">
      <c r="A282" s="3">
        <v>42683</v>
      </c>
      <c r="B282" s="1">
        <f ca="1">IFERROR(__xludf.DUMMYFUNCTION("""COMPUTED_VALUE"""),12.46)</f>
        <v>12.46</v>
      </c>
      <c r="C282" s="1">
        <f ca="1">IFERROR(__xludf.DUMMYFUNCTION("""COMPUTED_VALUE"""),12.8)</f>
        <v>12.8</v>
      </c>
      <c r="D282" s="1">
        <f ca="1">IFERROR(__xludf.DUMMYFUNCTION("""COMPUTED_VALUE"""),12.26)</f>
        <v>12.26</v>
      </c>
      <c r="E282" s="1">
        <f ca="1">IFERROR(__xludf.DUMMYFUNCTION("""COMPUTED_VALUE"""),12.67)</f>
        <v>12.67</v>
      </c>
      <c r="F282" s="1">
        <f ca="1">IFERROR(__xludf.DUMMYFUNCTION("""COMPUTED_VALUE"""),8173065)</f>
        <v>8173065</v>
      </c>
      <c r="G282" s="5">
        <f t="shared" ca="1" si="12"/>
        <v>-2.4467245461720639E-2</v>
      </c>
      <c r="H282" s="14">
        <f t="shared" si="13"/>
        <v>2016</v>
      </c>
      <c r="I282" s="5">
        <f t="shared" ca="1" si="14"/>
        <v>1.6853932584269586E-2</v>
      </c>
      <c r="J282" s="16"/>
    </row>
    <row r="283" spans="1:10" x14ac:dyDescent="0.2">
      <c r="A283" s="3">
        <v>42684</v>
      </c>
      <c r="B283" s="1">
        <f ca="1">IFERROR(__xludf.DUMMYFUNCTION("""COMPUTED_VALUE"""),12.74)</f>
        <v>12.74</v>
      </c>
      <c r="C283" s="1">
        <f ca="1">IFERROR(__xludf.DUMMYFUNCTION("""COMPUTED_VALUE"""),12.77)</f>
        <v>12.77</v>
      </c>
      <c r="D283" s="1">
        <f ca="1">IFERROR(__xludf.DUMMYFUNCTION("""COMPUTED_VALUE"""),12.03)</f>
        <v>12.03</v>
      </c>
      <c r="E283" s="1">
        <f ca="1">IFERROR(__xludf.DUMMYFUNCTION("""COMPUTED_VALUE"""),12.36)</f>
        <v>12.36</v>
      </c>
      <c r="F283" s="1">
        <f ca="1">IFERROR(__xludf.DUMMYFUNCTION("""COMPUTED_VALUE"""),6750341)</f>
        <v>6750341</v>
      </c>
      <c r="G283" s="5">
        <f t="shared" ca="1" si="12"/>
        <v>1.6990291262135991E-2</v>
      </c>
      <c r="H283" s="14">
        <f t="shared" si="13"/>
        <v>2016</v>
      </c>
      <c r="I283" s="5">
        <f t="shared" ca="1" si="14"/>
        <v>-2.9827315541601316E-2</v>
      </c>
      <c r="J283" s="16"/>
    </row>
    <row r="284" spans="1:10" x14ac:dyDescent="0.2">
      <c r="A284" s="3">
        <v>42685</v>
      </c>
      <c r="B284" s="1">
        <f ca="1">IFERROR(__xludf.DUMMYFUNCTION("""COMPUTED_VALUE"""),12.28)</f>
        <v>12.28</v>
      </c>
      <c r="C284" s="1">
        <f ca="1">IFERROR(__xludf.DUMMYFUNCTION("""COMPUTED_VALUE"""),12.59)</f>
        <v>12.59</v>
      </c>
      <c r="D284" s="1">
        <f ca="1">IFERROR(__xludf.DUMMYFUNCTION("""COMPUTED_VALUE"""),12.2)</f>
        <v>12.2</v>
      </c>
      <c r="E284" s="1">
        <f ca="1">IFERROR(__xludf.DUMMYFUNCTION("""COMPUTED_VALUE"""),12.57)</f>
        <v>12.57</v>
      </c>
      <c r="F284" s="1">
        <f ca="1">IFERROR(__xludf.DUMMYFUNCTION("""COMPUTED_VALUE"""),3988504)</f>
        <v>3988504</v>
      </c>
      <c r="G284" s="5">
        <f t="shared" ca="1" si="12"/>
        <v>-3.7390612569610231E-2</v>
      </c>
      <c r="H284" s="14">
        <f t="shared" si="13"/>
        <v>2016</v>
      </c>
      <c r="I284" s="5">
        <f t="shared" ca="1" si="14"/>
        <v>2.3615635179153171E-2</v>
      </c>
      <c r="J284" s="16"/>
    </row>
    <row r="285" spans="1:10" x14ac:dyDescent="0.2">
      <c r="A285" s="3">
        <v>42688</v>
      </c>
      <c r="B285" s="1">
        <f ca="1">IFERROR(__xludf.DUMMYFUNCTION("""COMPUTED_VALUE"""),12.53)</f>
        <v>12.53</v>
      </c>
      <c r="C285" s="1">
        <f ca="1">IFERROR(__xludf.DUMMYFUNCTION("""COMPUTED_VALUE"""),12.55)</f>
        <v>12.55</v>
      </c>
      <c r="D285" s="1">
        <f ca="1">IFERROR(__xludf.DUMMYFUNCTION("""COMPUTED_VALUE"""),11.88)</f>
        <v>11.88</v>
      </c>
      <c r="E285" s="1">
        <f ca="1">IFERROR(__xludf.DUMMYFUNCTION("""COMPUTED_VALUE"""),12.1)</f>
        <v>12.1</v>
      </c>
      <c r="F285" s="1">
        <f ca="1">IFERROR(__xludf.DUMMYFUNCTION("""COMPUTED_VALUE"""),6552205)</f>
        <v>6552205</v>
      </c>
      <c r="G285" s="5">
        <f t="shared" ca="1" si="12"/>
        <v>1.2396694214876063E-2</v>
      </c>
      <c r="H285" s="14">
        <f t="shared" si="13"/>
        <v>2016</v>
      </c>
      <c r="I285" s="5">
        <f t="shared" ca="1" si="14"/>
        <v>-3.4317637669592956E-2</v>
      </c>
      <c r="J285" s="16"/>
    </row>
    <row r="286" spans="1:10" x14ac:dyDescent="0.2">
      <c r="A286" s="3">
        <v>42689</v>
      </c>
      <c r="B286" s="1">
        <f ca="1">IFERROR(__xludf.DUMMYFUNCTION("""COMPUTED_VALUE"""),12.19)</f>
        <v>12.19</v>
      </c>
      <c r="C286" s="1">
        <f ca="1">IFERROR(__xludf.DUMMYFUNCTION("""COMPUTED_VALUE"""),12.43)</f>
        <v>12.43</v>
      </c>
      <c r="D286" s="1">
        <f ca="1">IFERROR(__xludf.DUMMYFUNCTION("""COMPUTED_VALUE"""),12.14)</f>
        <v>12.14</v>
      </c>
      <c r="E286" s="1">
        <f ca="1">IFERROR(__xludf.DUMMYFUNCTION("""COMPUTED_VALUE"""),12.25)</f>
        <v>12.25</v>
      </c>
      <c r="F286" s="1">
        <f ca="1">IFERROR(__xludf.DUMMYFUNCTION("""COMPUTED_VALUE"""),3902018)</f>
        <v>3902018</v>
      </c>
      <c r="G286" s="5">
        <f t="shared" ca="1" si="12"/>
        <v>8.1632653061222747E-4</v>
      </c>
      <c r="H286" s="14">
        <f t="shared" si="13"/>
        <v>2016</v>
      </c>
      <c r="I286" s="5">
        <f t="shared" ca="1" si="14"/>
        <v>4.922067268252707E-3</v>
      </c>
      <c r="J286" s="16"/>
    </row>
    <row r="287" spans="1:10" x14ac:dyDescent="0.2">
      <c r="A287" s="3">
        <v>42690</v>
      </c>
      <c r="B287" s="1">
        <f ca="1">IFERROR(__xludf.DUMMYFUNCTION("""COMPUTED_VALUE"""),12.18)</f>
        <v>12.18</v>
      </c>
      <c r="C287" s="1">
        <f ca="1">IFERROR(__xludf.DUMMYFUNCTION("""COMPUTED_VALUE"""),12.32)</f>
        <v>12.32</v>
      </c>
      <c r="D287" s="1">
        <f ca="1">IFERROR(__xludf.DUMMYFUNCTION("""COMPUTED_VALUE"""),12.08)</f>
        <v>12.08</v>
      </c>
      <c r="E287" s="1">
        <f ca="1">IFERROR(__xludf.DUMMYFUNCTION("""COMPUTED_VALUE"""),12.26)</f>
        <v>12.26</v>
      </c>
      <c r="F287" s="1">
        <f ca="1">IFERROR(__xludf.DUMMYFUNCTION("""COMPUTED_VALUE"""),3434437)</f>
        <v>3434437</v>
      </c>
      <c r="G287" s="5">
        <f t="shared" ca="1" si="12"/>
        <v>2.6101141924959239E-2</v>
      </c>
      <c r="H287" s="14">
        <f t="shared" si="13"/>
        <v>2016</v>
      </c>
      <c r="I287" s="5">
        <f t="shared" ca="1" si="14"/>
        <v>6.5681444991789878E-3</v>
      </c>
      <c r="J287" s="16"/>
    </row>
    <row r="288" spans="1:10" x14ac:dyDescent="0.2">
      <c r="A288" s="3">
        <v>42691</v>
      </c>
      <c r="B288" s="1">
        <f ca="1">IFERROR(__xludf.DUMMYFUNCTION("""COMPUTED_VALUE"""),12.23)</f>
        <v>12.23</v>
      </c>
      <c r="C288" s="1">
        <f ca="1">IFERROR(__xludf.DUMMYFUNCTION("""COMPUTED_VALUE"""),12.63)</f>
        <v>12.63</v>
      </c>
      <c r="D288" s="1">
        <f ca="1">IFERROR(__xludf.DUMMYFUNCTION("""COMPUTED_VALUE"""),12.14)</f>
        <v>12.14</v>
      </c>
      <c r="E288" s="1">
        <f ca="1">IFERROR(__xludf.DUMMYFUNCTION("""COMPUTED_VALUE"""),12.58)</f>
        <v>12.58</v>
      </c>
      <c r="F288" s="1">
        <f ca="1">IFERROR(__xludf.DUMMYFUNCTION("""COMPUTED_VALUE"""),4887067)</f>
        <v>4887067</v>
      </c>
      <c r="G288" s="5">
        <f t="shared" ca="1" si="12"/>
        <v>-1.987281399046105E-2</v>
      </c>
      <c r="H288" s="14">
        <f t="shared" si="13"/>
        <v>2016</v>
      </c>
      <c r="I288" s="5">
        <f t="shared" ca="1" si="14"/>
        <v>2.8618152085036763E-2</v>
      </c>
      <c r="J288" s="16"/>
    </row>
    <row r="289" spans="1:10" x14ac:dyDescent="0.2">
      <c r="A289" s="3">
        <v>42692</v>
      </c>
      <c r="B289" s="1">
        <f ca="1">IFERROR(__xludf.DUMMYFUNCTION("""COMPUTED_VALUE"""),12.71)</f>
        <v>12.71</v>
      </c>
      <c r="C289" s="1">
        <f ca="1">IFERROR(__xludf.DUMMYFUNCTION("""COMPUTED_VALUE"""),12.87)</f>
        <v>12.87</v>
      </c>
      <c r="D289" s="1">
        <f ca="1">IFERROR(__xludf.DUMMYFUNCTION("""COMPUTED_VALUE"""),12.33)</f>
        <v>12.33</v>
      </c>
      <c r="E289" s="1">
        <f ca="1">IFERROR(__xludf.DUMMYFUNCTION("""COMPUTED_VALUE"""),12.33)</f>
        <v>12.33</v>
      </c>
      <c r="F289" s="1">
        <f ca="1">IFERROR(__xludf.DUMMYFUNCTION("""COMPUTED_VALUE"""),5210347)</f>
        <v>5210347</v>
      </c>
      <c r="G289" s="5">
        <f t="shared" ca="1" si="12"/>
        <v>-2.4330900243308483E-3</v>
      </c>
      <c r="H289" s="14">
        <f t="shared" si="13"/>
        <v>2016</v>
      </c>
      <c r="I289" s="5">
        <f t="shared" ca="1" si="14"/>
        <v>-2.9897718332022091E-2</v>
      </c>
      <c r="J289" s="16"/>
    </row>
    <row r="290" spans="1:10" x14ac:dyDescent="0.2">
      <c r="A290" s="3">
        <v>42695</v>
      </c>
      <c r="B290" s="1">
        <f ca="1">IFERROR(__xludf.DUMMYFUNCTION("""COMPUTED_VALUE"""),12.34)</f>
        <v>12.34</v>
      </c>
      <c r="C290" s="1">
        <f ca="1">IFERROR(__xludf.DUMMYFUNCTION("""COMPUTED_VALUE"""),12.59)</f>
        <v>12.59</v>
      </c>
      <c r="D290" s="1">
        <f ca="1">IFERROR(__xludf.DUMMYFUNCTION("""COMPUTED_VALUE"""),12.29)</f>
        <v>12.29</v>
      </c>
      <c r="E290" s="1">
        <f ca="1">IFERROR(__xludf.DUMMYFUNCTION("""COMPUTED_VALUE"""),12.3)</f>
        <v>12.3</v>
      </c>
      <c r="F290" s="1">
        <f ca="1">IFERROR(__xludf.DUMMYFUNCTION("""COMPUTED_VALUE"""),4361043)</f>
        <v>4361043</v>
      </c>
      <c r="G290" s="5">
        <f t="shared" ca="1" si="12"/>
        <v>3.5772357723577196E-2</v>
      </c>
      <c r="H290" s="14">
        <f t="shared" si="13"/>
        <v>2016</v>
      </c>
      <c r="I290" s="5">
        <f t="shared" ca="1" si="14"/>
        <v>-3.2414910858994447E-3</v>
      </c>
      <c r="J290" s="16"/>
    </row>
    <row r="291" spans="1:10" x14ac:dyDescent="0.2">
      <c r="A291" s="3">
        <v>42696</v>
      </c>
      <c r="B291" s="1">
        <f ca="1">IFERROR(__xludf.DUMMYFUNCTION("""COMPUTED_VALUE"""),12.39)</f>
        <v>12.39</v>
      </c>
      <c r="C291" s="1">
        <f ca="1">IFERROR(__xludf.DUMMYFUNCTION("""COMPUTED_VALUE"""),12.76)</f>
        <v>12.76</v>
      </c>
      <c r="D291" s="1">
        <f ca="1">IFERROR(__xludf.DUMMYFUNCTION("""COMPUTED_VALUE"""),12.25)</f>
        <v>12.25</v>
      </c>
      <c r="E291" s="1">
        <f ca="1">IFERROR(__xludf.DUMMYFUNCTION("""COMPUTED_VALUE"""),12.74)</f>
        <v>12.74</v>
      </c>
      <c r="F291" s="1">
        <f ca="1">IFERROR(__xludf.DUMMYFUNCTION("""COMPUTED_VALUE"""),5603361)</f>
        <v>5603361</v>
      </c>
      <c r="G291" s="5">
        <f t="shared" ca="1" si="12"/>
        <v>1.0989010989011033E-2</v>
      </c>
      <c r="H291" s="14">
        <f t="shared" si="13"/>
        <v>2016</v>
      </c>
      <c r="I291" s="5">
        <f t="shared" ca="1" si="14"/>
        <v>2.8248587570621438E-2</v>
      </c>
      <c r="J291" s="16"/>
    </row>
    <row r="292" spans="1:10" x14ac:dyDescent="0.2">
      <c r="A292" s="3">
        <v>42697</v>
      </c>
      <c r="B292" s="1">
        <f ca="1">IFERROR(__xludf.DUMMYFUNCTION("""COMPUTED_VALUE"""),12.71)</f>
        <v>12.71</v>
      </c>
      <c r="C292" s="1">
        <f ca="1">IFERROR(__xludf.DUMMYFUNCTION("""COMPUTED_VALUE"""),13.04)</f>
        <v>13.04</v>
      </c>
      <c r="D292" s="1">
        <f ca="1">IFERROR(__xludf.DUMMYFUNCTION("""COMPUTED_VALUE"""),12.6)</f>
        <v>12.6</v>
      </c>
      <c r="E292" s="1">
        <f ca="1">IFERROR(__xludf.DUMMYFUNCTION("""COMPUTED_VALUE"""),12.88)</f>
        <v>12.88</v>
      </c>
      <c r="F292" s="1">
        <f ca="1">IFERROR(__xludf.DUMMYFUNCTION("""COMPUTED_VALUE"""),4891893)</f>
        <v>4891893</v>
      </c>
      <c r="G292" s="5">
        <f t="shared" ca="1" si="12"/>
        <v>1.7857142857142752E-2</v>
      </c>
      <c r="H292" s="14">
        <f t="shared" si="13"/>
        <v>2016</v>
      </c>
      <c r="I292" s="5">
        <f t="shared" ca="1" si="14"/>
        <v>1.3375295043273007E-2</v>
      </c>
      <c r="J292" s="16"/>
    </row>
    <row r="293" spans="1:10" x14ac:dyDescent="0.2">
      <c r="A293" s="3">
        <v>42699</v>
      </c>
      <c r="B293" s="1">
        <f ca="1">IFERROR(__xludf.DUMMYFUNCTION("""COMPUTED_VALUE"""),12.91)</f>
        <v>12.91</v>
      </c>
      <c r="C293" s="1">
        <f ca="1">IFERROR(__xludf.DUMMYFUNCTION("""COMPUTED_VALUE"""),13.15)</f>
        <v>13.15</v>
      </c>
      <c r="D293" s="1">
        <f ca="1">IFERROR(__xludf.DUMMYFUNCTION("""COMPUTED_VALUE"""),12.91)</f>
        <v>12.91</v>
      </c>
      <c r="E293" s="1">
        <f ca="1">IFERROR(__xludf.DUMMYFUNCTION("""COMPUTED_VALUE"""),13.11)</f>
        <v>13.11</v>
      </c>
      <c r="F293" s="1">
        <f ca="1">IFERROR(__xludf.DUMMYFUNCTION("""COMPUTED_VALUE"""),2366098)</f>
        <v>2366098</v>
      </c>
      <c r="G293" s="5">
        <f t="shared" ca="1" si="12"/>
        <v>-3.0511060259343363E-3</v>
      </c>
      <c r="H293" s="14">
        <f t="shared" si="13"/>
        <v>2016</v>
      </c>
      <c r="I293" s="5">
        <f t="shared" ca="1" si="14"/>
        <v>1.5491866769945723E-2</v>
      </c>
      <c r="J293" s="16"/>
    </row>
    <row r="294" spans="1:10" x14ac:dyDescent="0.2">
      <c r="A294" s="3">
        <v>42702</v>
      </c>
      <c r="B294" s="1">
        <f ca="1">IFERROR(__xludf.DUMMYFUNCTION("""COMPUTED_VALUE"""),13.03)</f>
        <v>13.03</v>
      </c>
      <c r="C294" s="1">
        <f ca="1">IFERROR(__xludf.DUMMYFUNCTION("""COMPUTED_VALUE"""),13.29)</f>
        <v>13.29</v>
      </c>
      <c r="D294" s="1">
        <f ca="1">IFERROR(__xludf.DUMMYFUNCTION("""COMPUTED_VALUE"""),12.97)</f>
        <v>12.97</v>
      </c>
      <c r="E294" s="1">
        <f ca="1">IFERROR(__xludf.DUMMYFUNCTION("""COMPUTED_VALUE"""),13.07)</f>
        <v>13.07</v>
      </c>
      <c r="F294" s="1">
        <f ca="1">IFERROR(__xludf.DUMMYFUNCTION("""COMPUTED_VALUE"""),4529182)</f>
        <v>4529182</v>
      </c>
      <c r="G294" s="5">
        <f t="shared" ca="1" si="12"/>
        <v>-3.2899770466717652E-2</v>
      </c>
      <c r="H294" s="14">
        <f t="shared" si="13"/>
        <v>2016</v>
      </c>
      <c r="I294" s="5">
        <f t="shared" ca="1" si="14"/>
        <v>3.0698388334613144E-3</v>
      </c>
      <c r="J294" s="16"/>
    </row>
    <row r="295" spans="1:10" x14ac:dyDescent="0.2">
      <c r="A295" s="3">
        <v>42703</v>
      </c>
      <c r="B295" s="1">
        <f ca="1">IFERROR(__xludf.DUMMYFUNCTION("""COMPUTED_VALUE"""),13.04)</f>
        <v>13.04</v>
      </c>
      <c r="C295" s="1">
        <f ca="1">IFERROR(__xludf.DUMMYFUNCTION("""COMPUTED_VALUE"""),13.12)</f>
        <v>13.12</v>
      </c>
      <c r="D295" s="1">
        <f ca="1">IFERROR(__xludf.DUMMYFUNCTION("""COMPUTED_VALUE"""),12.63)</f>
        <v>12.63</v>
      </c>
      <c r="E295" s="1">
        <f ca="1">IFERROR(__xludf.DUMMYFUNCTION("""COMPUTED_VALUE"""),12.64)</f>
        <v>12.64</v>
      </c>
      <c r="F295" s="1">
        <f ca="1">IFERROR(__xludf.DUMMYFUNCTION("""COMPUTED_VALUE"""),4439256)</f>
        <v>4439256</v>
      </c>
      <c r="G295" s="5">
        <f t="shared" ca="1" si="12"/>
        <v>-7.9113924050631219E-4</v>
      </c>
      <c r="H295" s="14">
        <f t="shared" si="13"/>
        <v>2016</v>
      </c>
      <c r="I295" s="5">
        <f t="shared" ca="1" si="14"/>
        <v>-3.0674846625766763E-2</v>
      </c>
      <c r="J295" s="16"/>
    </row>
    <row r="296" spans="1:10" x14ac:dyDescent="0.2">
      <c r="A296" s="3">
        <v>42704</v>
      </c>
      <c r="B296" s="1">
        <f ca="1">IFERROR(__xludf.DUMMYFUNCTION("""COMPUTED_VALUE"""),12.73)</f>
        <v>12.73</v>
      </c>
      <c r="C296" s="1">
        <f ca="1">IFERROR(__xludf.DUMMYFUNCTION("""COMPUTED_VALUE"""),12.79)</f>
        <v>12.79</v>
      </c>
      <c r="D296" s="1">
        <f ca="1">IFERROR(__xludf.DUMMYFUNCTION("""COMPUTED_VALUE"""),12.5)</f>
        <v>12.5</v>
      </c>
      <c r="E296" s="1">
        <f ca="1">IFERROR(__xludf.DUMMYFUNCTION("""COMPUTED_VALUE"""),12.63)</f>
        <v>12.63</v>
      </c>
      <c r="F296" s="1">
        <f ca="1">IFERROR(__xludf.DUMMYFUNCTION("""COMPUTED_VALUE"""),3547104)</f>
        <v>3547104</v>
      </c>
      <c r="G296" s="5">
        <f t="shared" ca="1" si="12"/>
        <v>-3.9588281868566902E-2</v>
      </c>
      <c r="H296" s="14">
        <f t="shared" si="13"/>
        <v>2016</v>
      </c>
      <c r="I296" s="5">
        <f t="shared" ca="1" si="14"/>
        <v>-7.8554595443833183E-3</v>
      </c>
      <c r="J296" s="16"/>
    </row>
    <row r="297" spans="1:10" x14ac:dyDescent="0.2">
      <c r="A297" s="3">
        <v>42705</v>
      </c>
      <c r="B297" s="1">
        <f ca="1">IFERROR(__xludf.DUMMYFUNCTION("""COMPUTED_VALUE"""),12.55)</f>
        <v>12.55</v>
      </c>
      <c r="C297" s="1">
        <f ca="1">IFERROR(__xludf.DUMMYFUNCTION("""COMPUTED_VALUE"""),12.57)</f>
        <v>12.57</v>
      </c>
      <c r="D297" s="1">
        <f ca="1">IFERROR(__xludf.DUMMYFUNCTION("""COMPUTED_VALUE"""),12.07)</f>
        <v>12.07</v>
      </c>
      <c r="E297" s="1">
        <f ca="1">IFERROR(__xludf.DUMMYFUNCTION("""COMPUTED_VALUE"""),12.13)</f>
        <v>12.13</v>
      </c>
      <c r="F297" s="1">
        <f ca="1">IFERROR(__xludf.DUMMYFUNCTION("""COMPUTED_VALUE"""),5126401)</f>
        <v>5126401</v>
      </c>
      <c r="G297" s="5">
        <f t="shared" ca="1" si="12"/>
        <v>-2.4732069249794836E-3</v>
      </c>
      <c r="H297" s="14">
        <f t="shared" si="13"/>
        <v>2016</v>
      </c>
      <c r="I297" s="5">
        <f t="shared" ca="1" si="14"/>
        <v>-3.3466135458167325E-2</v>
      </c>
      <c r="J297" s="16"/>
    </row>
    <row r="298" spans="1:10" x14ac:dyDescent="0.2">
      <c r="A298" s="3">
        <v>42706</v>
      </c>
      <c r="B298" s="1">
        <f ca="1">IFERROR(__xludf.DUMMYFUNCTION("""COMPUTED_VALUE"""),12.19)</f>
        <v>12.19</v>
      </c>
      <c r="C298" s="1">
        <f ca="1">IFERROR(__xludf.DUMMYFUNCTION("""COMPUTED_VALUE"""),12.33)</f>
        <v>12.33</v>
      </c>
      <c r="D298" s="1">
        <f ca="1">IFERROR(__xludf.DUMMYFUNCTION("""COMPUTED_VALUE"""),12)</f>
        <v>12</v>
      </c>
      <c r="E298" s="1">
        <f ca="1">IFERROR(__xludf.DUMMYFUNCTION("""COMPUTED_VALUE"""),12.1)</f>
        <v>12.1</v>
      </c>
      <c r="F298" s="1">
        <f ca="1">IFERROR(__xludf.DUMMYFUNCTION("""COMPUTED_VALUE"""),4042324)</f>
        <v>4042324</v>
      </c>
      <c r="G298" s="5">
        <f t="shared" ca="1" si="12"/>
        <v>2.8925619834710717E-2</v>
      </c>
      <c r="H298" s="14">
        <f t="shared" si="13"/>
        <v>2016</v>
      </c>
      <c r="I298" s="5">
        <f t="shared" ca="1" si="14"/>
        <v>-7.3831009023789876E-3</v>
      </c>
      <c r="J298" s="16"/>
    </row>
    <row r="299" spans="1:10" x14ac:dyDescent="0.2">
      <c r="A299" s="3">
        <v>42709</v>
      </c>
      <c r="B299" s="1">
        <f ca="1">IFERROR(__xludf.DUMMYFUNCTION("""COMPUTED_VALUE"""),12.17)</f>
        <v>12.17</v>
      </c>
      <c r="C299" s="1">
        <f ca="1">IFERROR(__xludf.DUMMYFUNCTION("""COMPUTED_VALUE"""),12.59)</f>
        <v>12.59</v>
      </c>
      <c r="D299" s="1">
        <f ca="1">IFERROR(__xludf.DUMMYFUNCTION("""COMPUTED_VALUE"""),12.17)</f>
        <v>12.17</v>
      </c>
      <c r="E299" s="1">
        <f ca="1">IFERROR(__xludf.DUMMYFUNCTION("""COMPUTED_VALUE"""),12.45)</f>
        <v>12.45</v>
      </c>
      <c r="F299" s="1">
        <f ca="1">IFERROR(__xludf.DUMMYFUNCTION("""COMPUTED_VALUE"""),4072239)</f>
        <v>4072239</v>
      </c>
      <c r="G299" s="5">
        <f t="shared" ca="1" si="12"/>
        <v>-4.8192771084336321E-3</v>
      </c>
      <c r="H299" s="14">
        <f t="shared" si="13"/>
        <v>2016</v>
      </c>
      <c r="I299" s="5">
        <f t="shared" ca="1" si="14"/>
        <v>2.3007395234182364E-2</v>
      </c>
      <c r="J299" s="16"/>
    </row>
    <row r="300" spans="1:10" x14ac:dyDescent="0.2">
      <c r="A300" s="3">
        <v>42710</v>
      </c>
      <c r="B300" s="1">
        <f ca="1">IFERROR(__xludf.DUMMYFUNCTION("""COMPUTED_VALUE"""),12.37)</f>
        <v>12.37</v>
      </c>
      <c r="C300" s="1">
        <f ca="1">IFERROR(__xludf.DUMMYFUNCTION("""COMPUTED_VALUE"""),12.44)</f>
        <v>12.44</v>
      </c>
      <c r="D300" s="1">
        <f ca="1">IFERROR(__xludf.DUMMYFUNCTION("""COMPUTED_VALUE"""),12.18)</f>
        <v>12.18</v>
      </c>
      <c r="E300" s="1">
        <f ca="1">IFERROR(__xludf.DUMMYFUNCTION("""COMPUTED_VALUE"""),12.39)</f>
        <v>12.39</v>
      </c>
      <c r="F300" s="1">
        <f ca="1">IFERROR(__xludf.DUMMYFUNCTION("""COMPUTED_VALUE"""),3391622)</f>
        <v>3391622</v>
      </c>
      <c r="G300" s="5">
        <f t="shared" ca="1" si="12"/>
        <v>3.9548022598870074E-2</v>
      </c>
      <c r="H300" s="14">
        <f t="shared" si="13"/>
        <v>2016</v>
      </c>
      <c r="I300" s="5">
        <f t="shared" ca="1" si="14"/>
        <v>1.6168148746969564E-3</v>
      </c>
      <c r="J300" s="16"/>
    </row>
    <row r="301" spans="1:10" x14ac:dyDescent="0.2">
      <c r="A301" s="3">
        <v>42711</v>
      </c>
      <c r="B301" s="1">
        <f ca="1">IFERROR(__xludf.DUMMYFUNCTION("""COMPUTED_VALUE"""),12.41)</f>
        <v>12.41</v>
      </c>
      <c r="C301" s="1">
        <f ca="1">IFERROR(__xludf.DUMMYFUNCTION("""COMPUTED_VALUE"""),12.89)</f>
        <v>12.89</v>
      </c>
      <c r="D301" s="1">
        <f ca="1">IFERROR(__xludf.DUMMYFUNCTION("""COMPUTED_VALUE"""),12.33)</f>
        <v>12.33</v>
      </c>
      <c r="E301" s="1">
        <f ca="1">IFERROR(__xludf.DUMMYFUNCTION("""COMPUTED_VALUE"""),12.88)</f>
        <v>12.88</v>
      </c>
      <c r="F301" s="1">
        <f ca="1">IFERROR(__xludf.DUMMYFUNCTION("""COMPUTED_VALUE"""),5461851)</f>
        <v>5461851</v>
      </c>
      <c r="G301" s="5">
        <f t="shared" ca="1" si="12"/>
        <v>-4.6583850931677401E-3</v>
      </c>
      <c r="H301" s="14">
        <f t="shared" si="13"/>
        <v>2016</v>
      </c>
      <c r="I301" s="5">
        <f t="shared" ca="1" si="14"/>
        <v>3.7872683319903358E-2</v>
      </c>
      <c r="J301" s="16"/>
    </row>
    <row r="302" spans="1:10" x14ac:dyDescent="0.2">
      <c r="A302" s="3">
        <v>42712</v>
      </c>
      <c r="B302" s="1">
        <f ca="1">IFERROR(__xludf.DUMMYFUNCTION("""COMPUTED_VALUE"""),12.8)</f>
        <v>12.8</v>
      </c>
      <c r="C302" s="1">
        <f ca="1">IFERROR(__xludf.DUMMYFUNCTION("""COMPUTED_VALUE"""),12.83)</f>
        <v>12.83</v>
      </c>
      <c r="D302" s="1">
        <f ca="1">IFERROR(__xludf.DUMMYFUNCTION("""COMPUTED_VALUE"""),12.64)</f>
        <v>12.64</v>
      </c>
      <c r="E302" s="1">
        <f ca="1">IFERROR(__xludf.DUMMYFUNCTION("""COMPUTED_VALUE"""),12.82)</f>
        <v>12.82</v>
      </c>
      <c r="F302" s="1">
        <f ca="1">IFERROR(__xludf.DUMMYFUNCTION("""COMPUTED_VALUE"""),3194148)</f>
        <v>3194148</v>
      </c>
      <c r="G302" s="5">
        <f t="shared" ca="1" si="12"/>
        <v>-7.8003120124803325E-4</v>
      </c>
      <c r="H302" s="14">
        <f t="shared" si="13"/>
        <v>2016</v>
      </c>
      <c r="I302" s="5">
        <f t="shared" ca="1" si="14"/>
        <v>1.5624999999999667E-3</v>
      </c>
      <c r="J302" s="16"/>
    </row>
    <row r="303" spans="1:10" x14ac:dyDescent="0.2">
      <c r="A303" s="3">
        <v>42713</v>
      </c>
      <c r="B303" s="1">
        <f ca="1">IFERROR(__xludf.DUMMYFUNCTION("""COMPUTED_VALUE"""),12.72)</f>
        <v>12.72</v>
      </c>
      <c r="C303" s="1">
        <f ca="1">IFERROR(__xludf.DUMMYFUNCTION("""COMPUTED_VALUE"""),12.92)</f>
        <v>12.92</v>
      </c>
      <c r="D303" s="1">
        <f ca="1">IFERROR(__xludf.DUMMYFUNCTION("""COMPUTED_VALUE"""),12.72)</f>
        <v>12.72</v>
      </c>
      <c r="E303" s="1">
        <f ca="1">IFERROR(__xludf.DUMMYFUNCTION("""COMPUTED_VALUE"""),12.81)</f>
        <v>12.81</v>
      </c>
      <c r="F303" s="1">
        <f ca="1">IFERROR(__xludf.DUMMYFUNCTION("""COMPUTED_VALUE"""),2722505)</f>
        <v>2722505</v>
      </c>
      <c r="G303" s="5">
        <f t="shared" ca="1" si="12"/>
        <v>1.5612802498048066E-3</v>
      </c>
      <c r="H303" s="14">
        <f t="shared" si="13"/>
        <v>2016</v>
      </c>
      <c r="I303" s="5">
        <f t="shared" ca="1" si="14"/>
        <v>7.0754716981131964E-3</v>
      </c>
      <c r="J303" s="16"/>
    </row>
    <row r="304" spans="1:10" x14ac:dyDescent="0.2">
      <c r="A304" s="3">
        <v>42716</v>
      </c>
      <c r="B304" s="1">
        <f ca="1">IFERROR(__xludf.DUMMYFUNCTION("""COMPUTED_VALUE"""),12.85)</f>
        <v>12.85</v>
      </c>
      <c r="C304" s="1">
        <f ca="1">IFERROR(__xludf.DUMMYFUNCTION("""COMPUTED_VALUE"""),12.96)</f>
        <v>12.96</v>
      </c>
      <c r="D304" s="1">
        <f ca="1">IFERROR(__xludf.DUMMYFUNCTION("""COMPUTED_VALUE"""),12.74)</f>
        <v>12.74</v>
      </c>
      <c r="E304" s="1">
        <f ca="1">IFERROR(__xludf.DUMMYFUNCTION("""COMPUTED_VALUE"""),12.83)</f>
        <v>12.83</v>
      </c>
      <c r="F304" s="1">
        <f ca="1">IFERROR(__xludf.DUMMYFUNCTION("""COMPUTED_VALUE"""),2438876)</f>
        <v>2438876</v>
      </c>
      <c r="G304" s="5">
        <f t="shared" ca="1" si="12"/>
        <v>2.9618082618862104E-2</v>
      </c>
      <c r="H304" s="14">
        <f t="shared" si="13"/>
        <v>2016</v>
      </c>
      <c r="I304" s="5">
        <f t="shared" ca="1" si="14"/>
        <v>-1.556420233463002E-3</v>
      </c>
      <c r="J304" s="16"/>
    </row>
    <row r="305" spans="1:10" x14ac:dyDescent="0.2">
      <c r="A305" s="3">
        <v>42717</v>
      </c>
      <c r="B305" s="1">
        <f ca="1">IFERROR(__xludf.DUMMYFUNCTION("""COMPUTED_VALUE"""),12.88)</f>
        <v>12.88</v>
      </c>
      <c r="C305" s="1">
        <f ca="1">IFERROR(__xludf.DUMMYFUNCTION("""COMPUTED_VALUE"""),13.42)</f>
        <v>13.42</v>
      </c>
      <c r="D305" s="1">
        <f ca="1">IFERROR(__xludf.DUMMYFUNCTION("""COMPUTED_VALUE"""),12.87)</f>
        <v>12.87</v>
      </c>
      <c r="E305" s="1">
        <f ca="1">IFERROR(__xludf.DUMMYFUNCTION("""COMPUTED_VALUE"""),13.21)</f>
        <v>13.21</v>
      </c>
      <c r="F305" s="1">
        <f ca="1">IFERROR(__xludf.DUMMYFUNCTION("""COMPUTED_VALUE"""),6823884)</f>
        <v>6823884</v>
      </c>
      <c r="G305" s="5">
        <f t="shared" ca="1" si="12"/>
        <v>3.0280090840271875E-3</v>
      </c>
      <c r="H305" s="14">
        <f t="shared" si="13"/>
        <v>2016</v>
      </c>
      <c r="I305" s="5">
        <f t="shared" ca="1" si="14"/>
        <v>2.5621118012422364E-2</v>
      </c>
      <c r="J305" s="16"/>
    </row>
    <row r="306" spans="1:10" x14ac:dyDescent="0.2">
      <c r="A306" s="3">
        <v>42718</v>
      </c>
      <c r="B306" s="1">
        <f ca="1">IFERROR(__xludf.DUMMYFUNCTION("""COMPUTED_VALUE"""),13.25)</f>
        <v>13.25</v>
      </c>
      <c r="C306" s="1">
        <f ca="1">IFERROR(__xludf.DUMMYFUNCTION("""COMPUTED_VALUE"""),13.53)</f>
        <v>13.53</v>
      </c>
      <c r="D306" s="1">
        <f ca="1">IFERROR(__xludf.DUMMYFUNCTION("""COMPUTED_VALUE"""),13.12)</f>
        <v>13.12</v>
      </c>
      <c r="E306" s="1">
        <f ca="1">IFERROR(__xludf.DUMMYFUNCTION("""COMPUTED_VALUE"""),13.25)</f>
        <v>13.25</v>
      </c>
      <c r="F306" s="1">
        <f ca="1">IFERROR(__xludf.DUMMYFUNCTION("""COMPUTED_VALUE"""),4150927)</f>
        <v>4150927</v>
      </c>
      <c r="G306" s="5">
        <f t="shared" ca="1" si="12"/>
        <v>-6.0377358490566095E-3</v>
      </c>
      <c r="H306" s="14">
        <f t="shared" si="13"/>
        <v>2016</v>
      </c>
      <c r="I306" s="5">
        <f t="shared" ca="1" si="14"/>
        <v>0</v>
      </c>
      <c r="J306" s="16"/>
    </row>
    <row r="307" spans="1:10" x14ac:dyDescent="0.2">
      <c r="A307" s="3">
        <v>42719</v>
      </c>
      <c r="B307" s="1">
        <f ca="1">IFERROR(__xludf.DUMMYFUNCTION("""COMPUTED_VALUE"""),13.23)</f>
        <v>13.23</v>
      </c>
      <c r="C307" s="1">
        <f ca="1">IFERROR(__xludf.DUMMYFUNCTION("""COMPUTED_VALUE"""),13.38)</f>
        <v>13.38</v>
      </c>
      <c r="D307" s="1">
        <f ca="1">IFERROR(__xludf.DUMMYFUNCTION("""COMPUTED_VALUE"""),13.16)</f>
        <v>13.16</v>
      </c>
      <c r="E307" s="1">
        <f ca="1">IFERROR(__xludf.DUMMYFUNCTION("""COMPUTED_VALUE"""),13.17)</f>
        <v>13.17</v>
      </c>
      <c r="F307" s="1">
        <f ca="1">IFERROR(__xludf.DUMMYFUNCTION("""COMPUTED_VALUE"""),3219567)</f>
        <v>3219567</v>
      </c>
      <c r="G307" s="5">
        <f t="shared" ca="1" si="12"/>
        <v>2.5056947608200462E-2</v>
      </c>
      <c r="H307" s="14">
        <f t="shared" si="13"/>
        <v>2016</v>
      </c>
      <c r="I307" s="5">
        <f t="shared" ca="1" si="14"/>
        <v>-4.5351473922902868E-3</v>
      </c>
      <c r="J307" s="16"/>
    </row>
    <row r="308" spans="1:10" x14ac:dyDescent="0.2">
      <c r="A308" s="3">
        <v>42720</v>
      </c>
      <c r="B308" s="1">
        <f ca="1">IFERROR(__xludf.DUMMYFUNCTION("""COMPUTED_VALUE"""),13.21)</f>
        <v>13.21</v>
      </c>
      <c r="C308" s="1">
        <f ca="1">IFERROR(__xludf.DUMMYFUNCTION("""COMPUTED_VALUE"""),13.51)</f>
        <v>13.51</v>
      </c>
      <c r="D308" s="1">
        <f ca="1">IFERROR(__xludf.DUMMYFUNCTION("""COMPUTED_VALUE"""),13.17)</f>
        <v>13.17</v>
      </c>
      <c r="E308" s="1">
        <f ca="1">IFERROR(__xludf.DUMMYFUNCTION("""COMPUTED_VALUE"""),13.5)</f>
        <v>13.5</v>
      </c>
      <c r="F308" s="1">
        <f ca="1">IFERROR(__xludf.DUMMYFUNCTION("""COMPUTED_VALUE"""),3796889)</f>
        <v>3796889</v>
      </c>
      <c r="G308" s="5">
        <f t="shared" ca="1" si="12"/>
        <v>1.48148148148145E-3</v>
      </c>
      <c r="H308" s="14">
        <f t="shared" si="13"/>
        <v>2016</v>
      </c>
      <c r="I308" s="5">
        <f t="shared" ca="1" si="14"/>
        <v>2.1953065859197513E-2</v>
      </c>
      <c r="J308" s="16"/>
    </row>
    <row r="309" spans="1:10" x14ac:dyDescent="0.2">
      <c r="A309" s="3">
        <v>42723</v>
      </c>
      <c r="B309" s="1">
        <f ca="1">IFERROR(__xludf.DUMMYFUNCTION("""COMPUTED_VALUE"""),13.5)</f>
        <v>13.5</v>
      </c>
      <c r="C309" s="1">
        <f ca="1">IFERROR(__xludf.DUMMYFUNCTION("""COMPUTED_VALUE"""),13.63)</f>
        <v>13.63</v>
      </c>
      <c r="D309" s="1">
        <f ca="1">IFERROR(__xludf.DUMMYFUNCTION("""COMPUTED_VALUE"""),13.32)</f>
        <v>13.32</v>
      </c>
      <c r="E309" s="1">
        <f ca="1">IFERROR(__xludf.DUMMYFUNCTION("""COMPUTED_VALUE"""),13.52)</f>
        <v>13.52</v>
      </c>
      <c r="F309" s="1">
        <f ca="1">IFERROR(__xludf.DUMMYFUNCTION("""COMPUTED_VALUE"""),3488071)</f>
        <v>3488071</v>
      </c>
      <c r="G309" s="5">
        <f t="shared" ca="1" si="12"/>
        <v>2.9585798816568074E-2</v>
      </c>
      <c r="H309" s="14">
        <f t="shared" si="13"/>
        <v>2016</v>
      </c>
      <c r="I309" s="5">
        <f t="shared" ca="1" si="14"/>
        <v>1.48148148148145E-3</v>
      </c>
      <c r="J309" s="16"/>
    </row>
    <row r="310" spans="1:10" x14ac:dyDescent="0.2">
      <c r="A310" s="3">
        <v>42724</v>
      </c>
      <c r="B310" s="1">
        <f ca="1">IFERROR(__xludf.DUMMYFUNCTION("""COMPUTED_VALUE"""),13.54)</f>
        <v>13.54</v>
      </c>
      <c r="C310" s="1">
        <f ca="1">IFERROR(__xludf.DUMMYFUNCTION("""COMPUTED_VALUE"""),13.93)</f>
        <v>13.93</v>
      </c>
      <c r="D310" s="1">
        <f ca="1">IFERROR(__xludf.DUMMYFUNCTION("""COMPUTED_VALUE"""),13.5)</f>
        <v>13.5</v>
      </c>
      <c r="E310" s="1">
        <f ca="1">IFERROR(__xludf.DUMMYFUNCTION("""COMPUTED_VALUE"""),13.92)</f>
        <v>13.92</v>
      </c>
      <c r="F310" s="1">
        <f ca="1">IFERROR(__xludf.DUMMYFUNCTION("""COMPUTED_VALUE"""),4689071)</f>
        <v>4689071</v>
      </c>
      <c r="G310" s="5">
        <f t="shared" ca="1" si="12"/>
        <v>-5.0287356321839288E-3</v>
      </c>
      <c r="H310" s="14">
        <f t="shared" si="13"/>
        <v>2016</v>
      </c>
      <c r="I310" s="5">
        <f t="shared" ca="1" si="14"/>
        <v>2.8064992614475686E-2</v>
      </c>
      <c r="J310" s="16"/>
    </row>
    <row r="311" spans="1:10" x14ac:dyDescent="0.2">
      <c r="A311" s="3">
        <v>42725</v>
      </c>
      <c r="B311" s="1">
        <f ca="1">IFERROR(__xludf.DUMMYFUNCTION("""COMPUTED_VALUE"""),13.9)</f>
        <v>13.9</v>
      </c>
      <c r="C311" s="1">
        <f ca="1">IFERROR(__xludf.DUMMYFUNCTION("""COMPUTED_VALUE"""),14.15)</f>
        <v>14.15</v>
      </c>
      <c r="D311" s="1">
        <f ca="1">IFERROR(__xludf.DUMMYFUNCTION("""COMPUTED_VALUE"""),13.83)</f>
        <v>13.83</v>
      </c>
      <c r="E311" s="1">
        <f ca="1">IFERROR(__xludf.DUMMYFUNCTION("""COMPUTED_VALUE"""),13.85)</f>
        <v>13.85</v>
      </c>
      <c r="F311" s="1">
        <f ca="1">IFERROR(__xludf.DUMMYFUNCTION("""COMPUTED_VALUE"""),5207622)</f>
        <v>5207622</v>
      </c>
      <c r="G311" s="5">
        <f t="shared" ca="1" si="12"/>
        <v>3.6101083032491488E-3</v>
      </c>
      <c r="H311" s="14">
        <f t="shared" si="13"/>
        <v>2016</v>
      </c>
      <c r="I311" s="5">
        <f t="shared" ca="1" si="14"/>
        <v>-3.5971223021583243E-3</v>
      </c>
      <c r="J311" s="16"/>
    </row>
    <row r="312" spans="1:10" x14ac:dyDescent="0.2">
      <c r="A312" s="3">
        <v>42726</v>
      </c>
      <c r="B312" s="1">
        <f ca="1">IFERROR(__xludf.DUMMYFUNCTION("""COMPUTED_VALUE"""),13.88)</f>
        <v>13.88</v>
      </c>
      <c r="C312" s="1">
        <f ca="1">IFERROR(__xludf.DUMMYFUNCTION("""COMPUTED_VALUE"""),14)</f>
        <v>14</v>
      </c>
      <c r="D312" s="1">
        <f ca="1">IFERROR(__xludf.DUMMYFUNCTION("""COMPUTED_VALUE"""),13.77)</f>
        <v>13.77</v>
      </c>
      <c r="E312" s="1">
        <f ca="1">IFERROR(__xludf.DUMMYFUNCTION("""COMPUTED_VALUE"""),13.9)</f>
        <v>13.9</v>
      </c>
      <c r="F312" s="1">
        <f ca="1">IFERROR(__xludf.DUMMYFUNCTION("""COMPUTED_VALUE"""),3111108)</f>
        <v>3111108</v>
      </c>
      <c r="G312" s="5">
        <f t="shared" ca="1" si="12"/>
        <v>2.3021582733812971E-2</v>
      </c>
      <c r="H312" s="14">
        <f t="shared" si="13"/>
        <v>2016</v>
      </c>
      <c r="I312" s="5">
        <f t="shared" ca="1" si="14"/>
        <v>1.4409221902016982E-3</v>
      </c>
      <c r="J312" s="16"/>
    </row>
    <row r="313" spans="1:10" x14ac:dyDescent="0.2">
      <c r="A313" s="3">
        <v>42727</v>
      </c>
      <c r="B313" s="1">
        <f ca="1">IFERROR(__xludf.DUMMYFUNCTION("""COMPUTED_VALUE"""),13.87)</f>
        <v>13.87</v>
      </c>
      <c r="C313" s="1">
        <f ca="1">IFERROR(__xludf.DUMMYFUNCTION("""COMPUTED_VALUE"""),14.23)</f>
        <v>14.23</v>
      </c>
      <c r="D313" s="1">
        <f ca="1">IFERROR(__xludf.DUMMYFUNCTION("""COMPUTED_VALUE"""),13.85)</f>
        <v>13.85</v>
      </c>
      <c r="E313" s="1">
        <f ca="1">IFERROR(__xludf.DUMMYFUNCTION("""COMPUTED_VALUE"""),14.22)</f>
        <v>14.22</v>
      </c>
      <c r="F313" s="1">
        <f ca="1">IFERROR(__xludf.DUMMYFUNCTION("""COMPUTED_VALUE"""),4670464)</f>
        <v>4670464</v>
      </c>
      <c r="G313" s="5">
        <f t="shared" ca="1" si="12"/>
        <v>2.9535864978902947E-2</v>
      </c>
      <c r="H313" s="14">
        <f t="shared" si="13"/>
        <v>2016</v>
      </c>
      <c r="I313" s="5">
        <f t="shared" ca="1" si="14"/>
        <v>2.5234318673395921E-2</v>
      </c>
      <c r="J313" s="16"/>
    </row>
    <row r="314" spans="1:10" x14ac:dyDescent="0.2">
      <c r="A314" s="3">
        <v>42731</v>
      </c>
      <c r="B314" s="1">
        <f ca="1">IFERROR(__xludf.DUMMYFUNCTION("""COMPUTED_VALUE"""),14.33)</f>
        <v>14.33</v>
      </c>
      <c r="C314" s="1">
        <f ca="1">IFERROR(__xludf.DUMMYFUNCTION("""COMPUTED_VALUE"""),14.82)</f>
        <v>14.82</v>
      </c>
      <c r="D314" s="1">
        <f ca="1">IFERROR(__xludf.DUMMYFUNCTION("""COMPUTED_VALUE"""),14.29)</f>
        <v>14.29</v>
      </c>
      <c r="E314" s="1">
        <f ca="1">IFERROR(__xludf.DUMMYFUNCTION("""COMPUTED_VALUE"""),14.64)</f>
        <v>14.64</v>
      </c>
      <c r="F314" s="1">
        <f ca="1">IFERROR(__xludf.DUMMYFUNCTION("""COMPUTED_VALUE"""),5915732)</f>
        <v>5915732</v>
      </c>
      <c r="G314" s="5">
        <f t="shared" ca="1" si="12"/>
        <v>6.8306010928960285E-4</v>
      </c>
      <c r="H314" s="14">
        <f t="shared" si="13"/>
        <v>2016</v>
      </c>
      <c r="I314" s="5">
        <f t="shared" ca="1" si="14"/>
        <v>2.1632937892533181E-2</v>
      </c>
      <c r="J314" s="16"/>
    </row>
    <row r="315" spans="1:10" x14ac:dyDescent="0.2">
      <c r="A315" s="3">
        <v>42732</v>
      </c>
      <c r="B315" s="1">
        <f ca="1">IFERROR(__xludf.DUMMYFUNCTION("""COMPUTED_VALUE"""),14.77)</f>
        <v>14.77</v>
      </c>
      <c r="C315" s="1">
        <f ca="1">IFERROR(__xludf.DUMMYFUNCTION("""COMPUTED_VALUE"""),14.92)</f>
        <v>14.92</v>
      </c>
      <c r="D315" s="1">
        <f ca="1">IFERROR(__xludf.DUMMYFUNCTION("""COMPUTED_VALUE"""),14.48)</f>
        <v>14.48</v>
      </c>
      <c r="E315" s="1">
        <f ca="1">IFERROR(__xludf.DUMMYFUNCTION("""COMPUTED_VALUE"""),14.65)</f>
        <v>14.65</v>
      </c>
      <c r="F315" s="1">
        <f ca="1">IFERROR(__xludf.DUMMYFUNCTION("""COMPUTED_VALUE"""),3782456)</f>
        <v>3782456</v>
      </c>
      <c r="G315" s="5">
        <f t="shared" ca="1" si="12"/>
        <v>-2.3208191126279854E-2</v>
      </c>
      <c r="H315" s="14">
        <f t="shared" si="13"/>
        <v>2016</v>
      </c>
      <c r="I315" s="5">
        <f t="shared" ca="1" si="14"/>
        <v>-8.12457684495594E-3</v>
      </c>
      <c r="J315" s="16"/>
    </row>
    <row r="316" spans="1:10" x14ac:dyDescent="0.2">
      <c r="A316" s="3">
        <v>42733</v>
      </c>
      <c r="B316" s="1">
        <f ca="1">IFERROR(__xludf.DUMMYFUNCTION("""COMPUTED_VALUE"""),14.57)</f>
        <v>14.57</v>
      </c>
      <c r="C316" s="1">
        <f ca="1">IFERROR(__xludf.DUMMYFUNCTION("""COMPUTED_VALUE"""),14.61)</f>
        <v>14.61</v>
      </c>
      <c r="D316" s="1">
        <f ca="1">IFERROR(__xludf.DUMMYFUNCTION("""COMPUTED_VALUE"""),14.27)</f>
        <v>14.27</v>
      </c>
      <c r="E316" s="1">
        <f ca="1">IFERROR(__xludf.DUMMYFUNCTION("""COMPUTED_VALUE"""),14.31)</f>
        <v>14.31</v>
      </c>
      <c r="F316" s="1">
        <f ca="1">IFERROR(__xludf.DUMMYFUNCTION("""COMPUTED_VALUE"""),4044968)</f>
        <v>4044968</v>
      </c>
      <c r="G316" s="5">
        <f t="shared" ca="1" si="12"/>
        <v>-4.1928721174004542E-3</v>
      </c>
      <c r="H316" s="14">
        <f t="shared" si="13"/>
        <v>2016</v>
      </c>
      <c r="I316" s="5">
        <f t="shared" ca="1" si="14"/>
        <v>-1.7844886753603278E-2</v>
      </c>
      <c r="J316" s="16"/>
    </row>
    <row r="317" spans="1:10" x14ac:dyDescent="0.2">
      <c r="A317" s="3">
        <v>42734</v>
      </c>
      <c r="B317" s="1">
        <f ca="1">IFERROR(__xludf.DUMMYFUNCTION("""COMPUTED_VALUE"""),14.42)</f>
        <v>14.42</v>
      </c>
      <c r="C317" s="1">
        <f ca="1">IFERROR(__xludf.DUMMYFUNCTION("""COMPUTED_VALUE"""),14.5)</f>
        <v>14.5</v>
      </c>
      <c r="D317" s="1">
        <f ca="1">IFERROR(__xludf.DUMMYFUNCTION("""COMPUTED_VALUE"""),14.11)</f>
        <v>14.11</v>
      </c>
      <c r="E317" s="1">
        <f ca="1">IFERROR(__xludf.DUMMYFUNCTION("""COMPUTED_VALUE"""),14.25)</f>
        <v>14.25</v>
      </c>
      <c r="F317" s="1">
        <f ca="1">IFERROR(__xludf.DUMMYFUNCTION("""COMPUTED_VALUE"""),4642620)</f>
        <v>4642620</v>
      </c>
      <c r="G317" s="5">
        <f t="shared" ca="1" si="12"/>
        <v>1.5438596491228114E-2</v>
      </c>
      <c r="H317" s="14">
        <f t="shared" si="13"/>
        <v>2016</v>
      </c>
      <c r="I317" s="5">
        <f t="shared" ca="1" si="14"/>
        <v>-1.1789181692094308E-2</v>
      </c>
      <c r="J317" s="16"/>
    </row>
    <row r="318" spans="1:10" x14ac:dyDescent="0.2">
      <c r="A318" s="3">
        <v>42738</v>
      </c>
      <c r="B318" s="1">
        <f ca="1">IFERROR(__xludf.DUMMYFUNCTION("""COMPUTED_VALUE"""),14.32)</f>
        <v>14.32</v>
      </c>
      <c r="C318" s="1">
        <f ca="1">IFERROR(__xludf.DUMMYFUNCTION("""COMPUTED_VALUE"""),14.69)</f>
        <v>14.69</v>
      </c>
      <c r="D318" s="1">
        <f ca="1">IFERROR(__xludf.DUMMYFUNCTION("""COMPUTED_VALUE"""),14.06)</f>
        <v>14.06</v>
      </c>
      <c r="E318" s="1">
        <f ca="1">IFERROR(__xludf.DUMMYFUNCTION("""COMPUTED_VALUE"""),14.47)</f>
        <v>14.47</v>
      </c>
      <c r="F318" s="1">
        <f ca="1">IFERROR(__xludf.DUMMYFUNCTION("""COMPUTED_VALUE"""),5923254)</f>
        <v>5923254</v>
      </c>
      <c r="G318" s="5">
        <f t="shared" ca="1" si="12"/>
        <v>4.5611610228058062E-2</v>
      </c>
      <c r="H318" s="14">
        <f t="shared" si="13"/>
        <v>2017</v>
      </c>
      <c r="I318" s="5">
        <f t="shared" ca="1" si="14"/>
        <v>1.0474860335195556E-2</v>
      </c>
      <c r="J318" s="16"/>
    </row>
    <row r="319" spans="1:10" x14ac:dyDescent="0.2">
      <c r="A319" s="3">
        <v>42739</v>
      </c>
      <c r="B319" s="1">
        <f ca="1">IFERROR(__xludf.DUMMYFUNCTION("""COMPUTED_VALUE"""),14.32)</f>
        <v>14.32</v>
      </c>
      <c r="C319" s="1">
        <f ca="1">IFERROR(__xludf.DUMMYFUNCTION("""COMPUTED_VALUE"""),15.2)</f>
        <v>15.2</v>
      </c>
      <c r="D319" s="1">
        <f ca="1">IFERROR(__xludf.DUMMYFUNCTION("""COMPUTED_VALUE"""),14.29)</f>
        <v>14.29</v>
      </c>
      <c r="E319" s="1">
        <f ca="1">IFERROR(__xludf.DUMMYFUNCTION("""COMPUTED_VALUE"""),15.13)</f>
        <v>15.13</v>
      </c>
      <c r="F319" s="1">
        <f ca="1">IFERROR(__xludf.DUMMYFUNCTION("""COMPUTED_VALUE"""),11213471)</f>
        <v>11213471</v>
      </c>
      <c r="G319" s="5">
        <f t="shared" ca="1" si="12"/>
        <v>-6.6093853271656066E-4</v>
      </c>
      <c r="H319" s="14">
        <f t="shared" si="13"/>
        <v>2017</v>
      </c>
      <c r="I319" s="5">
        <f t="shared" ca="1" si="14"/>
        <v>5.6564245810055896E-2</v>
      </c>
      <c r="J319" s="16"/>
    </row>
    <row r="320" spans="1:10" x14ac:dyDescent="0.2">
      <c r="A320" s="3">
        <v>42740</v>
      </c>
      <c r="B320" s="1">
        <f ca="1">IFERROR(__xludf.DUMMYFUNCTION("""COMPUTED_VALUE"""),15.09)</f>
        <v>15.09</v>
      </c>
      <c r="C320" s="1">
        <f ca="1">IFERROR(__xludf.DUMMYFUNCTION("""COMPUTED_VALUE"""),15.17)</f>
        <v>15.17</v>
      </c>
      <c r="D320" s="1">
        <f ca="1">IFERROR(__xludf.DUMMYFUNCTION("""COMPUTED_VALUE"""),14.8)</f>
        <v>14.8</v>
      </c>
      <c r="E320" s="1">
        <f ca="1">IFERROR(__xludf.DUMMYFUNCTION("""COMPUTED_VALUE"""),15.12)</f>
        <v>15.12</v>
      </c>
      <c r="F320" s="1">
        <f ca="1">IFERROR(__xludf.DUMMYFUNCTION("""COMPUTED_VALUE"""),5911695)</f>
        <v>5911695</v>
      </c>
      <c r="G320" s="5">
        <f t="shared" ca="1" si="12"/>
        <v>9.9206349206349444E-3</v>
      </c>
      <c r="H320" s="14">
        <f t="shared" si="13"/>
        <v>2017</v>
      </c>
      <c r="I320" s="5">
        <f t="shared" ca="1" si="14"/>
        <v>1.9880715705764985E-3</v>
      </c>
      <c r="J320" s="16"/>
    </row>
    <row r="321" spans="1:10" x14ac:dyDescent="0.2">
      <c r="A321" s="3">
        <v>42741</v>
      </c>
      <c r="B321" s="1">
        <f ca="1">IFERROR(__xludf.DUMMYFUNCTION("""COMPUTED_VALUE"""),15.13)</f>
        <v>15.13</v>
      </c>
      <c r="C321" s="1">
        <f ca="1">IFERROR(__xludf.DUMMYFUNCTION("""COMPUTED_VALUE"""),15.35)</f>
        <v>15.35</v>
      </c>
      <c r="D321" s="1">
        <f ca="1">IFERROR(__xludf.DUMMYFUNCTION("""COMPUTED_VALUE"""),15.03)</f>
        <v>15.03</v>
      </c>
      <c r="E321" s="1">
        <f ca="1">IFERROR(__xludf.DUMMYFUNCTION("""COMPUTED_VALUE"""),15.27)</f>
        <v>15.27</v>
      </c>
      <c r="F321" s="1">
        <f ca="1">IFERROR(__xludf.DUMMYFUNCTION("""COMPUTED_VALUE"""),5527893)</f>
        <v>5527893</v>
      </c>
      <c r="G321" s="5">
        <f t="shared" ca="1" si="12"/>
        <v>9.8231827111984523E-3</v>
      </c>
      <c r="H321" s="14">
        <f t="shared" si="13"/>
        <v>2017</v>
      </c>
      <c r="I321" s="5">
        <f t="shared" ca="1" si="14"/>
        <v>9.2531394580303225E-3</v>
      </c>
      <c r="J321" s="16"/>
    </row>
    <row r="322" spans="1:10" x14ac:dyDescent="0.2">
      <c r="A322" s="3">
        <v>42744</v>
      </c>
      <c r="B322" s="1">
        <f ca="1">IFERROR(__xludf.DUMMYFUNCTION("""COMPUTED_VALUE"""),15.26)</f>
        <v>15.26</v>
      </c>
      <c r="C322" s="1">
        <f ca="1">IFERROR(__xludf.DUMMYFUNCTION("""COMPUTED_VALUE"""),15.46)</f>
        <v>15.46</v>
      </c>
      <c r="D322" s="1">
        <f ca="1">IFERROR(__xludf.DUMMYFUNCTION("""COMPUTED_VALUE"""),15.2)</f>
        <v>15.2</v>
      </c>
      <c r="E322" s="1">
        <f ca="1">IFERROR(__xludf.DUMMYFUNCTION("""COMPUTED_VALUE"""),15.42)</f>
        <v>15.42</v>
      </c>
      <c r="F322" s="1">
        <f ca="1">IFERROR(__xludf.DUMMYFUNCTION("""COMPUTED_VALUE"""),3979484)</f>
        <v>3979484</v>
      </c>
      <c r="G322" s="5">
        <f t="shared" ca="1" si="12"/>
        <v>-6.4850843060959562E-3</v>
      </c>
      <c r="H322" s="14">
        <f t="shared" si="13"/>
        <v>2017</v>
      </c>
      <c r="I322" s="5">
        <f t="shared" ca="1" si="14"/>
        <v>1.0484927916120585E-2</v>
      </c>
      <c r="J322" s="16"/>
    </row>
    <row r="323" spans="1:10" x14ac:dyDescent="0.2">
      <c r="A323" s="3">
        <v>42745</v>
      </c>
      <c r="B323" s="1">
        <f ca="1">IFERROR(__xludf.DUMMYFUNCTION("""COMPUTED_VALUE"""),15.47)</f>
        <v>15.47</v>
      </c>
      <c r="C323" s="1">
        <f ca="1">IFERROR(__xludf.DUMMYFUNCTION("""COMPUTED_VALUE"""),15.47)</f>
        <v>15.47</v>
      </c>
      <c r="D323" s="1">
        <f ca="1">IFERROR(__xludf.DUMMYFUNCTION("""COMPUTED_VALUE"""),15.13)</f>
        <v>15.13</v>
      </c>
      <c r="E323" s="1">
        <f ca="1">IFERROR(__xludf.DUMMYFUNCTION("""COMPUTED_VALUE"""),15.32)</f>
        <v>15.32</v>
      </c>
      <c r="F323" s="1">
        <f ca="1">IFERROR(__xludf.DUMMYFUNCTION("""COMPUTED_VALUE"""),3659955)</f>
        <v>3659955</v>
      </c>
      <c r="G323" s="5">
        <f t="shared" ref="G323:G386" ca="1" si="15">(E324-E323)/E323</f>
        <v>0</v>
      </c>
      <c r="H323" s="14">
        <f t="shared" ref="H323:H386" si="16">YEAR(A323)</f>
        <v>2017</v>
      </c>
      <c r="I323" s="5">
        <f t="shared" ref="I323:I386" ca="1" si="17">((E323 - B323) / B323)</f>
        <v>-9.6961861667744249E-3</v>
      </c>
      <c r="J323" s="16"/>
    </row>
    <row r="324" spans="1:10" x14ac:dyDescent="0.2">
      <c r="A324" s="3">
        <v>42746</v>
      </c>
      <c r="B324" s="1">
        <f ca="1">IFERROR(__xludf.DUMMYFUNCTION("""COMPUTED_VALUE"""),15.27)</f>
        <v>15.27</v>
      </c>
      <c r="C324" s="1">
        <f ca="1">IFERROR(__xludf.DUMMYFUNCTION("""COMPUTED_VALUE"""),15.33)</f>
        <v>15.33</v>
      </c>
      <c r="D324" s="1">
        <f ca="1">IFERROR(__xludf.DUMMYFUNCTION("""COMPUTED_VALUE"""),15.11)</f>
        <v>15.11</v>
      </c>
      <c r="E324" s="1">
        <f ca="1">IFERROR(__xludf.DUMMYFUNCTION("""COMPUTED_VALUE"""),15.32)</f>
        <v>15.32</v>
      </c>
      <c r="F324" s="1">
        <f ca="1">IFERROR(__xludf.DUMMYFUNCTION("""COMPUTED_VALUE"""),3650825)</f>
        <v>3650825</v>
      </c>
      <c r="G324" s="5">
        <f t="shared" ca="1" si="15"/>
        <v>-6.5274151436029934E-4</v>
      </c>
      <c r="H324" s="14">
        <f t="shared" si="16"/>
        <v>2017</v>
      </c>
      <c r="I324" s="5">
        <f t="shared" ca="1" si="17"/>
        <v>3.2743942370661895E-3</v>
      </c>
      <c r="J324" s="16"/>
    </row>
    <row r="325" spans="1:10" x14ac:dyDescent="0.2">
      <c r="A325" s="3">
        <v>42747</v>
      </c>
      <c r="B325" s="1">
        <f ca="1">IFERROR(__xludf.DUMMYFUNCTION("""COMPUTED_VALUE"""),15.27)</f>
        <v>15.27</v>
      </c>
      <c r="C325" s="1">
        <f ca="1">IFERROR(__xludf.DUMMYFUNCTION("""COMPUTED_VALUE"""),15.38)</f>
        <v>15.38</v>
      </c>
      <c r="D325" s="1">
        <f ca="1">IFERROR(__xludf.DUMMYFUNCTION("""COMPUTED_VALUE"""),15.04)</f>
        <v>15.04</v>
      </c>
      <c r="E325" s="1">
        <f ca="1">IFERROR(__xludf.DUMMYFUNCTION("""COMPUTED_VALUE"""),15.31)</f>
        <v>15.31</v>
      </c>
      <c r="F325" s="1">
        <f ca="1">IFERROR(__xludf.DUMMYFUNCTION("""COMPUTED_VALUE"""),3790229)</f>
        <v>3790229</v>
      </c>
      <c r="G325" s="5">
        <f t="shared" ca="1" si="15"/>
        <v>3.5271064663618491E-2</v>
      </c>
      <c r="H325" s="14">
        <f t="shared" si="16"/>
        <v>2017</v>
      </c>
      <c r="I325" s="5">
        <f t="shared" ca="1" si="17"/>
        <v>2.6195153896529746E-3</v>
      </c>
      <c r="J325" s="16"/>
    </row>
    <row r="326" spans="1:10" x14ac:dyDescent="0.2">
      <c r="A326" s="3">
        <v>42748</v>
      </c>
      <c r="B326" s="1">
        <f ca="1">IFERROR(__xludf.DUMMYFUNCTION("""COMPUTED_VALUE"""),15.33)</f>
        <v>15.33</v>
      </c>
      <c r="C326" s="1">
        <f ca="1">IFERROR(__xludf.DUMMYFUNCTION("""COMPUTED_VALUE"""),15.86)</f>
        <v>15.86</v>
      </c>
      <c r="D326" s="1">
        <f ca="1">IFERROR(__xludf.DUMMYFUNCTION("""COMPUTED_VALUE"""),15.31)</f>
        <v>15.31</v>
      </c>
      <c r="E326" s="1">
        <f ca="1">IFERROR(__xludf.DUMMYFUNCTION("""COMPUTED_VALUE"""),15.85)</f>
        <v>15.85</v>
      </c>
      <c r="F326" s="1">
        <f ca="1">IFERROR(__xludf.DUMMYFUNCTION("""COMPUTED_VALUE"""),6092960)</f>
        <v>6092960</v>
      </c>
      <c r="G326" s="5">
        <f t="shared" ca="1" si="15"/>
        <v>-8.8328075709778412E-3</v>
      </c>
      <c r="H326" s="14">
        <f t="shared" si="16"/>
        <v>2017</v>
      </c>
      <c r="I326" s="5">
        <f t="shared" ca="1" si="17"/>
        <v>3.3920417482061288E-2</v>
      </c>
      <c r="J326" s="16"/>
    </row>
    <row r="327" spans="1:10" x14ac:dyDescent="0.2">
      <c r="A327" s="3">
        <v>42752</v>
      </c>
      <c r="B327" s="1">
        <f ca="1">IFERROR(__xludf.DUMMYFUNCTION("""COMPUTED_VALUE"""),15.78)</f>
        <v>15.78</v>
      </c>
      <c r="C327" s="1">
        <f ca="1">IFERROR(__xludf.DUMMYFUNCTION("""COMPUTED_VALUE"""),16)</f>
        <v>16</v>
      </c>
      <c r="D327" s="1">
        <f ca="1">IFERROR(__xludf.DUMMYFUNCTION("""COMPUTED_VALUE"""),15.62)</f>
        <v>15.62</v>
      </c>
      <c r="E327" s="1">
        <f ca="1">IFERROR(__xludf.DUMMYFUNCTION("""COMPUTED_VALUE"""),15.71)</f>
        <v>15.71</v>
      </c>
      <c r="F327" s="1">
        <f ca="1">IFERROR(__xludf.DUMMYFUNCTION("""COMPUTED_VALUE"""),4617522)</f>
        <v>4617522</v>
      </c>
      <c r="G327" s="5">
        <f t="shared" ca="1" si="15"/>
        <v>1.1457670273710993E-2</v>
      </c>
      <c r="H327" s="14">
        <f t="shared" si="16"/>
        <v>2017</v>
      </c>
      <c r="I327" s="5">
        <f t="shared" ca="1" si="17"/>
        <v>-4.4359949302914137E-3</v>
      </c>
      <c r="J327" s="16"/>
    </row>
    <row r="328" spans="1:10" x14ac:dyDescent="0.2">
      <c r="A328" s="3">
        <v>42753</v>
      </c>
      <c r="B328" s="1">
        <f ca="1">IFERROR(__xludf.DUMMYFUNCTION("""COMPUTED_VALUE"""),15.78)</f>
        <v>15.78</v>
      </c>
      <c r="C328" s="1">
        <f ca="1">IFERROR(__xludf.DUMMYFUNCTION("""COMPUTED_VALUE"""),15.98)</f>
        <v>15.98</v>
      </c>
      <c r="D328" s="1">
        <f ca="1">IFERROR(__xludf.DUMMYFUNCTION("""COMPUTED_VALUE"""),15.71)</f>
        <v>15.71</v>
      </c>
      <c r="E328" s="1">
        <f ca="1">IFERROR(__xludf.DUMMYFUNCTION("""COMPUTED_VALUE"""),15.89)</f>
        <v>15.89</v>
      </c>
      <c r="F328" s="1">
        <f ca="1">IFERROR(__xludf.DUMMYFUNCTION("""COMPUTED_VALUE"""),3768967)</f>
        <v>3768967</v>
      </c>
      <c r="G328" s="5">
        <f t="shared" ca="1" si="15"/>
        <v>2.2655758338577685E-2</v>
      </c>
      <c r="H328" s="14">
        <f t="shared" si="16"/>
        <v>2017</v>
      </c>
      <c r="I328" s="5">
        <f t="shared" ca="1" si="17"/>
        <v>6.9708491761724467E-3</v>
      </c>
      <c r="J328" s="16"/>
    </row>
    <row r="329" spans="1:10" x14ac:dyDescent="0.2">
      <c r="A329" s="3">
        <v>42754</v>
      </c>
      <c r="B329" s="1">
        <f ca="1">IFERROR(__xludf.DUMMYFUNCTION("""COMPUTED_VALUE"""),16.48)</f>
        <v>16.48</v>
      </c>
      <c r="C329" s="1">
        <f ca="1">IFERROR(__xludf.DUMMYFUNCTION("""COMPUTED_VALUE"""),16.58)</f>
        <v>16.579999999999998</v>
      </c>
      <c r="D329" s="1">
        <f ca="1">IFERROR(__xludf.DUMMYFUNCTION("""COMPUTED_VALUE"""),16.05)</f>
        <v>16.05</v>
      </c>
      <c r="E329" s="1">
        <f ca="1">IFERROR(__xludf.DUMMYFUNCTION("""COMPUTED_VALUE"""),16.25)</f>
        <v>16.25</v>
      </c>
      <c r="F329" s="1">
        <f ca="1">IFERROR(__xludf.DUMMYFUNCTION("""COMPUTED_VALUE"""),7732303)</f>
        <v>7732303</v>
      </c>
      <c r="G329" s="5">
        <f t="shared" ca="1" si="15"/>
        <v>4.3076923076923249E-3</v>
      </c>
      <c r="H329" s="14">
        <f t="shared" si="16"/>
        <v>2017</v>
      </c>
      <c r="I329" s="5">
        <f t="shared" ca="1" si="17"/>
        <v>-1.3956310679611676E-2</v>
      </c>
      <c r="J329" s="16"/>
    </row>
    <row r="330" spans="1:10" x14ac:dyDescent="0.2">
      <c r="A330" s="3">
        <v>42755</v>
      </c>
      <c r="B330" s="1">
        <f ca="1">IFERROR(__xludf.DUMMYFUNCTION("""COMPUTED_VALUE"""),16.36)</f>
        <v>16.36</v>
      </c>
      <c r="C330" s="1">
        <f ca="1">IFERROR(__xludf.DUMMYFUNCTION("""COMPUTED_VALUE"""),16.4)</f>
        <v>16.399999999999999</v>
      </c>
      <c r="D330" s="1">
        <f ca="1">IFERROR(__xludf.DUMMYFUNCTION("""COMPUTED_VALUE"""),16.2)</f>
        <v>16.2</v>
      </c>
      <c r="E330" s="1">
        <f ca="1">IFERROR(__xludf.DUMMYFUNCTION("""COMPUTED_VALUE"""),16.32)</f>
        <v>16.32</v>
      </c>
      <c r="F330" s="1">
        <f ca="1">IFERROR(__xludf.DUMMYFUNCTION("""COMPUTED_VALUE"""),4204275)</f>
        <v>4204275</v>
      </c>
      <c r="G330" s="5">
        <f t="shared" ca="1" si="15"/>
        <v>1.6544117647058796E-2</v>
      </c>
      <c r="H330" s="14">
        <f t="shared" si="16"/>
        <v>2017</v>
      </c>
      <c r="I330" s="5">
        <f t="shared" ca="1" si="17"/>
        <v>-2.4449877750610726E-3</v>
      </c>
      <c r="J330" s="16"/>
    </row>
    <row r="331" spans="1:10" x14ac:dyDescent="0.2">
      <c r="A331" s="3">
        <v>42758</v>
      </c>
      <c r="B331" s="1">
        <f ca="1">IFERROR(__xludf.DUMMYFUNCTION("""COMPUTED_VALUE"""),16.39)</f>
        <v>16.39</v>
      </c>
      <c r="C331" s="1">
        <f ca="1">IFERROR(__xludf.DUMMYFUNCTION("""COMPUTED_VALUE"""),16.73)</f>
        <v>16.73</v>
      </c>
      <c r="D331" s="1">
        <f ca="1">IFERROR(__xludf.DUMMYFUNCTION("""COMPUTED_VALUE"""),16.37)</f>
        <v>16.37</v>
      </c>
      <c r="E331" s="1">
        <f ca="1">IFERROR(__xludf.DUMMYFUNCTION("""COMPUTED_VALUE"""),16.59)</f>
        <v>16.59</v>
      </c>
      <c r="F331" s="1">
        <f ca="1">IFERROR(__xludf.DUMMYFUNCTION("""COMPUTED_VALUE"""),6262938)</f>
        <v>6262938</v>
      </c>
      <c r="G331" s="5">
        <f t="shared" ca="1" si="15"/>
        <v>2.2905364677516516E-2</v>
      </c>
      <c r="H331" s="14">
        <f t="shared" si="16"/>
        <v>2017</v>
      </c>
      <c r="I331" s="5">
        <f t="shared" ca="1" si="17"/>
        <v>1.2202562538132964E-2</v>
      </c>
      <c r="J331" s="16"/>
    </row>
    <row r="332" spans="1:10" x14ac:dyDescent="0.2">
      <c r="A332" s="3">
        <v>42759</v>
      </c>
      <c r="B332" s="1">
        <f ca="1">IFERROR(__xludf.DUMMYFUNCTION("""COMPUTED_VALUE"""),16.67)</f>
        <v>16.670000000000002</v>
      </c>
      <c r="C332" s="1">
        <f ca="1">IFERROR(__xludf.DUMMYFUNCTION("""COMPUTED_VALUE"""),16.99)</f>
        <v>16.989999999999998</v>
      </c>
      <c r="D332" s="1">
        <f ca="1">IFERROR(__xludf.DUMMYFUNCTION("""COMPUTED_VALUE"""),16.64)</f>
        <v>16.64</v>
      </c>
      <c r="E332" s="1">
        <f ca="1">IFERROR(__xludf.DUMMYFUNCTION("""COMPUTED_VALUE"""),16.97)</f>
        <v>16.97</v>
      </c>
      <c r="F332" s="1">
        <f ca="1">IFERROR(__xludf.DUMMYFUNCTION("""COMPUTED_VALUE"""),4965451)</f>
        <v>4965451</v>
      </c>
      <c r="G332" s="5">
        <f t="shared" ca="1" si="15"/>
        <v>-5.8927519151432003E-4</v>
      </c>
      <c r="H332" s="14">
        <f t="shared" si="16"/>
        <v>2017</v>
      </c>
      <c r="I332" s="5">
        <f t="shared" ca="1" si="17"/>
        <v>1.7996400719855858E-2</v>
      </c>
      <c r="J332" s="16"/>
    </row>
    <row r="333" spans="1:10" x14ac:dyDescent="0.2">
      <c r="A333" s="3">
        <v>42760</v>
      </c>
      <c r="B333" s="1">
        <f ca="1">IFERROR(__xludf.DUMMYFUNCTION("""COMPUTED_VALUE"""),17.15)</f>
        <v>17.149999999999999</v>
      </c>
      <c r="C333" s="1">
        <f ca="1">IFERROR(__xludf.DUMMYFUNCTION("""COMPUTED_VALUE"""),17.23)</f>
        <v>17.23</v>
      </c>
      <c r="D333" s="1">
        <f ca="1">IFERROR(__xludf.DUMMYFUNCTION("""COMPUTED_VALUE"""),16.79)</f>
        <v>16.79</v>
      </c>
      <c r="E333" s="1">
        <f ca="1">IFERROR(__xludf.DUMMYFUNCTION("""COMPUTED_VALUE"""),16.96)</f>
        <v>16.96</v>
      </c>
      <c r="F333" s="1">
        <f ca="1">IFERROR(__xludf.DUMMYFUNCTION("""COMPUTED_VALUE"""),5146361)</f>
        <v>5146361</v>
      </c>
      <c r="G333" s="5">
        <f t="shared" ca="1" si="15"/>
        <v>-7.6650943396227916E-3</v>
      </c>
      <c r="H333" s="14">
        <f t="shared" si="16"/>
        <v>2017</v>
      </c>
      <c r="I333" s="5">
        <f t="shared" ca="1" si="17"/>
        <v>-1.1078717201166049E-2</v>
      </c>
      <c r="J333" s="16"/>
    </row>
    <row r="334" spans="1:10" x14ac:dyDescent="0.2">
      <c r="A334" s="3">
        <v>42761</v>
      </c>
      <c r="B334" s="1">
        <f ca="1">IFERROR(__xludf.DUMMYFUNCTION("""COMPUTED_VALUE"""),16.95)</f>
        <v>16.95</v>
      </c>
      <c r="C334" s="1">
        <f ca="1">IFERROR(__xludf.DUMMYFUNCTION("""COMPUTED_VALUE"""),17.05)</f>
        <v>17.05</v>
      </c>
      <c r="D334" s="1">
        <f ca="1">IFERROR(__xludf.DUMMYFUNCTION("""COMPUTED_VALUE"""),16.72)</f>
        <v>16.72</v>
      </c>
      <c r="E334" s="1">
        <f ca="1">IFERROR(__xludf.DUMMYFUNCTION("""COMPUTED_VALUE"""),16.83)</f>
        <v>16.829999999999998</v>
      </c>
      <c r="F334" s="1">
        <f ca="1">IFERROR(__xludf.DUMMYFUNCTION("""COMPUTED_VALUE"""),3152123)</f>
        <v>3152123</v>
      </c>
      <c r="G334" s="5">
        <f t="shared" ca="1" si="15"/>
        <v>1.7825311942959679E-3</v>
      </c>
      <c r="H334" s="14">
        <f t="shared" si="16"/>
        <v>2017</v>
      </c>
      <c r="I334" s="5">
        <f t="shared" ca="1" si="17"/>
        <v>-7.0796460176991739E-3</v>
      </c>
      <c r="J334" s="16"/>
    </row>
    <row r="335" spans="1:10" x14ac:dyDescent="0.2">
      <c r="A335" s="3">
        <v>42762</v>
      </c>
      <c r="B335" s="1">
        <f ca="1">IFERROR(__xludf.DUMMYFUNCTION("""COMPUTED_VALUE"""),16.76)</f>
        <v>16.760000000000002</v>
      </c>
      <c r="C335" s="1">
        <f ca="1">IFERROR(__xludf.DUMMYFUNCTION("""COMPUTED_VALUE"""),16.87)</f>
        <v>16.87</v>
      </c>
      <c r="D335" s="1">
        <f ca="1">IFERROR(__xludf.DUMMYFUNCTION("""COMPUTED_VALUE"""),16.57)</f>
        <v>16.57</v>
      </c>
      <c r="E335" s="1">
        <f ca="1">IFERROR(__xludf.DUMMYFUNCTION("""COMPUTED_VALUE"""),16.86)</f>
        <v>16.86</v>
      </c>
      <c r="F335" s="1">
        <f ca="1">IFERROR(__xludf.DUMMYFUNCTION("""COMPUTED_VALUE"""),3166336)</f>
        <v>3166336</v>
      </c>
      <c r="G335" s="5">
        <f t="shared" ca="1" si="15"/>
        <v>-8.8967971530248269E-3</v>
      </c>
      <c r="H335" s="14">
        <f t="shared" si="16"/>
        <v>2017</v>
      </c>
      <c r="I335" s="5">
        <f t="shared" ca="1" si="17"/>
        <v>5.96658711217171E-3</v>
      </c>
      <c r="J335" s="16"/>
    </row>
    <row r="336" spans="1:10" x14ac:dyDescent="0.2">
      <c r="A336" s="3">
        <v>42765</v>
      </c>
      <c r="B336" s="1">
        <f ca="1">IFERROR(__xludf.DUMMYFUNCTION("""COMPUTED_VALUE"""),16.84)</f>
        <v>16.84</v>
      </c>
      <c r="C336" s="1">
        <f ca="1">IFERROR(__xludf.DUMMYFUNCTION("""COMPUTED_VALUE"""),17.02)</f>
        <v>17.02</v>
      </c>
      <c r="D336" s="1">
        <f ca="1">IFERROR(__xludf.DUMMYFUNCTION("""COMPUTED_VALUE"""),16.47)</f>
        <v>16.47</v>
      </c>
      <c r="E336" s="1">
        <f ca="1">IFERROR(__xludf.DUMMYFUNCTION("""COMPUTED_VALUE"""),16.71)</f>
        <v>16.71</v>
      </c>
      <c r="F336" s="1">
        <f ca="1">IFERROR(__xludf.DUMMYFUNCTION("""COMPUTED_VALUE"""),3801074)</f>
        <v>3801074</v>
      </c>
      <c r="G336" s="5">
        <f t="shared" ca="1" si="15"/>
        <v>5.3859964093357186E-3</v>
      </c>
      <c r="H336" s="14">
        <f t="shared" si="16"/>
        <v>2017</v>
      </c>
      <c r="I336" s="5">
        <f t="shared" ca="1" si="17"/>
        <v>-7.719714964370487E-3</v>
      </c>
      <c r="J336" s="16"/>
    </row>
    <row r="337" spans="1:10" x14ac:dyDescent="0.2">
      <c r="A337" s="3">
        <v>42766</v>
      </c>
      <c r="B337" s="1">
        <f ca="1">IFERROR(__xludf.DUMMYFUNCTION("""COMPUTED_VALUE"""),16.62)</f>
        <v>16.62</v>
      </c>
      <c r="C337" s="1">
        <f ca="1">IFERROR(__xludf.DUMMYFUNCTION("""COMPUTED_VALUE"""),17.06)</f>
        <v>17.059999999999999</v>
      </c>
      <c r="D337" s="1">
        <f ca="1">IFERROR(__xludf.DUMMYFUNCTION("""COMPUTED_VALUE"""),16.51)</f>
        <v>16.510000000000002</v>
      </c>
      <c r="E337" s="1">
        <f ca="1">IFERROR(__xludf.DUMMYFUNCTION("""COMPUTED_VALUE"""),16.8)</f>
        <v>16.8</v>
      </c>
      <c r="F337" s="1">
        <f ca="1">IFERROR(__xludf.DUMMYFUNCTION("""COMPUTED_VALUE"""),4116104)</f>
        <v>4116104</v>
      </c>
      <c r="G337" s="5">
        <f t="shared" ca="1" si="15"/>
        <v>-1.0714285714285697E-2</v>
      </c>
      <c r="H337" s="14">
        <f t="shared" si="16"/>
        <v>2017</v>
      </c>
      <c r="I337" s="5">
        <f t="shared" ca="1" si="17"/>
        <v>1.0830324909747275E-2</v>
      </c>
      <c r="J337" s="16"/>
    </row>
    <row r="338" spans="1:10" x14ac:dyDescent="0.2">
      <c r="A338" s="3">
        <v>42767</v>
      </c>
      <c r="B338" s="1">
        <f ca="1">IFERROR(__xludf.DUMMYFUNCTION("""COMPUTED_VALUE"""),16.87)</f>
        <v>16.87</v>
      </c>
      <c r="C338" s="1">
        <f ca="1">IFERROR(__xludf.DUMMYFUNCTION("""COMPUTED_VALUE"""),16.88)</f>
        <v>16.88</v>
      </c>
      <c r="D338" s="1">
        <f ca="1">IFERROR(__xludf.DUMMYFUNCTION("""COMPUTED_VALUE"""),16.6)</f>
        <v>16.600000000000001</v>
      </c>
      <c r="E338" s="1">
        <f ca="1">IFERROR(__xludf.DUMMYFUNCTION("""COMPUTED_VALUE"""),16.62)</f>
        <v>16.62</v>
      </c>
      <c r="F338" s="1">
        <f ca="1">IFERROR(__xludf.DUMMYFUNCTION("""COMPUTED_VALUE"""),3958829)</f>
        <v>3958829</v>
      </c>
      <c r="G338" s="5">
        <f t="shared" ca="1" si="15"/>
        <v>9.0252707581226568E-3</v>
      </c>
      <c r="H338" s="14">
        <f t="shared" si="16"/>
        <v>2017</v>
      </c>
      <c r="I338" s="5">
        <f t="shared" ca="1" si="17"/>
        <v>-1.4819205690574985E-2</v>
      </c>
      <c r="J338" s="16"/>
    </row>
    <row r="339" spans="1:10" x14ac:dyDescent="0.2">
      <c r="A339" s="3">
        <v>42768</v>
      </c>
      <c r="B339" s="1">
        <f ca="1">IFERROR(__xludf.DUMMYFUNCTION("""COMPUTED_VALUE"""),16.56)</f>
        <v>16.559999999999999</v>
      </c>
      <c r="C339" s="1">
        <f ca="1">IFERROR(__xludf.DUMMYFUNCTION("""COMPUTED_VALUE"""),16.83)</f>
        <v>16.829999999999998</v>
      </c>
      <c r="D339" s="1">
        <f ca="1">IFERROR(__xludf.DUMMYFUNCTION("""COMPUTED_VALUE"""),16.51)</f>
        <v>16.510000000000002</v>
      </c>
      <c r="E339" s="1">
        <f ca="1">IFERROR(__xludf.DUMMYFUNCTION("""COMPUTED_VALUE"""),16.77)</f>
        <v>16.77</v>
      </c>
      <c r="F339" s="1">
        <f ca="1">IFERROR(__xludf.DUMMYFUNCTION("""COMPUTED_VALUE"""),2499775)</f>
        <v>2499775</v>
      </c>
      <c r="G339" s="5">
        <f t="shared" ca="1" si="15"/>
        <v>-5.9630292188419859E-4</v>
      </c>
      <c r="H339" s="14">
        <f t="shared" si="16"/>
        <v>2017</v>
      </c>
      <c r="I339" s="5">
        <f t="shared" ca="1" si="17"/>
        <v>1.2681159420289908E-2</v>
      </c>
      <c r="J339" s="16"/>
    </row>
    <row r="340" spans="1:10" x14ac:dyDescent="0.2">
      <c r="A340" s="3">
        <v>42769</v>
      </c>
      <c r="B340" s="1">
        <f ca="1">IFERROR(__xludf.DUMMYFUNCTION("""COMPUTED_VALUE"""),16.79)</f>
        <v>16.79</v>
      </c>
      <c r="C340" s="1">
        <f ca="1">IFERROR(__xludf.DUMMYFUNCTION("""COMPUTED_VALUE"""),16.81)</f>
        <v>16.809999999999999</v>
      </c>
      <c r="D340" s="1">
        <f ca="1">IFERROR(__xludf.DUMMYFUNCTION("""COMPUTED_VALUE"""),16.65)</f>
        <v>16.649999999999999</v>
      </c>
      <c r="E340" s="1">
        <f ca="1">IFERROR(__xludf.DUMMYFUNCTION("""COMPUTED_VALUE"""),16.76)</f>
        <v>16.760000000000002</v>
      </c>
      <c r="F340" s="1">
        <f ca="1">IFERROR(__xludf.DUMMYFUNCTION("""COMPUTED_VALUE"""),2186723)</f>
        <v>2186723</v>
      </c>
      <c r="G340" s="5">
        <f t="shared" ca="1" si="15"/>
        <v>2.5059665871121607E-2</v>
      </c>
      <c r="H340" s="14">
        <f t="shared" si="16"/>
        <v>2017</v>
      </c>
      <c r="I340" s="5">
        <f t="shared" ca="1" si="17"/>
        <v>-1.7867778439545911E-3</v>
      </c>
      <c r="J340" s="16"/>
    </row>
    <row r="341" spans="1:10" x14ac:dyDescent="0.2">
      <c r="A341" s="3">
        <v>42772</v>
      </c>
      <c r="B341" s="1">
        <f ca="1">IFERROR(__xludf.DUMMYFUNCTION("""COMPUTED_VALUE"""),16.73)</f>
        <v>16.73</v>
      </c>
      <c r="C341" s="1">
        <f ca="1">IFERROR(__xludf.DUMMYFUNCTION("""COMPUTED_VALUE"""),17.19)</f>
        <v>17.190000000000001</v>
      </c>
      <c r="D341" s="1">
        <f ca="1">IFERROR(__xludf.DUMMYFUNCTION("""COMPUTED_VALUE"""),16.71)</f>
        <v>16.71</v>
      </c>
      <c r="E341" s="1">
        <f ca="1">IFERROR(__xludf.DUMMYFUNCTION("""COMPUTED_VALUE"""),17.18)</f>
        <v>17.18</v>
      </c>
      <c r="F341" s="1">
        <f ca="1">IFERROR(__xludf.DUMMYFUNCTION("""COMPUTED_VALUE"""),3562517)</f>
        <v>3562517</v>
      </c>
      <c r="G341" s="5">
        <f t="shared" ca="1" si="15"/>
        <v>-5.8207217694982599E-4</v>
      </c>
      <c r="H341" s="14">
        <f t="shared" si="16"/>
        <v>2017</v>
      </c>
      <c r="I341" s="5">
        <f t="shared" ca="1" si="17"/>
        <v>2.689778840406451E-2</v>
      </c>
      <c r="J341" s="16"/>
    </row>
    <row r="342" spans="1:10" x14ac:dyDescent="0.2">
      <c r="A342" s="3">
        <v>42773</v>
      </c>
      <c r="B342" s="1">
        <f ca="1">IFERROR(__xludf.DUMMYFUNCTION("""COMPUTED_VALUE"""),17.21)</f>
        <v>17.21</v>
      </c>
      <c r="C342" s="1">
        <f ca="1">IFERROR(__xludf.DUMMYFUNCTION("""COMPUTED_VALUE"""),17.33)</f>
        <v>17.329999999999998</v>
      </c>
      <c r="D342" s="1">
        <f ca="1">IFERROR(__xludf.DUMMYFUNCTION("""COMPUTED_VALUE"""),17.09)</f>
        <v>17.09</v>
      </c>
      <c r="E342" s="1">
        <f ca="1">IFERROR(__xludf.DUMMYFUNCTION("""COMPUTED_VALUE"""),17.17)</f>
        <v>17.170000000000002</v>
      </c>
      <c r="F342" s="1">
        <f ca="1">IFERROR(__xludf.DUMMYFUNCTION("""COMPUTED_VALUE"""),4244775)</f>
        <v>4244775</v>
      </c>
      <c r="G342" s="5">
        <f t="shared" ca="1" si="15"/>
        <v>1.7472335468840833E-2</v>
      </c>
      <c r="H342" s="14">
        <f t="shared" si="16"/>
        <v>2017</v>
      </c>
      <c r="I342" s="5">
        <f t="shared" ca="1" si="17"/>
        <v>-2.3242300987797297E-3</v>
      </c>
      <c r="J342" s="16"/>
    </row>
    <row r="343" spans="1:10" x14ac:dyDescent="0.2">
      <c r="A343" s="3">
        <v>42774</v>
      </c>
      <c r="B343" s="1">
        <f ca="1">IFERROR(__xludf.DUMMYFUNCTION("""COMPUTED_VALUE"""),17.16)</f>
        <v>17.16</v>
      </c>
      <c r="C343" s="1">
        <f ca="1">IFERROR(__xludf.DUMMYFUNCTION("""COMPUTED_VALUE"""),17.56)</f>
        <v>17.559999999999999</v>
      </c>
      <c r="D343" s="1">
        <f ca="1">IFERROR(__xludf.DUMMYFUNCTION("""COMPUTED_VALUE"""),17.08)</f>
        <v>17.079999999999998</v>
      </c>
      <c r="E343" s="1">
        <f ca="1">IFERROR(__xludf.DUMMYFUNCTION("""COMPUTED_VALUE"""),17.47)</f>
        <v>17.47</v>
      </c>
      <c r="F343" s="1">
        <f ca="1">IFERROR(__xludf.DUMMYFUNCTION("""COMPUTED_VALUE"""),3933014)</f>
        <v>3933014</v>
      </c>
      <c r="G343" s="5">
        <f t="shared" ca="1" si="15"/>
        <v>2.7475672581568428E-2</v>
      </c>
      <c r="H343" s="14">
        <f t="shared" si="16"/>
        <v>2017</v>
      </c>
      <c r="I343" s="5">
        <f t="shared" ca="1" si="17"/>
        <v>1.8065268065267991E-2</v>
      </c>
      <c r="J343" s="16"/>
    </row>
    <row r="344" spans="1:10" x14ac:dyDescent="0.2">
      <c r="A344" s="3">
        <v>42775</v>
      </c>
      <c r="B344" s="1">
        <f ca="1">IFERROR(__xludf.DUMMYFUNCTION("""COMPUTED_VALUE"""),17.75)</f>
        <v>17.75</v>
      </c>
      <c r="C344" s="1">
        <f ca="1">IFERROR(__xludf.DUMMYFUNCTION("""COMPUTED_VALUE"""),18.08)</f>
        <v>18.079999999999998</v>
      </c>
      <c r="D344" s="1">
        <f ca="1">IFERROR(__xludf.DUMMYFUNCTION("""COMPUTED_VALUE"""),17.74)</f>
        <v>17.739999999999998</v>
      </c>
      <c r="E344" s="1">
        <f ca="1">IFERROR(__xludf.DUMMYFUNCTION("""COMPUTED_VALUE"""),17.95)</f>
        <v>17.95</v>
      </c>
      <c r="F344" s="1">
        <f ca="1">IFERROR(__xludf.DUMMYFUNCTION("""COMPUTED_VALUE"""),7820222)</f>
        <v>7820222</v>
      </c>
      <c r="G344" s="5">
        <f t="shared" ca="1" si="15"/>
        <v>0</v>
      </c>
      <c r="H344" s="14">
        <f t="shared" si="16"/>
        <v>2017</v>
      </c>
      <c r="I344" s="5">
        <f t="shared" ca="1" si="17"/>
        <v>1.1267605633802778E-2</v>
      </c>
      <c r="J344" s="16"/>
    </row>
    <row r="345" spans="1:10" x14ac:dyDescent="0.2">
      <c r="A345" s="3">
        <v>42776</v>
      </c>
      <c r="B345" s="1">
        <f ca="1">IFERROR(__xludf.DUMMYFUNCTION("""COMPUTED_VALUE"""),17.99)</f>
        <v>17.989999999999998</v>
      </c>
      <c r="C345" s="1">
        <f ca="1">IFERROR(__xludf.DUMMYFUNCTION("""COMPUTED_VALUE"""),18.06)</f>
        <v>18.059999999999999</v>
      </c>
      <c r="D345" s="1">
        <f ca="1">IFERROR(__xludf.DUMMYFUNCTION("""COMPUTED_VALUE"""),17.74)</f>
        <v>17.739999999999998</v>
      </c>
      <c r="E345" s="1">
        <f ca="1">IFERROR(__xludf.DUMMYFUNCTION("""COMPUTED_VALUE"""),17.95)</f>
        <v>17.95</v>
      </c>
      <c r="F345" s="1">
        <f ca="1">IFERROR(__xludf.DUMMYFUNCTION("""COMPUTED_VALUE"""),3619739)</f>
        <v>3619739</v>
      </c>
      <c r="G345" s="5">
        <f t="shared" ca="1" si="15"/>
        <v>4.2339832869080871E-2</v>
      </c>
      <c r="H345" s="14">
        <f t="shared" si="16"/>
        <v>2017</v>
      </c>
      <c r="I345" s="5">
        <f t="shared" ca="1" si="17"/>
        <v>-2.2234574763757169E-3</v>
      </c>
      <c r="J345" s="16"/>
    </row>
    <row r="346" spans="1:10" x14ac:dyDescent="0.2">
      <c r="A346" s="3">
        <v>42779</v>
      </c>
      <c r="B346" s="1">
        <f ca="1">IFERROR(__xludf.DUMMYFUNCTION("""COMPUTED_VALUE"""),18.05)</f>
        <v>18.05</v>
      </c>
      <c r="C346" s="1">
        <f ca="1">IFERROR(__xludf.DUMMYFUNCTION("""COMPUTED_VALUE"""),18.72)</f>
        <v>18.72</v>
      </c>
      <c r="D346" s="1">
        <f ca="1">IFERROR(__xludf.DUMMYFUNCTION("""COMPUTED_VALUE"""),18.03)</f>
        <v>18.03</v>
      </c>
      <c r="E346" s="1">
        <f ca="1">IFERROR(__xludf.DUMMYFUNCTION("""COMPUTED_VALUE"""),18.71)</f>
        <v>18.71</v>
      </c>
      <c r="F346" s="1">
        <f ca="1">IFERROR(__xludf.DUMMYFUNCTION("""COMPUTED_VALUE"""),7029605)</f>
        <v>7029605</v>
      </c>
      <c r="G346" s="5">
        <f t="shared" ca="1" si="15"/>
        <v>1.0689470871191647E-3</v>
      </c>
      <c r="H346" s="14">
        <f t="shared" si="16"/>
        <v>2017</v>
      </c>
      <c r="I346" s="5">
        <f t="shared" ca="1" si="17"/>
        <v>3.6565096952908591E-2</v>
      </c>
      <c r="J346" s="16"/>
    </row>
    <row r="347" spans="1:10" x14ac:dyDescent="0.2">
      <c r="A347" s="3">
        <v>42780</v>
      </c>
      <c r="B347" s="1">
        <f ca="1">IFERROR(__xludf.DUMMYFUNCTION("""COMPUTED_VALUE"""),18.6)</f>
        <v>18.600000000000001</v>
      </c>
      <c r="C347" s="1">
        <f ca="1">IFERROR(__xludf.DUMMYFUNCTION("""COMPUTED_VALUE"""),19.16)</f>
        <v>19.16</v>
      </c>
      <c r="D347" s="1">
        <f ca="1">IFERROR(__xludf.DUMMYFUNCTION("""COMPUTED_VALUE"""),18.57)</f>
        <v>18.57</v>
      </c>
      <c r="E347" s="1">
        <f ca="1">IFERROR(__xludf.DUMMYFUNCTION("""COMPUTED_VALUE"""),18.73)</f>
        <v>18.73</v>
      </c>
      <c r="F347" s="1">
        <f ca="1">IFERROR(__xludf.DUMMYFUNCTION("""COMPUTED_VALUE"""),7345224)</f>
        <v>7345224</v>
      </c>
      <c r="G347" s="5">
        <f t="shared" ca="1" si="15"/>
        <v>-4.2712226374800773E-3</v>
      </c>
      <c r="H347" s="14">
        <f t="shared" si="16"/>
        <v>2017</v>
      </c>
      <c r="I347" s="5">
        <f t="shared" ca="1" si="17"/>
        <v>6.9892473118279026E-3</v>
      </c>
      <c r="J347" s="16"/>
    </row>
    <row r="348" spans="1:10" x14ac:dyDescent="0.2">
      <c r="A348" s="3">
        <v>42781</v>
      </c>
      <c r="B348" s="1">
        <f ca="1">IFERROR(__xludf.DUMMYFUNCTION("""COMPUTED_VALUE"""),18.67)</f>
        <v>18.670000000000002</v>
      </c>
      <c r="C348" s="1">
        <f ca="1">IFERROR(__xludf.DUMMYFUNCTION("""COMPUTED_VALUE"""),18.82)</f>
        <v>18.82</v>
      </c>
      <c r="D348" s="1">
        <f ca="1">IFERROR(__xludf.DUMMYFUNCTION("""COMPUTED_VALUE"""),18.43)</f>
        <v>18.43</v>
      </c>
      <c r="E348" s="1">
        <f ca="1">IFERROR(__xludf.DUMMYFUNCTION("""COMPUTED_VALUE"""),18.65)</f>
        <v>18.649999999999999</v>
      </c>
      <c r="F348" s="1">
        <f ca="1">IFERROR(__xludf.DUMMYFUNCTION("""COMPUTED_VALUE"""),4947856)</f>
        <v>4947856</v>
      </c>
      <c r="G348" s="5">
        <f t="shared" ca="1" si="15"/>
        <v>-3.8605898123324336E-2</v>
      </c>
      <c r="H348" s="14">
        <f t="shared" si="16"/>
        <v>2017</v>
      </c>
      <c r="I348" s="5">
        <f t="shared" ca="1" si="17"/>
        <v>-1.0712372790574786E-3</v>
      </c>
      <c r="J348" s="16"/>
    </row>
    <row r="349" spans="1:10" x14ac:dyDescent="0.2">
      <c r="A349" s="3">
        <v>42782</v>
      </c>
      <c r="B349" s="1">
        <f ca="1">IFERROR(__xludf.DUMMYFUNCTION("""COMPUTED_VALUE"""),18.51)</f>
        <v>18.510000000000002</v>
      </c>
      <c r="C349" s="1">
        <f ca="1">IFERROR(__xludf.DUMMYFUNCTION("""COMPUTED_VALUE"""),18.67)</f>
        <v>18.670000000000002</v>
      </c>
      <c r="D349" s="1">
        <f ca="1">IFERROR(__xludf.DUMMYFUNCTION("""COMPUTED_VALUE"""),17.9)</f>
        <v>17.899999999999999</v>
      </c>
      <c r="E349" s="1">
        <f ca="1">IFERROR(__xludf.DUMMYFUNCTION("""COMPUTED_VALUE"""),17.93)</f>
        <v>17.93</v>
      </c>
      <c r="F349" s="1">
        <f ca="1">IFERROR(__xludf.DUMMYFUNCTION("""COMPUTED_VALUE"""),7077322)</f>
        <v>7077322</v>
      </c>
      <c r="G349" s="5">
        <f t="shared" ca="1" si="15"/>
        <v>1.2269938650306685E-2</v>
      </c>
      <c r="H349" s="14">
        <f t="shared" si="16"/>
        <v>2017</v>
      </c>
      <c r="I349" s="5">
        <f t="shared" ca="1" si="17"/>
        <v>-3.1334413830362062E-2</v>
      </c>
      <c r="J349" s="16"/>
    </row>
    <row r="350" spans="1:10" x14ac:dyDescent="0.2">
      <c r="A350" s="3">
        <v>42783</v>
      </c>
      <c r="B350" s="1">
        <f ca="1">IFERROR(__xludf.DUMMYFUNCTION("""COMPUTED_VALUE"""),17.72)</f>
        <v>17.72</v>
      </c>
      <c r="C350" s="1">
        <f ca="1">IFERROR(__xludf.DUMMYFUNCTION("""COMPUTED_VALUE"""),18.19)</f>
        <v>18.190000000000001</v>
      </c>
      <c r="D350" s="1">
        <f ca="1">IFERROR(__xludf.DUMMYFUNCTION("""COMPUTED_VALUE"""),17.61)</f>
        <v>17.61</v>
      </c>
      <c r="E350" s="1">
        <f ca="1">IFERROR(__xludf.DUMMYFUNCTION("""COMPUTED_VALUE"""),18.15)</f>
        <v>18.149999999999999</v>
      </c>
      <c r="F350" s="1">
        <f ca="1">IFERROR(__xludf.DUMMYFUNCTION("""COMPUTED_VALUE"""),6257149)</f>
        <v>6257149</v>
      </c>
      <c r="G350" s="5">
        <f t="shared" ca="1" si="15"/>
        <v>1.8732782369145998E-2</v>
      </c>
      <c r="H350" s="14">
        <f t="shared" si="16"/>
        <v>2017</v>
      </c>
      <c r="I350" s="5">
        <f t="shared" ca="1" si="17"/>
        <v>2.4266365688487571E-2</v>
      </c>
      <c r="J350" s="16"/>
    </row>
    <row r="351" spans="1:10" x14ac:dyDescent="0.2">
      <c r="A351" s="3">
        <v>42787</v>
      </c>
      <c r="B351" s="1">
        <f ca="1">IFERROR(__xludf.DUMMYFUNCTION("""COMPUTED_VALUE"""),18.36)</f>
        <v>18.36</v>
      </c>
      <c r="C351" s="1">
        <f ca="1">IFERROR(__xludf.DUMMYFUNCTION("""COMPUTED_VALUE"""),18.76)</f>
        <v>18.760000000000002</v>
      </c>
      <c r="D351" s="1">
        <f ca="1">IFERROR(__xludf.DUMMYFUNCTION("""COMPUTED_VALUE"""),18.27)</f>
        <v>18.27</v>
      </c>
      <c r="E351" s="1">
        <f ca="1">IFERROR(__xludf.DUMMYFUNCTION("""COMPUTED_VALUE"""),18.49)</f>
        <v>18.489999999999998</v>
      </c>
      <c r="F351" s="1">
        <f ca="1">IFERROR(__xludf.DUMMYFUNCTION("""COMPUTED_VALUE"""),5676747)</f>
        <v>5676747</v>
      </c>
      <c r="G351" s="5">
        <f t="shared" ca="1" si="15"/>
        <v>-1.406165494862077E-2</v>
      </c>
      <c r="H351" s="14">
        <f t="shared" si="16"/>
        <v>2017</v>
      </c>
      <c r="I351" s="5">
        <f t="shared" ca="1" si="17"/>
        <v>7.0806100217864383E-3</v>
      </c>
      <c r="J351" s="16"/>
    </row>
    <row r="352" spans="1:10" x14ac:dyDescent="0.2">
      <c r="A352" s="3">
        <v>42788</v>
      </c>
      <c r="B352" s="1">
        <f ca="1">IFERROR(__xludf.DUMMYFUNCTION("""COMPUTED_VALUE"""),18.69)</f>
        <v>18.690000000000001</v>
      </c>
      <c r="C352" s="1">
        <f ca="1">IFERROR(__xludf.DUMMYFUNCTION("""COMPUTED_VALUE"""),18.9)</f>
        <v>18.899999999999999</v>
      </c>
      <c r="D352" s="1">
        <f ca="1">IFERROR(__xludf.DUMMYFUNCTION("""COMPUTED_VALUE"""),18.17)</f>
        <v>18.170000000000002</v>
      </c>
      <c r="E352" s="1">
        <f ca="1">IFERROR(__xludf.DUMMYFUNCTION("""COMPUTED_VALUE"""),18.23)</f>
        <v>18.23</v>
      </c>
      <c r="F352" s="1">
        <f ca="1">IFERROR(__xludf.DUMMYFUNCTION("""COMPUTED_VALUE"""),8754975)</f>
        <v>8754975</v>
      </c>
      <c r="G352" s="5">
        <f t="shared" ca="1" si="15"/>
        <v>-6.3631376851343943E-2</v>
      </c>
      <c r="H352" s="14">
        <f t="shared" si="16"/>
        <v>2017</v>
      </c>
      <c r="I352" s="5">
        <f t="shared" ca="1" si="17"/>
        <v>-2.461209202782241E-2</v>
      </c>
      <c r="J352" s="16"/>
    </row>
    <row r="353" spans="1:10" x14ac:dyDescent="0.2">
      <c r="A353" s="3">
        <v>42789</v>
      </c>
      <c r="B353" s="1">
        <f ca="1">IFERROR(__xludf.DUMMYFUNCTION("""COMPUTED_VALUE"""),17.6)</f>
        <v>17.600000000000001</v>
      </c>
      <c r="C353" s="1">
        <f ca="1">IFERROR(__xludf.DUMMYFUNCTION("""COMPUTED_VALUE"""),17.64)</f>
        <v>17.64</v>
      </c>
      <c r="D353" s="1">
        <f ca="1">IFERROR(__xludf.DUMMYFUNCTION("""COMPUTED_VALUE"""),17.04)</f>
        <v>17.04</v>
      </c>
      <c r="E353" s="1">
        <f ca="1">IFERROR(__xludf.DUMMYFUNCTION("""COMPUTED_VALUE"""),17.07)</f>
        <v>17.07</v>
      </c>
      <c r="F353" s="1">
        <f ca="1">IFERROR(__xludf.DUMMYFUNCTION("""COMPUTED_VALUE"""),14915249)</f>
        <v>14915249</v>
      </c>
      <c r="G353" s="5">
        <f t="shared" ca="1" si="15"/>
        <v>3.5149384885763751E-3</v>
      </c>
      <c r="H353" s="14">
        <f t="shared" si="16"/>
        <v>2017</v>
      </c>
      <c r="I353" s="5">
        <f t="shared" ca="1" si="17"/>
        <v>-3.0113636363636426E-2</v>
      </c>
      <c r="J353" s="16"/>
    </row>
    <row r="354" spans="1:10" x14ac:dyDescent="0.2">
      <c r="A354" s="3">
        <v>42790</v>
      </c>
      <c r="B354" s="1">
        <f ca="1">IFERROR(__xludf.DUMMYFUNCTION("""COMPUTED_VALUE"""),16.84)</f>
        <v>16.84</v>
      </c>
      <c r="C354" s="1">
        <f ca="1">IFERROR(__xludf.DUMMYFUNCTION("""COMPUTED_VALUE"""),17.22)</f>
        <v>17.22</v>
      </c>
      <c r="D354" s="1">
        <f ca="1">IFERROR(__xludf.DUMMYFUNCTION("""COMPUTED_VALUE"""),16.68)</f>
        <v>16.68</v>
      </c>
      <c r="E354" s="1">
        <f ca="1">IFERROR(__xludf.DUMMYFUNCTION("""COMPUTED_VALUE"""),17.13)</f>
        <v>17.13</v>
      </c>
      <c r="F354" s="1">
        <f ca="1">IFERROR(__xludf.DUMMYFUNCTION("""COMPUTED_VALUE"""),8171626)</f>
        <v>8171626</v>
      </c>
      <c r="G354" s="5">
        <f t="shared" ca="1" si="15"/>
        <v>-4.1447752481027285E-2</v>
      </c>
      <c r="H354" s="14">
        <f t="shared" si="16"/>
        <v>2017</v>
      </c>
      <c r="I354" s="5">
        <f t="shared" ca="1" si="17"/>
        <v>1.7220902612826553E-2</v>
      </c>
      <c r="J354" s="16"/>
    </row>
    <row r="355" spans="1:10" x14ac:dyDescent="0.2">
      <c r="A355" s="3">
        <v>42793</v>
      </c>
      <c r="B355" s="1">
        <f ca="1">IFERROR(__xludf.DUMMYFUNCTION("""COMPUTED_VALUE"""),16.54)</f>
        <v>16.54</v>
      </c>
      <c r="C355" s="1">
        <f ca="1">IFERROR(__xludf.DUMMYFUNCTION("""COMPUTED_VALUE"""),16.56)</f>
        <v>16.559999999999999</v>
      </c>
      <c r="D355" s="1">
        <f ca="1">IFERROR(__xludf.DUMMYFUNCTION("""COMPUTED_VALUE"""),16.13)</f>
        <v>16.13</v>
      </c>
      <c r="E355" s="1">
        <f ca="1">IFERROR(__xludf.DUMMYFUNCTION("""COMPUTED_VALUE"""),16.42)</f>
        <v>16.420000000000002</v>
      </c>
      <c r="F355" s="1">
        <f ca="1">IFERROR(__xludf.DUMMYFUNCTION("""COMPUTED_VALUE"""),11460810)</f>
        <v>11460810</v>
      </c>
      <c r="G355" s="5">
        <f t="shared" ca="1" si="15"/>
        <v>1.5225334957369061E-2</v>
      </c>
      <c r="H355" s="14">
        <f t="shared" si="16"/>
        <v>2017</v>
      </c>
      <c r="I355" s="5">
        <f t="shared" ca="1" si="17"/>
        <v>-7.2551390568317683E-3</v>
      </c>
      <c r="J355" s="16"/>
    </row>
    <row r="356" spans="1:10" x14ac:dyDescent="0.2">
      <c r="A356" s="3">
        <v>42794</v>
      </c>
      <c r="B356" s="1">
        <f ca="1">IFERROR(__xludf.DUMMYFUNCTION("""COMPUTED_VALUE"""),16.28)</f>
        <v>16.28</v>
      </c>
      <c r="C356" s="1">
        <f ca="1">IFERROR(__xludf.DUMMYFUNCTION("""COMPUTED_VALUE"""),16.73)</f>
        <v>16.73</v>
      </c>
      <c r="D356" s="1">
        <f ca="1">IFERROR(__xludf.DUMMYFUNCTION("""COMPUTED_VALUE"""),16.26)</f>
        <v>16.260000000000002</v>
      </c>
      <c r="E356" s="1">
        <f ca="1">IFERROR(__xludf.DUMMYFUNCTION("""COMPUTED_VALUE"""),16.67)</f>
        <v>16.670000000000002</v>
      </c>
      <c r="F356" s="1">
        <f ca="1">IFERROR(__xludf.DUMMYFUNCTION("""COMPUTED_VALUE"""),6078145)</f>
        <v>6078145</v>
      </c>
      <c r="G356" s="5">
        <f t="shared" ca="1" si="15"/>
        <v>0</v>
      </c>
      <c r="H356" s="14">
        <f t="shared" si="16"/>
        <v>2017</v>
      </c>
      <c r="I356" s="5">
        <f t="shared" ca="1" si="17"/>
        <v>2.3955773955773987E-2</v>
      </c>
      <c r="J356" s="16"/>
    </row>
    <row r="357" spans="1:10" x14ac:dyDescent="0.2">
      <c r="A357" s="3">
        <v>42795</v>
      </c>
      <c r="B357" s="1">
        <f ca="1">IFERROR(__xludf.DUMMYFUNCTION("""COMPUTED_VALUE"""),16.95)</f>
        <v>16.95</v>
      </c>
      <c r="C357" s="1">
        <f ca="1">IFERROR(__xludf.DUMMYFUNCTION("""COMPUTED_VALUE"""),16.99)</f>
        <v>16.989999999999998</v>
      </c>
      <c r="D357" s="1">
        <f ca="1">IFERROR(__xludf.DUMMYFUNCTION("""COMPUTED_VALUE"""),16.61)</f>
        <v>16.61</v>
      </c>
      <c r="E357" s="1">
        <f ca="1">IFERROR(__xludf.DUMMYFUNCTION("""COMPUTED_VALUE"""),16.67)</f>
        <v>16.670000000000002</v>
      </c>
      <c r="F357" s="1">
        <f ca="1">IFERROR(__xludf.DUMMYFUNCTION("""COMPUTED_VALUE"""),4809488)</f>
        <v>4809488</v>
      </c>
      <c r="G357" s="5">
        <f t="shared" ca="1" si="15"/>
        <v>1.7996400719854579E-3</v>
      </c>
      <c r="H357" s="14">
        <f t="shared" si="16"/>
        <v>2017</v>
      </c>
      <c r="I357" s="5">
        <f t="shared" ca="1" si="17"/>
        <v>-1.6519174041297793E-2</v>
      </c>
      <c r="J357" s="16"/>
    </row>
    <row r="358" spans="1:10" x14ac:dyDescent="0.2">
      <c r="A358" s="3">
        <v>42796</v>
      </c>
      <c r="B358" s="1">
        <f ca="1">IFERROR(__xludf.DUMMYFUNCTION("""COMPUTED_VALUE"""),16.65)</f>
        <v>16.649999999999999</v>
      </c>
      <c r="C358" s="1">
        <f ca="1">IFERROR(__xludf.DUMMYFUNCTION("""COMPUTED_VALUE"""),16.89)</f>
        <v>16.89</v>
      </c>
      <c r="D358" s="1">
        <f ca="1">IFERROR(__xludf.DUMMYFUNCTION("""COMPUTED_VALUE"""),16.55)</f>
        <v>16.55</v>
      </c>
      <c r="E358" s="1">
        <f ca="1">IFERROR(__xludf.DUMMYFUNCTION("""COMPUTED_VALUE"""),16.7)</f>
        <v>16.7</v>
      </c>
      <c r="F358" s="1">
        <f ca="1">IFERROR(__xludf.DUMMYFUNCTION("""COMPUTED_VALUE"""),3351833)</f>
        <v>3351833</v>
      </c>
      <c r="G358" s="5">
        <f t="shared" ca="1" si="15"/>
        <v>4.1916167664670829E-3</v>
      </c>
      <c r="H358" s="14">
        <f t="shared" si="16"/>
        <v>2017</v>
      </c>
      <c r="I358" s="5">
        <f t="shared" ca="1" si="17"/>
        <v>3.0030030030030459E-3</v>
      </c>
      <c r="J358" s="16"/>
    </row>
    <row r="359" spans="1:10" x14ac:dyDescent="0.2">
      <c r="A359" s="3">
        <v>42797</v>
      </c>
      <c r="B359" s="1">
        <f ca="1">IFERROR(__xludf.DUMMYFUNCTION("""COMPUTED_VALUE"""),16.72)</f>
        <v>16.72</v>
      </c>
      <c r="C359" s="1">
        <f ca="1">IFERROR(__xludf.DUMMYFUNCTION("""COMPUTED_VALUE"""),16.79)</f>
        <v>16.79</v>
      </c>
      <c r="D359" s="1">
        <f ca="1">IFERROR(__xludf.DUMMYFUNCTION("""COMPUTED_VALUE"""),16.6)</f>
        <v>16.600000000000001</v>
      </c>
      <c r="E359" s="1">
        <f ca="1">IFERROR(__xludf.DUMMYFUNCTION("""COMPUTED_VALUE"""),16.77)</f>
        <v>16.77</v>
      </c>
      <c r="F359" s="1">
        <f ca="1">IFERROR(__xludf.DUMMYFUNCTION("""COMPUTED_VALUE"""),2929234)</f>
        <v>2929234</v>
      </c>
      <c r="G359" s="5">
        <f t="shared" ca="1" si="15"/>
        <v>-1.192605843768609E-3</v>
      </c>
      <c r="H359" s="14">
        <f t="shared" si="16"/>
        <v>2017</v>
      </c>
      <c r="I359" s="5">
        <f t="shared" ca="1" si="17"/>
        <v>2.9904306220096119E-3</v>
      </c>
      <c r="J359" s="16"/>
    </row>
    <row r="360" spans="1:10" x14ac:dyDescent="0.2">
      <c r="A360" s="3">
        <v>42800</v>
      </c>
      <c r="B360" s="1">
        <f ca="1">IFERROR(__xludf.DUMMYFUNCTION("""COMPUTED_VALUE"""),16.53)</f>
        <v>16.53</v>
      </c>
      <c r="C360" s="1">
        <f ca="1">IFERROR(__xludf.DUMMYFUNCTION("""COMPUTED_VALUE"""),16.78)</f>
        <v>16.78</v>
      </c>
      <c r="D360" s="1">
        <f ca="1">IFERROR(__xludf.DUMMYFUNCTION("""COMPUTED_VALUE"""),16.5)</f>
        <v>16.5</v>
      </c>
      <c r="E360" s="1">
        <f ca="1">IFERROR(__xludf.DUMMYFUNCTION("""COMPUTED_VALUE"""),16.75)</f>
        <v>16.75</v>
      </c>
      <c r="F360" s="1">
        <f ca="1">IFERROR(__xludf.DUMMYFUNCTION("""COMPUTED_VALUE"""),3355500)</f>
        <v>3355500</v>
      </c>
      <c r="G360" s="5">
        <f t="shared" ca="1" si="15"/>
        <v>-1.0746268656716402E-2</v>
      </c>
      <c r="H360" s="14">
        <f t="shared" si="16"/>
        <v>2017</v>
      </c>
      <c r="I360" s="5">
        <f t="shared" ca="1" si="17"/>
        <v>1.3309134906231024E-2</v>
      </c>
      <c r="J360" s="16"/>
    </row>
    <row r="361" spans="1:10" x14ac:dyDescent="0.2">
      <c r="A361" s="3">
        <v>42801</v>
      </c>
      <c r="B361" s="1">
        <f ca="1">IFERROR(__xludf.DUMMYFUNCTION("""COMPUTED_VALUE"""),16.79)</f>
        <v>16.79</v>
      </c>
      <c r="C361" s="1">
        <f ca="1">IFERROR(__xludf.DUMMYFUNCTION("""COMPUTED_VALUE"""),16.93)</f>
        <v>16.93</v>
      </c>
      <c r="D361" s="1">
        <f ca="1">IFERROR(__xludf.DUMMYFUNCTION("""COMPUTED_VALUE"""),16.55)</f>
        <v>16.55</v>
      </c>
      <c r="E361" s="1">
        <f ca="1">IFERROR(__xludf.DUMMYFUNCTION("""COMPUTED_VALUE"""),16.57)</f>
        <v>16.57</v>
      </c>
      <c r="F361" s="1">
        <f ca="1">IFERROR(__xludf.DUMMYFUNCTION("""COMPUTED_VALUE"""),3459470)</f>
        <v>3459470</v>
      </c>
      <c r="G361" s="5">
        <f t="shared" ca="1" si="15"/>
        <v>-6.6385033192516256E-3</v>
      </c>
      <c r="H361" s="14">
        <f t="shared" si="16"/>
        <v>2017</v>
      </c>
      <c r="I361" s="5">
        <f t="shared" ca="1" si="17"/>
        <v>-1.3103037522334656E-2</v>
      </c>
      <c r="J361" s="16"/>
    </row>
    <row r="362" spans="1:10" x14ac:dyDescent="0.2">
      <c r="A362" s="3">
        <v>42802</v>
      </c>
      <c r="B362" s="1">
        <f ca="1">IFERROR(__xludf.DUMMYFUNCTION("""COMPUTED_VALUE"""),16.47)</f>
        <v>16.47</v>
      </c>
      <c r="C362" s="1">
        <f ca="1">IFERROR(__xludf.DUMMYFUNCTION("""COMPUTED_VALUE"""),16.67)</f>
        <v>16.670000000000002</v>
      </c>
      <c r="D362" s="1">
        <f ca="1">IFERROR(__xludf.DUMMYFUNCTION("""COMPUTED_VALUE"""),16.35)</f>
        <v>16.350000000000001</v>
      </c>
      <c r="E362" s="1">
        <f ca="1">IFERROR(__xludf.DUMMYFUNCTION("""COMPUTED_VALUE"""),16.46)</f>
        <v>16.46</v>
      </c>
      <c r="F362" s="1">
        <f ca="1">IFERROR(__xludf.DUMMYFUNCTION("""COMPUTED_VALUE"""),3728649)</f>
        <v>3728649</v>
      </c>
      <c r="G362" s="5">
        <f t="shared" ca="1" si="15"/>
        <v>-7.8979343863914073E-3</v>
      </c>
      <c r="H362" s="14">
        <f t="shared" si="16"/>
        <v>2017</v>
      </c>
      <c r="I362" s="5">
        <f t="shared" ca="1" si="17"/>
        <v>-6.0716454159065035E-4</v>
      </c>
      <c r="J362" s="16"/>
    </row>
    <row r="363" spans="1:10" x14ac:dyDescent="0.2">
      <c r="A363" s="3">
        <v>42803</v>
      </c>
      <c r="B363" s="1">
        <f ca="1">IFERROR(__xludf.DUMMYFUNCTION("""COMPUTED_VALUE"""),16.51)</f>
        <v>16.510000000000002</v>
      </c>
      <c r="C363" s="1">
        <f ca="1">IFERROR(__xludf.DUMMYFUNCTION("""COMPUTED_VALUE"""),16.58)</f>
        <v>16.579999999999998</v>
      </c>
      <c r="D363" s="1">
        <f ca="1">IFERROR(__xludf.DUMMYFUNCTION("""COMPUTED_VALUE"""),16.2)</f>
        <v>16.2</v>
      </c>
      <c r="E363" s="1">
        <f ca="1">IFERROR(__xludf.DUMMYFUNCTION("""COMPUTED_VALUE"""),16.33)</f>
        <v>16.329999999999998</v>
      </c>
      <c r="F363" s="1">
        <f ca="1">IFERROR(__xludf.DUMMYFUNCTION("""COMPUTED_VALUE"""),3879293)</f>
        <v>3879293</v>
      </c>
      <c r="G363" s="5">
        <f t="shared" ca="1" si="15"/>
        <v>-4.898958971218512E-3</v>
      </c>
      <c r="H363" s="14">
        <f t="shared" si="16"/>
        <v>2017</v>
      </c>
      <c r="I363" s="5">
        <f t="shared" ca="1" si="17"/>
        <v>-1.0902483343428422E-2</v>
      </c>
      <c r="J363" s="16"/>
    </row>
    <row r="364" spans="1:10" x14ac:dyDescent="0.2">
      <c r="A364" s="3">
        <v>42804</v>
      </c>
      <c r="B364" s="1">
        <f ca="1">IFERROR(__xludf.DUMMYFUNCTION("""COMPUTED_VALUE"""),16.41)</f>
        <v>16.41</v>
      </c>
      <c r="C364" s="1">
        <f ca="1">IFERROR(__xludf.DUMMYFUNCTION("""COMPUTED_VALUE"""),16.43)</f>
        <v>16.43</v>
      </c>
      <c r="D364" s="1">
        <f ca="1">IFERROR(__xludf.DUMMYFUNCTION("""COMPUTED_VALUE"""),16.2)</f>
        <v>16.2</v>
      </c>
      <c r="E364" s="1">
        <f ca="1">IFERROR(__xludf.DUMMYFUNCTION("""COMPUTED_VALUE"""),16.25)</f>
        <v>16.25</v>
      </c>
      <c r="F364" s="1">
        <f ca="1">IFERROR(__xludf.DUMMYFUNCTION("""COMPUTED_VALUE"""),3066272)</f>
        <v>3066272</v>
      </c>
      <c r="G364" s="5">
        <f t="shared" ca="1" si="15"/>
        <v>9.8461538461538552E-3</v>
      </c>
      <c r="H364" s="14">
        <f t="shared" si="16"/>
        <v>2017</v>
      </c>
      <c r="I364" s="5">
        <f t="shared" ca="1" si="17"/>
        <v>-9.7501523461304175E-3</v>
      </c>
      <c r="J364" s="16"/>
    </row>
    <row r="365" spans="1:10" x14ac:dyDescent="0.2">
      <c r="A365" s="3">
        <v>42807</v>
      </c>
      <c r="B365" s="1">
        <f ca="1">IFERROR(__xludf.DUMMYFUNCTION("""COMPUTED_VALUE"""),16.29)</f>
        <v>16.29</v>
      </c>
      <c r="C365" s="1">
        <f ca="1">IFERROR(__xludf.DUMMYFUNCTION("""COMPUTED_VALUE"""),16.46)</f>
        <v>16.46</v>
      </c>
      <c r="D365" s="1">
        <f ca="1">IFERROR(__xludf.DUMMYFUNCTION("""COMPUTED_VALUE"""),16.19)</f>
        <v>16.190000000000001</v>
      </c>
      <c r="E365" s="1">
        <f ca="1">IFERROR(__xludf.DUMMYFUNCTION("""COMPUTED_VALUE"""),16.41)</f>
        <v>16.41</v>
      </c>
      <c r="F365" s="1">
        <f ca="1">IFERROR(__xludf.DUMMYFUNCTION("""COMPUTED_VALUE"""),3022625)</f>
        <v>3022625</v>
      </c>
      <c r="G365" s="5">
        <f t="shared" ca="1" si="15"/>
        <v>4.8141377209018836E-2</v>
      </c>
      <c r="H365" s="14">
        <f t="shared" si="16"/>
        <v>2017</v>
      </c>
      <c r="I365" s="5">
        <f t="shared" ca="1" si="17"/>
        <v>7.3664825046041134E-3</v>
      </c>
      <c r="J365" s="16"/>
    </row>
    <row r="366" spans="1:10" x14ac:dyDescent="0.2">
      <c r="A366" s="3">
        <v>42808</v>
      </c>
      <c r="B366" s="1">
        <f ca="1">IFERROR(__xludf.DUMMYFUNCTION("""COMPUTED_VALUE"""),16.41)</f>
        <v>16.41</v>
      </c>
      <c r="C366" s="1">
        <f ca="1">IFERROR(__xludf.DUMMYFUNCTION("""COMPUTED_VALUE"""),17.21)</f>
        <v>17.21</v>
      </c>
      <c r="D366" s="1">
        <f ca="1">IFERROR(__xludf.DUMMYFUNCTION("""COMPUTED_VALUE"""),16.4)</f>
        <v>16.399999999999999</v>
      </c>
      <c r="E366" s="1">
        <f ca="1">IFERROR(__xludf.DUMMYFUNCTION("""COMPUTED_VALUE"""),17.2)</f>
        <v>17.2</v>
      </c>
      <c r="F366" s="1">
        <f ca="1">IFERROR(__xludf.DUMMYFUNCTION("""COMPUTED_VALUE"""),7598446)</f>
        <v>7598446</v>
      </c>
      <c r="G366" s="5">
        <f t="shared" ca="1" si="15"/>
        <v>-8.7209302325580579E-3</v>
      </c>
      <c r="H366" s="14">
        <f t="shared" si="16"/>
        <v>2017</v>
      </c>
      <c r="I366" s="5">
        <f t="shared" ca="1" si="17"/>
        <v>4.8141377209018836E-2</v>
      </c>
      <c r="J366" s="16"/>
    </row>
    <row r="367" spans="1:10" x14ac:dyDescent="0.2">
      <c r="A367" s="3">
        <v>42809</v>
      </c>
      <c r="B367" s="1">
        <f ca="1">IFERROR(__xludf.DUMMYFUNCTION("""COMPUTED_VALUE"""),17.13)</f>
        <v>17.13</v>
      </c>
      <c r="C367" s="1">
        <f ca="1">IFERROR(__xludf.DUMMYFUNCTION("""COMPUTED_VALUE"""),17.4)</f>
        <v>17.399999999999999</v>
      </c>
      <c r="D367" s="1">
        <f ca="1">IFERROR(__xludf.DUMMYFUNCTION("""COMPUTED_VALUE"""),16.95)</f>
        <v>16.95</v>
      </c>
      <c r="E367" s="1">
        <f ca="1">IFERROR(__xludf.DUMMYFUNCTION("""COMPUTED_VALUE"""),17.05)</f>
        <v>17.05</v>
      </c>
      <c r="F367" s="1">
        <f ca="1">IFERROR(__xludf.DUMMYFUNCTION("""COMPUTED_VALUE"""),5330806)</f>
        <v>5330806</v>
      </c>
      <c r="G367" s="5">
        <f t="shared" ca="1" si="15"/>
        <v>2.4633431085043879E-2</v>
      </c>
      <c r="H367" s="14">
        <f t="shared" si="16"/>
        <v>2017</v>
      </c>
      <c r="I367" s="5">
        <f t="shared" ca="1" si="17"/>
        <v>-4.6701692936367955E-3</v>
      </c>
      <c r="J367" s="16"/>
    </row>
    <row r="368" spans="1:10" x14ac:dyDescent="0.2">
      <c r="A368" s="3">
        <v>42810</v>
      </c>
      <c r="B368" s="1">
        <f ca="1">IFERROR(__xludf.DUMMYFUNCTION("""COMPUTED_VALUE"""),17.49)</f>
        <v>17.489999999999998</v>
      </c>
      <c r="C368" s="1">
        <f ca="1">IFERROR(__xludf.DUMMYFUNCTION("""COMPUTED_VALUE"""),17.72)</f>
        <v>17.72</v>
      </c>
      <c r="D368" s="1">
        <f ca="1">IFERROR(__xludf.DUMMYFUNCTION("""COMPUTED_VALUE"""),17.27)</f>
        <v>17.27</v>
      </c>
      <c r="E368" s="1">
        <f ca="1">IFERROR(__xludf.DUMMYFUNCTION("""COMPUTED_VALUE"""),17.47)</f>
        <v>17.47</v>
      </c>
      <c r="F368" s="1">
        <f ca="1">IFERROR(__xludf.DUMMYFUNCTION("""COMPUTED_VALUE"""),7132153)</f>
        <v>7132153</v>
      </c>
      <c r="G368" s="5">
        <f t="shared" ca="1" si="15"/>
        <v>-2.2896393817973182E-3</v>
      </c>
      <c r="H368" s="14">
        <f t="shared" si="16"/>
        <v>2017</v>
      </c>
      <c r="I368" s="5">
        <f t="shared" ca="1" si="17"/>
        <v>-1.1435105774728173E-3</v>
      </c>
      <c r="J368" s="16"/>
    </row>
    <row r="369" spans="1:10" x14ac:dyDescent="0.2">
      <c r="A369" s="3">
        <v>42811</v>
      </c>
      <c r="B369" s="1">
        <f ca="1">IFERROR(__xludf.DUMMYFUNCTION("""COMPUTED_VALUE"""),17.6)</f>
        <v>17.600000000000001</v>
      </c>
      <c r="C369" s="1">
        <f ca="1">IFERROR(__xludf.DUMMYFUNCTION("""COMPUTED_VALUE"""),17.69)</f>
        <v>17.690000000000001</v>
      </c>
      <c r="D369" s="1">
        <f ca="1">IFERROR(__xludf.DUMMYFUNCTION("""COMPUTED_VALUE"""),17.41)</f>
        <v>17.41</v>
      </c>
      <c r="E369" s="1">
        <f ca="1">IFERROR(__xludf.DUMMYFUNCTION("""COMPUTED_VALUE"""),17.43)</f>
        <v>17.43</v>
      </c>
      <c r="F369" s="1">
        <f ca="1">IFERROR(__xludf.DUMMYFUNCTION("""COMPUTED_VALUE"""),6497496)</f>
        <v>6497496</v>
      </c>
      <c r="G369" s="5">
        <f t="shared" ca="1" si="15"/>
        <v>1.7211703958692564E-3</v>
      </c>
      <c r="H369" s="14">
        <f t="shared" si="16"/>
        <v>2017</v>
      </c>
      <c r="I369" s="5">
        <f t="shared" ca="1" si="17"/>
        <v>-9.659090909091006E-3</v>
      </c>
      <c r="J369" s="16"/>
    </row>
    <row r="370" spans="1:10" x14ac:dyDescent="0.2">
      <c r="A370" s="3">
        <v>42814</v>
      </c>
      <c r="B370" s="1">
        <f ca="1">IFERROR(__xludf.DUMMYFUNCTION("""COMPUTED_VALUE"""),17.37)</f>
        <v>17.37</v>
      </c>
      <c r="C370" s="1">
        <f ca="1">IFERROR(__xludf.DUMMYFUNCTION("""COMPUTED_VALUE"""),17.64)</f>
        <v>17.64</v>
      </c>
      <c r="D370" s="1">
        <f ca="1">IFERROR(__xludf.DUMMYFUNCTION("""COMPUTED_VALUE"""),17.25)</f>
        <v>17.25</v>
      </c>
      <c r="E370" s="1">
        <f ca="1">IFERROR(__xludf.DUMMYFUNCTION("""COMPUTED_VALUE"""),17.46)</f>
        <v>17.46</v>
      </c>
      <c r="F370" s="1">
        <f ca="1">IFERROR(__xludf.DUMMYFUNCTION("""COMPUTED_VALUE"""),3614294)</f>
        <v>3614294</v>
      </c>
      <c r="G370" s="5">
        <f t="shared" ca="1" si="15"/>
        <v>-4.29553264604811E-2</v>
      </c>
      <c r="H370" s="14">
        <f t="shared" si="16"/>
        <v>2017</v>
      </c>
      <c r="I370" s="5">
        <f t="shared" ca="1" si="17"/>
        <v>5.1813471502590589E-3</v>
      </c>
      <c r="J370" s="16"/>
    </row>
    <row r="371" spans="1:10" x14ac:dyDescent="0.2">
      <c r="A371" s="3">
        <v>42815</v>
      </c>
      <c r="B371" s="1">
        <f ca="1">IFERROR(__xludf.DUMMYFUNCTION("""COMPUTED_VALUE"""),17.52)</f>
        <v>17.52</v>
      </c>
      <c r="C371" s="1">
        <f ca="1">IFERROR(__xludf.DUMMYFUNCTION("""COMPUTED_VALUE"""),17.65)</f>
        <v>17.649999999999999</v>
      </c>
      <c r="D371" s="1">
        <f ca="1">IFERROR(__xludf.DUMMYFUNCTION("""COMPUTED_VALUE"""),16.68)</f>
        <v>16.68</v>
      </c>
      <c r="E371" s="1">
        <f ca="1">IFERROR(__xludf.DUMMYFUNCTION("""COMPUTED_VALUE"""),16.71)</f>
        <v>16.71</v>
      </c>
      <c r="F371" s="1">
        <f ca="1">IFERROR(__xludf.DUMMYFUNCTION("""COMPUTED_VALUE"""),6908554)</f>
        <v>6908554</v>
      </c>
      <c r="G371" s="5">
        <f t="shared" ca="1" si="15"/>
        <v>1.7354877318970625E-2</v>
      </c>
      <c r="H371" s="14">
        <f t="shared" si="16"/>
        <v>2017</v>
      </c>
      <c r="I371" s="5">
        <f t="shared" ca="1" si="17"/>
        <v>-4.6232876712328695E-2</v>
      </c>
      <c r="J371" s="16"/>
    </row>
    <row r="372" spans="1:10" x14ac:dyDescent="0.2">
      <c r="A372" s="3">
        <v>42816</v>
      </c>
      <c r="B372" s="1">
        <f ca="1">IFERROR(__xludf.DUMMYFUNCTION("""COMPUTED_VALUE"""),16.77)</f>
        <v>16.77</v>
      </c>
      <c r="C372" s="1">
        <f ca="1">IFERROR(__xludf.DUMMYFUNCTION("""COMPUTED_VALUE"""),17)</f>
        <v>17</v>
      </c>
      <c r="D372" s="1">
        <f ca="1">IFERROR(__xludf.DUMMYFUNCTION("""COMPUTED_VALUE"""),16.7)</f>
        <v>16.7</v>
      </c>
      <c r="E372" s="1">
        <f ca="1">IFERROR(__xludf.DUMMYFUNCTION("""COMPUTED_VALUE"""),17)</f>
        <v>17</v>
      </c>
      <c r="F372" s="1">
        <f ca="1">IFERROR(__xludf.DUMMYFUNCTION("""COMPUTED_VALUE"""),4059297)</f>
        <v>4059297</v>
      </c>
      <c r="G372" s="5">
        <f t="shared" ca="1" si="15"/>
        <v>-5.8823529411773906E-4</v>
      </c>
      <c r="H372" s="14">
        <f t="shared" si="16"/>
        <v>2017</v>
      </c>
      <c r="I372" s="5">
        <f t="shared" ca="1" si="17"/>
        <v>1.3714967203339323E-2</v>
      </c>
      <c r="J372" s="16"/>
    </row>
    <row r="373" spans="1:10" x14ac:dyDescent="0.2">
      <c r="A373" s="3">
        <v>42817</v>
      </c>
      <c r="B373" s="1">
        <f ca="1">IFERROR(__xludf.DUMMYFUNCTION("""COMPUTED_VALUE"""),17.03)</f>
        <v>17.03</v>
      </c>
      <c r="C373" s="1">
        <f ca="1">IFERROR(__xludf.DUMMYFUNCTION("""COMPUTED_VALUE"""),17.18)</f>
        <v>17.18</v>
      </c>
      <c r="D373" s="1">
        <f ca="1">IFERROR(__xludf.DUMMYFUNCTION("""COMPUTED_VALUE"""),16.89)</f>
        <v>16.89</v>
      </c>
      <c r="E373" s="1">
        <f ca="1">IFERROR(__xludf.DUMMYFUNCTION("""COMPUTED_VALUE"""),16.99)</f>
        <v>16.989999999999998</v>
      </c>
      <c r="F373" s="1">
        <f ca="1">IFERROR(__xludf.DUMMYFUNCTION("""COMPUTED_VALUE"""),3320245)</f>
        <v>3320245</v>
      </c>
      <c r="G373" s="5">
        <f t="shared" ca="1" si="15"/>
        <v>3.2371983519717526E-2</v>
      </c>
      <c r="H373" s="14">
        <f t="shared" si="16"/>
        <v>2017</v>
      </c>
      <c r="I373" s="5">
        <f t="shared" ca="1" si="17"/>
        <v>-2.3487962419261712E-3</v>
      </c>
      <c r="J373" s="16"/>
    </row>
    <row r="374" spans="1:10" x14ac:dyDescent="0.2">
      <c r="A374" s="3">
        <v>42818</v>
      </c>
      <c r="B374" s="1">
        <f ca="1">IFERROR(__xludf.DUMMYFUNCTION("""COMPUTED_VALUE"""),17.05)</f>
        <v>17.05</v>
      </c>
      <c r="C374" s="1">
        <f ca="1">IFERROR(__xludf.DUMMYFUNCTION("""COMPUTED_VALUE"""),17.59)</f>
        <v>17.59</v>
      </c>
      <c r="D374" s="1">
        <f ca="1">IFERROR(__xludf.DUMMYFUNCTION("""COMPUTED_VALUE"""),17)</f>
        <v>17</v>
      </c>
      <c r="E374" s="1">
        <f ca="1">IFERROR(__xludf.DUMMYFUNCTION("""COMPUTED_VALUE"""),17.54)</f>
        <v>17.54</v>
      </c>
      <c r="F374" s="1">
        <f ca="1">IFERROR(__xludf.DUMMYFUNCTION("""COMPUTED_VALUE"""),5647253)</f>
        <v>5647253</v>
      </c>
      <c r="G374" s="5">
        <f t="shared" ca="1" si="15"/>
        <v>2.6795895096921461E-2</v>
      </c>
      <c r="H374" s="14">
        <f t="shared" si="16"/>
        <v>2017</v>
      </c>
      <c r="I374" s="5">
        <f t="shared" ca="1" si="17"/>
        <v>2.8739002932551227E-2</v>
      </c>
      <c r="J374" s="16"/>
    </row>
    <row r="375" spans="1:10" x14ac:dyDescent="0.2">
      <c r="A375" s="3">
        <v>42821</v>
      </c>
      <c r="B375" s="1">
        <f ca="1">IFERROR(__xludf.DUMMYFUNCTION("""COMPUTED_VALUE"""),17.37)</f>
        <v>17.37</v>
      </c>
      <c r="C375" s="1">
        <f ca="1">IFERROR(__xludf.DUMMYFUNCTION("""COMPUTED_VALUE"""),18.04)</f>
        <v>18.04</v>
      </c>
      <c r="D375" s="1">
        <f ca="1">IFERROR(__xludf.DUMMYFUNCTION("""COMPUTED_VALUE"""),17.32)</f>
        <v>17.32</v>
      </c>
      <c r="E375" s="1">
        <f ca="1">IFERROR(__xludf.DUMMYFUNCTION("""COMPUTED_VALUE"""),18.01)</f>
        <v>18.010000000000002</v>
      </c>
      <c r="F375" s="1">
        <f ca="1">IFERROR(__xludf.DUMMYFUNCTION("""COMPUTED_VALUE"""),6230795)</f>
        <v>6230795</v>
      </c>
      <c r="G375" s="5">
        <f t="shared" ca="1" si="15"/>
        <v>2.7207107162687306E-2</v>
      </c>
      <c r="H375" s="14">
        <f t="shared" si="16"/>
        <v>2017</v>
      </c>
      <c r="I375" s="5">
        <f t="shared" ca="1" si="17"/>
        <v>3.6845135290731176E-2</v>
      </c>
      <c r="J375" s="16"/>
    </row>
    <row r="376" spans="1:10" x14ac:dyDescent="0.2">
      <c r="A376" s="3">
        <v>42822</v>
      </c>
      <c r="B376" s="1">
        <f ca="1">IFERROR(__xludf.DUMMYFUNCTION("""COMPUTED_VALUE"""),18.47)</f>
        <v>18.47</v>
      </c>
      <c r="C376" s="1">
        <f ca="1">IFERROR(__xludf.DUMMYFUNCTION("""COMPUTED_VALUE"""),18.71)</f>
        <v>18.71</v>
      </c>
      <c r="D376" s="1">
        <f ca="1">IFERROR(__xludf.DUMMYFUNCTION("""COMPUTED_VALUE"""),18.33)</f>
        <v>18.329999999999998</v>
      </c>
      <c r="E376" s="1">
        <f ca="1">IFERROR(__xludf.DUMMYFUNCTION("""COMPUTED_VALUE"""),18.5)</f>
        <v>18.5</v>
      </c>
      <c r="F376" s="1">
        <f ca="1">IFERROR(__xludf.DUMMYFUNCTION("""COMPUTED_VALUE"""),7987604)</f>
        <v>7987604</v>
      </c>
      <c r="G376" s="5">
        <f t="shared" ca="1" si="15"/>
        <v>-5.4054054054062501E-4</v>
      </c>
      <c r="H376" s="14">
        <f t="shared" si="16"/>
        <v>2017</v>
      </c>
      <c r="I376" s="5">
        <f t="shared" ca="1" si="17"/>
        <v>1.6242555495398559E-3</v>
      </c>
      <c r="J376" s="16"/>
    </row>
    <row r="377" spans="1:10" x14ac:dyDescent="0.2">
      <c r="A377" s="3">
        <v>42823</v>
      </c>
      <c r="B377" s="1">
        <f ca="1">IFERROR(__xludf.DUMMYFUNCTION("""COMPUTED_VALUE"""),18.56)</f>
        <v>18.559999999999999</v>
      </c>
      <c r="C377" s="1">
        <f ca="1">IFERROR(__xludf.DUMMYFUNCTION("""COMPUTED_VALUE"""),18.64)</f>
        <v>18.64</v>
      </c>
      <c r="D377" s="1">
        <f ca="1">IFERROR(__xludf.DUMMYFUNCTION("""COMPUTED_VALUE"""),18.37)</f>
        <v>18.37</v>
      </c>
      <c r="E377" s="1">
        <f ca="1">IFERROR(__xludf.DUMMYFUNCTION("""COMPUTED_VALUE"""),18.49)</f>
        <v>18.489999999999998</v>
      </c>
      <c r="F377" s="1">
        <f ca="1">IFERROR(__xludf.DUMMYFUNCTION("""COMPUTED_VALUE"""),3676157)</f>
        <v>3676157</v>
      </c>
      <c r="G377" s="5">
        <f t="shared" ca="1" si="15"/>
        <v>2.1633315305572042E-3</v>
      </c>
      <c r="H377" s="14">
        <f t="shared" si="16"/>
        <v>2017</v>
      </c>
      <c r="I377" s="5">
        <f t="shared" ca="1" si="17"/>
        <v>-3.7715517241379468E-3</v>
      </c>
      <c r="J377" s="16"/>
    </row>
    <row r="378" spans="1:10" x14ac:dyDescent="0.2">
      <c r="A378" s="3">
        <v>42824</v>
      </c>
      <c r="B378" s="1">
        <f ca="1">IFERROR(__xludf.DUMMYFUNCTION("""COMPUTED_VALUE"""),18.54)</f>
        <v>18.54</v>
      </c>
      <c r="C378" s="1">
        <f ca="1">IFERROR(__xludf.DUMMYFUNCTION("""COMPUTED_VALUE"""),18.8)</f>
        <v>18.8</v>
      </c>
      <c r="D378" s="1">
        <f ca="1">IFERROR(__xludf.DUMMYFUNCTION("""COMPUTED_VALUE"""),18.48)</f>
        <v>18.48</v>
      </c>
      <c r="E378" s="1">
        <f ca="1">IFERROR(__xludf.DUMMYFUNCTION("""COMPUTED_VALUE"""),18.53)</f>
        <v>18.53</v>
      </c>
      <c r="F378" s="1">
        <f ca="1">IFERROR(__xludf.DUMMYFUNCTION("""COMPUTED_VALUE"""),4148426)</f>
        <v>4148426</v>
      </c>
      <c r="G378" s="5">
        <f t="shared" ca="1" si="15"/>
        <v>1.0793308148947423E-3</v>
      </c>
      <c r="H378" s="14">
        <f t="shared" si="16"/>
        <v>2017</v>
      </c>
      <c r="I378" s="5">
        <f t="shared" ca="1" si="17"/>
        <v>-5.393743257819855E-4</v>
      </c>
      <c r="J378" s="16"/>
    </row>
    <row r="379" spans="1:10" x14ac:dyDescent="0.2">
      <c r="A379" s="3">
        <v>42825</v>
      </c>
      <c r="B379" s="1">
        <f ca="1">IFERROR(__xludf.DUMMYFUNCTION("""COMPUTED_VALUE"""),18.58)</f>
        <v>18.579999999999998</v>
      </c>
      <c r="C379" s="1">
        <f ca="1">IFERROR(__xludf.DUMMYFUNCTION("""COMPUTED_VALUE"""),18.65)</f>
        <v>18.649999999999999</v>
      </c>
      <c r="D379" s="1">
        <f ca="1">IFERROR(__xludf.DUMMYFUNCTION("""COMPUTED_VALUE"""),18.42)</f>
        <v>18.420000000000002</v>
      </c>
      <c r="E379" s="1">
        <f ca="1">IFERROR(__xludf.DUMMYFUNCTION("""COMPUTED_VALUE"""),18.55)</f>
        <v>18.55</v>
      </c>
      <c r="F379" s="1">
        <f ca="1">IFERROR(__xludf.DUMMYFUNCTION("""COMPUTED_VALUE"""),3294640)</f>
        <v>3294640</v>
      </c>
      <c r="G379" s="5">
        <f t="shared" ca="1" si="15"/>
        <v>7.2776280323450016E-2</v>
      </c>
      <c r="H379" s="14">
        <f t="shared" si="16"/>
        <v>2017</v>
      </c>
      <c r="I379" s="5">
        <f t="shared" ca="1" si="17"/>
        <v>-1.6146393972011619E-3</v>
      </c>
      <c r="J379" s="16"/>
    </row>
    <row r="380" spans="1:10" x14ac:dyDescent="0.2">
      <c r="A380" s="3">
        <v>42828</v>
      </c>
      <c r="B380" s="1">
        <f ca="1">IFERROR(__xludf.DUMMYFUNCTION("""COMPUTED_VALUE"""),19.13)</f>
        <v>19.13</v>
      </c>
      <c r="C380" s="1">
        <f ca="1">IFERROR(__xludf.DUMMYFUNCTION("""COMPUTED_VALUE"""),19.93)</f>
        <v>19.93</v>
      </c>
      <c r="D380" s="1">
        <f ca="1">IFERROR(__xludf.DUMMYFUNCTION("""COMPUTED_VALUE"""),18.97)</f>
        <v>18.97</v>
      </c>
      <c r="E380" s="1">
        <f ca="1">IFERROR(__xludf.DUMMYFUNCTION("""COMPUTED_VALUE"""),19.9)</f>
        <v>19.899999999999999</v>
      </c>
      <c r="F380" s="1">
        <f ca="1">IFERROR(__xludf.DUMMYFUNCTION("""COMPUTED_VALUE"""),13888618)</f>
        <v>13888618</v>
      </c>
      <c r="G380" s="5">
        <f t="shared" ca="1" si="15"/>
        <v>1.7587939698492535E-2</v>
      </c>
      <c r="H380" s="14">
        <f t="shared" si="16"/>
        <v>2017</v>
      </c>
      <c r="I380" s="5">
        <f t="shared" ca="1" si="17"/>
        <v>4.0250914793518014E-2</v>
      </c>
      <c r="J380" s="16"/>
    </row>
    <row r="381" spans="1:10" x14ac:dyDescent="0.2">
      <c r="A381" s="3">
        <v>42829</v>
      </c>
      <c r="B381" s="1">
        <f ca="1">IFERROR(__xludf.DUMMYFUNCTION("""COMPUTED_VALUE"""),19.79)</f>
        <v>19.79</v>
      </c>
      <c r="C381" s="1">
        <f ca="1">IFERROR(__xludf.DUMMYFUNCTION("""COMPUTED_VALUE"""),20.32)</f>
        <v>20.32</v>
      </c>
      <c r="D381" s="1">
        <f ca="1">IFERROR(__xludf.DUMMYFUNCTION("""COMPUTED_VALUE"""),19.64)</f>
        <v>19.64</v>
      </c>
      <c r="E381" s="1">
        <f ca="1">IFERROR(__xludf.DUMMYFUNCTION("""COMPUTED_VALUE"""),20.25)</f>
        <v>20.25</v>
      </c>
      <c r="F381" s="1">
        <f ca="1">IFERROR(__xludf.DUMMYFUNCTION("""COMPUTED_VALUE"""),10134556)</f>
        <v>10134556</v>
      </c>
      <c r="G381" s="5">
        <f t="shared" ca="1" si="15"/>
        <v>-2.864197530864189E-2</v>
      </c>
      <c r="H381" s="14">
        <f t="shared" si="16"/>
        <v>2017</v>
      </c>
      <c r="I381" s="5">
        <f t="shared" ca="1" si="17"/>
        <v>2.3244062657908078E-2</v>
      </c>
      <c r="J381" s="16"/>
    </row>
    <row r="382" spans="1:10" x14ac:dyDescent="0.2">
      <c r="A382" s="3">
        <v>42830</v>
      </c>
      <c r="B382" s="1">
        <f ca="1">IFERROR(__xludf.DUMMYFUNCTION("""COMPUTED_VALUE"""),20.14)</f>
        <v>20.14</v>
      </c>
      <c r="C382" s="1">
        <f ca="1">IFERROR(__xludf.DUMMYFUNCTION("""COMPUTED_VALUE"""),20.33)</f>
        <v>20.329999999999998</v>
      </c>
      <c r="D382" s="1">
        <f ca="1">IFERROR(__xludf.DUMMYFUNCTION("""COMPUTED_VALUE"""),19.61)</f>
        <v>19.61</v>
      </c>
      <c r="E382" s="1">
        <f ca="1">IFERROR(__xludf.DUMMYFUNCTION("""COMPUTED_VALUE"""),19.67)</f>
        <v>19.670000000000002</v>
      </c>
      <c r="F382" s="1">
        <f ca="1">IFERROR(__xludf.DUMMYFUNCTION("""COMPUTED_VALUE"""),7880938)</f>
        <v>7880938</v>
      </c>
      <c r="G382" s="5">
        <f t="shared" ca="1" si="15"/>
        <v>1.2201321809862655E-2</v>
      </c>
      <c r="H382" s="14">
        <f t="shared" si="16"/>
        <v>2017</v>
      </c>
      <c r="I382" s="5">
        <f t="shared" ca="1" si="17"/>
        <v>-2.3336643495531224E-2</v>
      </c>
      <c r="J382" s="16"/>
    </row>
    <row r="383" spans="1:10" x14ac:dyDescent="0.2">
      <c r="A383" s="3">
        <v>42831</v>
      </c>
      <c r="B383" s="1">
        <f ca="1">IFERROR(__xludf.DUMMYFUNCTION("""COMPUTED_VALUE"""),19.79)</f>
        <v>19.79</v>
      </c>
      <c r="C383" s="1">
        <f ca="1">IFERROR(__xludf.DUMMYFUNCTION("""COMPUTED_VALUE"""),20.13)</f>
        <v>20.13</v>
      </c>
      <c r="D383" s="1">
        <f ca="1">IFERROR(__xludf.DUMMYFUNCTION("""COMPUTED_VALUE"""),19.61)</f>
        <v>19.61</v>
      </c>
      <c r="E383" s="1">
        <f ca="1">IFERROR(__xludf.DUMMYFUNCTION("""COMPUTED_VALUE"""),19.91)</f>
        <v>19.91</v>
      </c>
      <c r="F383" s="1">
        <f ca="1">IFERROR(__xludf.DUMMYFUNCTION("""COMPUTED_VALUE"""),5520588)</f>
        <v>5520588</v>
      </c>
      <c r="G383" s="5">
        <f t="shared" ca="1" si="15"/>
        <v>1.3058764439979989E-2</v>
      </c>
      <c r="H383" s="14">
        <f t="shared" si="16"/>
        <v>2017</v>
      </c>
      <c r="I383" s="5">
        <f t="shared" ca="1" si="17"/>
        <v>6.0636685194543202E-3</v>
      </c>
      <c r="J383" s="16"/>
    </row>
    <row r="384" spans="1:10" x14ac:dyDescent="0.2">
      <c r="A384" s="3">
        <v>42832</v>
      </c>
      <c r="B384" s="1">
        <f ca="1">IFERROR(__xludf.DUMMYFUNCTION("""COMPUTED_VALUE"""),19.83)</f>
        <v>19.829999999999998</v>
      </c>
      <c r="C384" s="1">
        <f ca="1">IFERROR(__xludf.DUMMYFUNCTION("""COMPUTED_VALUE"""),20.18)</f>
        <v>20.18</v>
      </c>
      <c r="D384" s="1">
        <f ca="1">IFERROR(__xludf.DUMMYFUNCTION("""COMPUTED_VALUE"""),19.81)</f>
        <v>19.809999999999999</v>
      </c>
      <c r="E384" s="1">
        <f ca="1">IFERROR(__xludf.DUMMYFUNCTION("""COMPUTED_VALUE"""),20.17)</f>
        <v>20.170000000000002</v>
      </c>
      <c r="F384" s="1">
        <f ca="1">IFERROR(__xludf.DUMMYFUNCTION("""COMPUTED_VALUE"""),4579613)</f>
        <v>4579613</v>
      </c>
      <c r="G384" s="5">
        <f t="shared" ca="1" si="15"/>
        <v>3.2721864154685004E-2</v>
      </c>
      <c r="H384" s="14">
        <f t="shared" si="16"/>
        <v>2017</v>
      </c>
      <c r="I384" s="5">
        <f t="shared" ca="1" si="17"/>
        <v>1.7145738779627002E-2</v>
      </c>
      <c r="J384" s="16"/>
    </row>
    <row r="385" spans="1:10" x14ac:dyDescent="0.2">
      <c r="A385" s="3">
        <v>42835</v>
      </c>
      <c r="B385" s="1">
        <f ca="1">IFERROR(__xludf.DUMMYFUNCTION("""COMPUTED_VALUE"""),20.61)</f>
        <v>20.61</v>
      </c>
      <c r="C385" s="1">
        <f ca="1">IFERROR(__xludf.DUMMYFUNCTION("""COMPUTED_VALUE"""),20.92)</f>
        <v>20.92</v>
      </c>
      <c r="D385" s="1">
        <f ca="1">IFERROR(__xludf.DUMMYFUNCTION("""COMPUTED_VALUE"""),20.58)</f>
        <v>20.58</v>
      </c>
      <c r="E385" s="1">
        <f ca="1">IFERROR(__xludf.DUMMYFUNCTION("""COMPUTED_VALUE"""),20.83)</f>
        <v>20.83</v>
      </c>
      <c r="F385" s="1">
        <f ca="1">IFERROR(__xludf.DUMMYFUNCTION("""COMPUTED_VALUE"""),7664458)</f>
        <v>7664458</v>
      </c>
      <c r="G385" s="5">
        <f t="shared" ca="1" si="15"/>
        <v>-1.2001920307249161E-2</v>
      </c>
      <c r="H385" s="14">
        <f t="shared" si="16"/>
        <v>2017</v>
      </c>
      <c r="I385" s="5">
        <f t="shared" ca="1" si="17"/>
        <v>1.0674429888403633E-2</v>
      </c>
      <c r="J385" s="16"/>
    </row>
    <row r="386" spans="1:10" x14ac:dyDescent="0.2">
      <c r="A386" s="3">
        <v>42836</v>
      </c>
      <c r="B386" s="1">
        <f ca="1">IFERROR(__xludf.DUMMYFUNCTION("""COMPUTED_VALUE"""),20.89)</f>
        <v>20.89</v>
      </c>
      <c r="C386" s="1">
        <f ca="1">IFERROR(__xludf.DUMMYFUNCTION("""COMPUTED_VALUE"""),20.9)</f>
        <v>20.9</v>
      </c>
      <c r="D386" s="1">
        <f ca="1">IFERROR(__xludf.DUMMYFUNCTION("""COMPUTED_VALUE"""),20.37)</f>
        <v>20.37</v>
      </c>
      <c r="E386" s="1">
        <f ca="1">IFERROR(__xludf.DUMMYFUNCTION("""COMPUTED_VALUE"""),20.58)</f>
        <v>20.58</v>
      </c>
      <c r="F386" s="1">
        <f ca="1">IFERROR(__xludf.DUMMYFUNCTION("""COMPUTED_VALUE"""),5724577)</f>
        <v>5724577</v>
      </c>
      <c r="G386" s="5">
        <f t="shared" ca="1" si="15"/>
        <v>-3.8386783284742432E-2</v>
      </c>
      <c r="H386" s="14">
        <f t="shared" si="16"/>
        <v>2017</v>
      </c>
      <c r="I386" s="5">
        <f t="shared" ca="1" si="17"/>
        <v>-1.4839636189564494E-2</v>
      </c>
      <c r="J386" s="16"/>
    </row>
    <row r="387" spans="1:10" x14ac:dyDescent="0.2">
      <c r="A387" s="3">
        <v>42837</v>
      </c>
      <c r="B387" s="1">
        <f ca="1">IFERROR(__xludf.DUMMYFUNCTION("""COMPUTED_VALUE"""),20.42)</f>
        <v>20.420000000000002</v>
      </c>
      <c r="C387" s="1">
        <f ca="1">IFERROR(__xludf.DUMMYFUNCTION("""COMPUTED_VALUE"""),20.56)</f>
        <v>20.56</v>
      </c>
      <c r="D387" s="1">
        <f ca="1">IFERROR(__xludf.DUMMYFUNCTION("""COMPUTED_VALUE"""),19.75)</f>
        <v>19.75</v>
      </c>
      <c r="E387" s="1">
        <f ca="1">IFERROR(__xludf.DUMMYFUNCTION("""COMPUTED_VALUE"""),19.79)</f>
        <v>19.79</v>
      </c>
      <c r="F387" s="1">
        <f ca="1">IFERROR(__xludf.DUMMYFUNCTION("""COMPUTED_VALUE"""),6050682)</f>
        <v>6050682</v>
      </c>
      <c r="G387" s="5">
        <f t="shared" ref="G387:G450" ca="1" si="18">(E388-E387)/E387</f>
        <v>2.42546740778171E-2</v>
      </c>
      <c r="H387" s="14">
        <f t="shared" ref="H387:H450" si="19">YEAR(A387)</f>
        <v>2017</v>
      </c>
      <c r="I387" s="5">
        <f t="shared" ref="I387:I450" ca="1" si="20">((E387 - B387) / B387)</f>
        <v>-3.0852105778648508E-2</v>
      </c>
      <c r="J387" s="16"/>
    </row>
    <row r="388" spans="1:10" x14ac:dyDescent="0.2">
      <c r="A388" s="3">
        <v>42838</v>
      </c>
      <c r="B388" s="1">
        <f ca="1">IFERROR(__xludf.DUMMYFUNCTION("""COMPUTED_VALUE"""),19.78)</f>
        <v>19.78</v>
      </c>
      <c r="C388" s="1">
        <f ca="1">IFERROR(__xludf.DUMMYFUNCTION("""COMPUTED_VALUE"""),20.49)</f>
        <v>20.49</v>
      </c>
      <c r="D388" s="1">
        <f ca="1">IFERROR(__xludf.DUMMYFUNCTION("""COMPUTED_VALUE"""),19.69)</f>
        <v>19.690000000000001</v>
      </c>
      <c r="E388" s="1">
        <f ca="1">IFERROR(__xludf.DUMMYFUNCTION("""COMPUTED_VALUE"""),20.27)</f>
        <v>20.27</v>
      </c>
      <c r="F388" s="1">
        <f ca="1">IFERROR(__xludf.DUMMYFUNCTION("""COMPUTED_VALUE"""),9284634)</f>
        <v>9284634</v>
      </c>
      <c r="G388" s="5">
        <f t="shared" ca="1" si="18"/>
        <v>-8.3867784903797812E-3</v>
      </c>
      <c r="H388" s="14">
        <f t="shared" si="19"/>
        <v>2017</v>
      </c>
      <c r="I388" s="5">
        <f t="shared" ca="1" si="20"/>
        <v>2.4772497472194056E-2</v>
      </c>
      <c r="J388" s="16"/>
    </row>
    <row r="389" spans="1:10" x14ac:dyDescent="0.2">
      <c r="A389" s="3">
        <v>42842</v>
      </c>
      <c r="B389" s="1">
        <f ca="1">IFERROR(__xludf.DUMMYFUNCTION("""COMPUTED_VALUE"""),20.18)</f>
        <v>20.18</v>
      </c>
      <c r="C389" s="1">
        <f ca="1">IFERROR(__xludf.DUMMYFUNCTION("""COMPUTED_VALUE"""),20.27)</f>
        <v>20.27</v>
      </c>
      <c r="D389" s="1">
        <f ca="1">IFERROR(__xludf.DUMMYFUNCTION("""COMPUTED_VALUE"""),19.91)</f>
        <v>19.91</v>
      </c>
      <c r="E389" s="1">
        <f ca="1">IFERROR(__xludf.DUMMYFUNCTION("""COMPUTED_VALUE"""),20.1)</f>
        <v>20.100000000000001</v>
      </c>
      <c r="F389" s="1">
        <f ca="1">IFERROR(__xludf.DUMMYFUNCTION("""COMPUTED_VALUE"""),4138736)</f>
        <v>4138736</v>
      </c>
      <c r="G389" s="5">
        <f t="shared" ca="1" si="18"/>
        <v>-3.9800995024876539E-3</v>
      </c>
      <c r="H389" s="14">
        <f t="shared" si="19"/>
        <v>2017</v>
      </c>
      <c r="I389" s="5">
        <f t="shared" ca="1" si="20"/>
        <v>-3.9643211100098266E-3</v>
      </c>
      <c r="J389" s="16"/>
    </row>
    <row r="390" spans="1:10" x14ac:dyDescent="0.2">
      <c r="A390" s="3">
        <v>42843</v>
      </c>
      <c r="B390" s="1">
        <f ca="1">IFERROR(__xludf.DUMMYFUNCTION("""COMPUTED_VALUE"""),19.98)</f>
        <v>19.98</v>
      </c>
      <c r="C390" s="1">
        <f ca="1">IFERROR(__xludf.DUMMYFUNCTION("""COMPUTED_VALUE"""),20.06)</f>
        <v>20.059999999999999</v>
      </c>
      <c r="D390" s="1">
        <f ca="1">IFERROR(__xludf.DUMMYFUNCTION("""COMPUTED_VALUE"""),19.86)</f>
        <v>19.86</v>
      </c>
      <c r="E390" s="1">
        <f ca="1">IFERROR(__xludf.DUMMYFUNCTION("""COMPUTED_VALUE"""),20.02)</f>
        <v>20.02</v>
      </c>
      <c r="F390" s="1">
        <f ca="1">IFERROR(__xludf.DUMMYFUNCTION("""COMPUTED_VALUE"""),3035698)</f>
        <v>3035698</v>
      </c>
      <c r="G390" s="5">
        <f t="shared" ca="1" si="18"/>
        <v>1.7482517482517553E-2</v>
      </c>
      <c r="H390" s="14">
        <f t="shared" si="19"/>
        <v>2017</v>
      </c>
      <c r="I390" s="5">
        <f t="shared" ca="1" si="20"/>
        <v>2.0020020020019595E-3</v>
      </c>
      <c r="J390" s="16"/>
    </row>
    <row r="391" spans="1:10" x14ac:dyDescent="0.2">
      <c r="A391" s="3">
        <v>42844</v>
      </c>
      <c r="B391" s="1">
        <f ca="1">IFERROR(__xludf.DUMMYFUNCTION("""COMPUTED_VALUE"""),20.16)</f>
        <v>20.16</v>
      </c>
      <c r="C391" s="1">
        <f ca="1">IFERROR(__xludf.DUMMYFUNCTION("""COMPUTED_VALUE"""),20.44)</f>
        <v>20.440000000000001</v>
      </c>
      <c r="D391" s="1">
        <f ca="1">IFERROR(__xludf.DUMMYFUNCTION("""COMPUTED_VALUE"""),20.14)</f>
        <v>20.14</v>
      </c>
      <c r="E391" s="1">
        <f ca="1">IFERROR(__xludf.DUMMYFUNCTION("""COMPUTED_VALUE"""),20.37)</f>
        <v>20.37</v>
      </c>
      <c r="F391" s="1">
        <f ca="1">IFERROR(__xludf.DUMMYFUNCTION("""COMPUTED_VALUE"""),3898024)</f>
        <v>3898024</v>
      </c>
      <c r="G391" s="5">
        <f t="shared" ca="1" si="18"/>
        <v>-9.8183603338242165E-3</v>
      </c>
      <c r="H391" s="14">
        <f t="shared" si="19"/>
        <v>2017</v>
      </c>
      <c r="I391" s="5">
        <f t="shared" ca="1" si="20"/>
        <v>1.0416666666666709E-2</v>
      </c>
      <c r="J391" s="16"/>
    </row>
    <row r="392" spans="1:10" x14ac:dyDescent="0.2">
      <c r="A392" s="3">
        <v>42845</v>
      </c>
      <c r="B392" s="1">
        <f ca="1">IFERROR(__xludf.DUMMYFUNCTION("""COMPUTED_VALUE"""),20.43)</f>
        <v>20.43</v>
      </c>
      <c r="C392" s="1">
        <f ca="1">IFERROR(__xludf.DUMMYFUNCTION("""COMPUTED_VALUE"""),20.61)</f>
        <v>20.61</v>
      </c>
      <c r="D392" s="1">
        <f ca="1">IFERROR(__xludf.DUMMYFUNCTION("""COMPUTED_VALUE"""),20.02)</f>
        <v>20.02</v>
      </c>
      <c r="E392" s="1">
        <f ca="1">IFERROR(__xludf.DUMMYFUNCTION("""COMPUTED_VALUE"""),20.17)</f>
        <v>20.170000000000002</v>
      </c>
      <c r="F392" s="1">
        <f ca="1">IFERROR(__xludf.DUMMYFUNCTION("""COMPUTED_VALUE"""),6149352)</f>
        <v>6149352</v>
      </c>
      <c r="G392" s="5">
        <f t="shared" ca="1" si="18"/>
        <v>9.9157164105106235E-3</v>
      </c>
      <c r="H392" s="14">
        <f t="shared" si="19"/>
        <v>2017</v>
      </c>
      <c r="I392" s="5">
        <f t="shared" ca="1" si="20"/>
        <v>-1.2726382770435536E-2</v>
      </c>
      <c r="J392" s="16"/>
    </row>
    <row r="393" spans="1:10" x14ac:dyDescent="0.2">
      <c r="A393" s="3">
        <v>42846</v>
      </c>
      <c r="B393" s="1">
        <f ca="1">IFERROR(__xludf.DUMMYFUNCTION("""COMPUTED_VALUE"""),20.13)</f>
        <v>20.13</v>
      </c>
      <c r="C393" s="1">
        <f ca="1">IFERROR(__xludf.DUMMYFUNCTION("""COMPUTED_VALUE"""),20.43)</f>
        <v>20.43</v>
      </c>
      <c r="D393" s="1">
        <f ca="1">IFERROR(__xludf.DUMMYFUNCTION("""COMPUTED_VALUE"""),20.03)</f>
        <v>20.03</v>
      </c>
      <c r="E393" s="1">
        <f ca="1">IFERROR(__xludf.DUMMYFUNCTION("""COMPUTED_VALUE"""),20.37)</f>
        <v>20.37</v>
      </c>
      <c r="F393" s="1">
        <f ca="1">IFERROR(__xludf.DUMMYFUNCTION("""COMPUTED_VALUE"""),4509756)</f>
        <v>4509756</v>
      </c>
      <c r="G393" s="5">
        <f t="shared" ca="1" si="18"/>
        <v>8.3456062837505233E-3</v>
      </c>
      <c r="H393" s="14">
        <f t="shared" si="19"/>
        <v>2017</v>
      </c>
      <c r="I393" s="5">
        <f t="shared" ca="1" si="20"/>
        <v>1.1922503725782513E-2</v>
      </c>
      <c r="J393" s="16"/>
    </row>
    <row r="394" spans="1:10" x14ac:dyDescent="0.2">
      <c r="A394" s="3">
        <v>42849</v>
      </c>
      <c r="B394" s="1">
        <f ca="1">IFERROR(__xludf.DUMMYFUNCTION("""COMPUTED_VALUE"""),20.61)</f>
        <v>20.61</v>
      </c>
      <c r="C394" s="1">
        <f ca="1">IFERROR(__xludf.DUMMYFUNCTION("""COMPUTED_VALUE"""),20.7)</f>
        <v>20.7</v>
      </c>
      <c r="D394" s="1">
        <f ca="1">IFERROR(__xludf.DUMMYFUNCTION("""COMPUTED_VALUE"""),20.4)</f>
        <v>20.399999999999999</v>
      </c>
      <c r="E394" s="1">
        <f ca="1">IFERROR(__xludf.DUMMYFUNCTION("""COMPUTED_VALUE"""),20.54)</f>
        <v>20.54</v>
      </c>
      <c r="F394" s="1">
        <f ca="1">IFERROR(__xludf.DUMMYFUNCTION("""COMPUTED_VALUE"""),5083505)</f>
        <v>5083505</v>
      </c>
      <c r="G394" s="5">
        <f t="shared" ca="1" si="18"/>
        <v>1.8500486854917359E-2</v>
      </c>
      <c r="H394" s="14">
        <f t="shared" si="19"/>
        <v>2017</v>
      </c>
      <c r="I394" s="5">
        <f t="shared" ca="1" si="20"/>
        <v>-3.3964095099466417E-3</v>
      </c>
      <c r="J394" s="16"/>
    </row>
    <row r="395" spans="1:10" x14ac:dyDescent="0.2">
      <c r="A395" s="3">
        <v>42850</v>
      </c>
      <c r="B395" s="1">
        <f ca="1">IFERROR(__xludf.DUMMYFUNCTION("""COMPUTED_VALUE"""),20.53)</f>
        <v>20.53</v>
      </c>
      <c r="C395" s="1">
        <f ca="1">IFERROR(__xludf.DUMMYFUNCTION("""COMPUTED_VALUE"""),20.93)</f>
        <v>20.93</v>
      </c>
      <c r="D395" s="1">
        <f ca="1">IFERROR(__xludf.DUMMYFUNCTION("""COMPUTED_VALUE"""),20.39)</f>
        <v>20.39</v>
      </c>
      <c r="E395" s="1">
        <f ca="1">IFERROR(__xludf.DUMMYFUNCTION("""COMPUTED_VALUE"""),20.92)</f>
        <v>20.92</v>
      </c>
      <c r="F395" s="1">
        <f ca="1">IFERROR(__xludf.DUMMYFUNCTION("""COMPUTED_VALUE"""),6737708)</f>
        <v>6737708</v>
      </c>
      <c r="G395" s="5">
        <f t="shared" ca="1" si="18"/>
        <v>-1.1472275334608125E-2</v>
      </c>
      <c r="H395" s="14">
        <f t="shared" si="19"/>
        <v>2017</v>
      </c>
      <c r="I395" s="5">
        <f t="shared" ca="1" si="20"/>
        <v>1.8996590355577232E-2</v>
      </c>
      <c r="J395" s="16"/>
    </row>
    <row r="396" spans="1:10" x14ac:dyDescent="0.2">
      <c r="A396" s="3">
        <v>42851</v>
      </c>
      <c r="B396" s="1">
        <f ca="1">IFERROR(__xludf.DUMMYFUNCTION("""COMPUTED_VALUE"""),20.82)</f>
        <v>20.82</v>
      </c>
      <c r="C396" s="1">
        <f ca="1">IFERROR(__xludf.DUMMYFUNCTION("""COMPUTED_VALUE"""),20.97)</f>
        <v>20.97</v>
      </c>
      <c r="D396" s="1">
        <f ca="1">IFERROR(__xludf.DUMMYFUNCTION("""COMPUTED_VALUE"""),20.6)</f>
        <v>20.6</v>
      </c>
      <c r="E396" s="1">
        <f ca="1">IFERROR(__xludf.DUMMYFUNCTION("""COMPUTED_VALUE"""),20.68)</f>
        <v>20.68</v>
      </c>
      <c r="F396" s="1">
        <f ca="1">IFERROR(__xludf.DUMMYFUNCTION("""COMPUTED_VALUE"""),4695044)</f>
        <v>4695044</v>
      </c>
      <c r="G396" s="5">
        <f t="shared" ca="1" si="18"/>
        <v>-4.8355899419729896E-3</v>
      </c>
      <c r="H396" s="14">
        <f t="shared" si="19"/>
        <v>2017</v>
      </c>
      <c r="I396" s="5">
        <f t="shared" ca="1" si="20"/>
        <v>-6.7243035542747633E-3</v>
      </c>
      <c r="J396" s="16"/>
    </row>
    <row r="397" spans="1:10" x14ac:dyDescent="0.2">
      <c r="A397" s="3">
        <v>42852</v>
      </c>
      <c r="B397" s="1">
        <f ca="1">IFERROR(__xludf.DUMMYFUNCTION("""COMPUTED_VALUE"""),20.78)</f>
        <v>20.78</v>
      </c>
      <c r="C397" s="1">
        <f ca="1">IFERROR(__xludf.DUMMYFUNCTION("""COMPUTED_VALUE"""),20.87)</f>
        <v>20.87</v>
      </c>
      <c r="D397" s="1">
        <f ca="1">IFERROR(__xludf.DUMMYFUNCTION("""COMPUTED_VALUE"""),20.5)</f>
        <v>20.5</v>
      </c>
      <c r="E397" s="1">
        <f ca="1">IFERROR(__xludf.DUMMYFUNCTION("""COMPUTED_VALUE"""),20.58)</f>
        <v>20.58</v>
      </c>
      <c r="F397" s="1">
        <f ca="1">IFERROR(__xludf.DUMMYFUNCTION("""COMPUTED_VALUE"""),3468569)</f>
        <v>3468569</v>
      </c>
      <c r="G397" s="5">
        <f t="shared" ca="1" si="18"/>
        <v>1.7492711370262537E-2</v>
      </c>
      <c r="H397" s="14">
        <f t="shared" si="19"/>
        <v>2017</v>
      </c>
      <c r="I397" s="5">
        <f t="shared" ca="1" si="20"/>
        <v>-9.6246390760347852E-3</v>
      </c>
      <c r="J397" s="16"/>
    </row>
    <row r="398" spans="1:10" x14ac:dyDescent="0.2">
      <c r="A398" s="3">
        <v>42853</v>
      </c>
      <c r="B398" s="1">
        <f ca="1">IFERROR(__xludf.DUMMYFUNCTION("""COMPUTED_VALUE"""),20.66)</f>
        <v>20.66</v>
      </c>
      <c r="C398" s="1">
        <f ca="1">IFERROR(__xludf.DUMMYFUNCTION("""COMPUTED_VALUE"""),20.99)</f>
        <v>20.99</v>
      </c>
      <c r="D398" s="1">
        <f ca="1">IFERROR(__xludf.DUMMYFUNCTION("""COMPUTED_VALUE"""),20.53)</f>
        <v>20.53</v>
      </c>
      <c r="E398" s="1">
        <f ca="1">IFERROR(__xludf.DUMMYFUNCTION("""COMPUTED_VALUE"""),20.94)</f>
        <v>20.94</v>
      </c>
      <c r="F398" s="1">
        <f ca="1">IFERROR(__xludf.DUMMYFUNCTION("""COMPUTED_VALUE"""),4505478)</f>
        <v>4505478</v>
      </c>
      <c r="G398" s="5">
        <f t="shared" ca="1" si="18"/>
        <v>2.7698185291308419E-2</v>
      </c>
      <c r="H398" s="14">
        <f t="shared" si="19"/>
        <v>2017</v>
      </c>
      <c r="I398" s="5">
        <f t="shared" ca="1" si="20"/>
        <v>1.3552758954501507E-2</v>
      </c>
      <c r="J398" s="16"/>
    </row>
    <row r="399" spans="1:10" x14ac:dyDescent="0.2">
      <c r="A399" s="3">
        <v>42856</v>
      </c>
      <c r="B399" s="1">
        <f ca="1">IFERROR(__xludf.DUMMYFUNCTION("""COMPUTED_VALUE"""),20.99)</f>
        <v>20.99</v>
      </c>
      <c r="C399" s="1">
        <f ca="1">IFERROR(__xludf.DUMMYFUNCTION("""COMPUTED_VALUE"""),21.82)</f>
        <v>21.82</v>
      </c>
      <c r="D399" s="1">
        <f ca="1">IFERROR(__xludf.DUMMYFUNCTION("""COMPUTED_VALUE"""),20.99)</f>
        <v>20.99</v>
      </c>
      <c r="E399" s="1">
        <f ca="1">IFERROR(__xludf.DUMMYFUNCTION("""COMPUTED_VALUE"""),21.52)</f>
        <v>21.52</v>
      </c>
      <c r="F399" s="1">
        <f ca="1">IFERROR(__xludf.DUMMYFUNCTION("""COMPUTED_VALUE"""),8829565)</f>
        <v>8829565</v>
      </c>
      <c r="G399" s="5">
        <f t="shared" ca="1" si="18"/>
        <v>-1.2081784386617007E-2</v>
      </c>
      <c r="H399" s="14">
        <f t="shared" si="19"/>
        <v>2017</v>
      </c>
      <c r="I399" s="5">
        <f t="shared" ca="1" si="20"/>
        <v>2.5250119104335455E-2</v>
      </c>
      <c r="J399" s="16"/>
    </row>
    <row r="400" spans="1:10" x14ac:dyDescent="0.2">
      <c r="A400" s="3">
        <v>42857</v>
      </c>
      <c r="B400" s="1">
        <f ca="1">IFERROR(__xludf.DUMMYFUNCTION("""COMPUTED_VALUE"""),21.6)</f>
        <v>21.6</v>
      </c>
      <c r="C400" s="1">
        <f ca="1">IFERROR(__xludf.DUMMYFUNCTION("""COMPUTED_VALUE"""),21.84)</f>
        <v>21.84</v>
      </c>
      <c r="D400" s="1">
        <f ca="1">IFERROR(__xludf.DUMMYFUNCTION("""COMPUTED_VALUE"""),21.1)</f>
        <v>21.1</v>
      </c>
      <c r="E400" s="1">
        <f ca="1">IFERROR(__xludf.DUMMYFUNCTION("""COMPUTED_VALUE"""),21.26)</f>
        <v>21.26</v>
      </c>
      <c r="F400" s="1">
        <f ca="1">IFERROR(__xludf.DUMMYFUNCTION("""COMPUTED_VALUE"""),5382777)</f>
        <v>5382777</v>
      </c>
      <c r="G400" s="5">
        <f t="shared" ca="1" si="18"/>
        <v>-2.492944496707437E-2</v>
      </c>
      <c r="H400" s="14">
        <f t="shared" si="19"/>
        <v>2017</v>
      </c>
      <c r="I400" s="5">
        <f t="shared" ca="1" si="20"/>
        <v>-1.5740740740740732E-2</v>
      </c>
      <c r="J400" s="16"/>
    </row>
    <row r="401" spans="1:10" x14ac:dyDescent="0.2">
      <c r="A401" s="3">
        <v>42858</v>
      </c>
      <c r="B401" s="1">
        <f ca="1">IFERROR(__xludf.DUMMYFUNCTION("""COMPUTED_VALUE"""),21.18)</f>
        <v>21.18</v>
      </c>
      <c r="C401" s="1">
        <f ca="1">IFERROR(__xludf.DUMMYFUNCTION("""COMPUTED_VALUE"""),21.44)</f>
        <v>21.44</v>
      </c>
      <c r="D401" s="1">
        <f ca="1">IFERROR(__xludf.DUMMYFUNCTION("""COMPUTED_VALUE"""),20.7)</f>
        <v>20.7</v>
      </c>
      <c r="E401" s="1">
        <f ca="1">IFERROR(__xludf.DUMMYFUNCTION("""COMPUTED_VALUE"""),20.73)</f>
        <v>20.73</v>
      </c>
      <c r="F401" s="1">
        <f ca="1">IFERROR(__xludf.DUMMYFUNCTION("""COMPUTED_VALUE"""),7133365)</f>
        <v>7133365</v>
      </c>
      <c r="G401" s="5">
        <f t="shared" ca="1" si="18"/>
        <v>-4.968644476603961E-2</v>
      </c>
      <c r="H401" s="14">
        <f t="shared" si="19"/>
        <v>2017</v>
      </c>
      <c r="I401" s="5">
        <f t="shared" ca="1" si="20"/>
        <v>-2.1246458923512714E-2</v>
      </c>
      <c r="J401" s="16"/>
    </row>
    <row r="402" spans="1:10" x14ac:dyDescent="0.2">
      <c r="A402" s="3">
        <v>42859</v>
      </c>
      <c r="B402" s="1">
        <f ca="1">IFERROR(__xludf.DUMMYFUNCTION("""COMPUTED_VALUE"""),20.5)</f>
        <v>20.5</v>
      </c>
      <c r="C402" s="1">
        <f ca="1">IFERROR(__xludf.DUMMYFUNCTION("""COMPUTED_VALUE"""),20.52)</f>
        <v>20.52</v>
      </c>
      <c r="D402" s="1">
        <f ca="1">IFERROR(__xludf.DUMMYFUNCTION("""COMPUTED_VALUE"""),19.38)</f>
        <v>19.38</v>
      </c>
      <c r="E402" s="1">
        <f ca="1">IFERROR(__xludf.DUMMYFUNCTION("""COMPUTED_VALUE"""),19.7)</f>
        <v>19.7</v>
      </c>
      <c r="F402" s="1">
        <f ca="1">IFERROR(__xludf.DUMMYFUNCTION("""COMPUTED_VALUE"""),14152008)</f>
        <v>14152008</v>
      </c>
      <c r="G402" s="5">
        <f t="shared" ca="1" si="18"/>
        <v>4.3654822335025351E-2</v>
      </c>
      <c r="H402" s="14">
        <f t="shared" si="19"/>
        <v>2017</v>
      </c>
      <c r="I402" s="5">
        <f t="shared" ca="1" si="20"/>
        <v>-3.9024390243902474E-2</v>
      </c>
      <c r="J402" s="16"/>
    </row>
    <row r="403" spans="1:10" x14ac:dyDescent="0.2">
      <c r="A403" s="3">
        <v>42860</v>
      </c>
      <c r="B403" s="1">
        <f ca="1">IFERROR(__xludf.DUMMYFUNCTION("""COMPUTED_VALUE"""),19.87)</f>
        <v>19.87</v>
      </c>
      <c r="C403" s="1">
        <f ca="1">IFERROR(__xludf.DUMMYFUNCTION("""COMPUTED_VALUE"""),20.57)</f>
        <v>20.57</v>
      </c>
      <c r="D403" s="1">
        <f ca="1">IFERROR(__xludf.DUMMYFUNCTION("""COMPUTED_VALUE"""),19.79)</f>
        <v>19.79</v>
      </c>
      <c r="E403" s="1">
        <f ca="1">IFERROR(__xludf.DUMMYFUNCTION("""COMPUTED_VALUE"""),20.56)</f>
        <v>20.56</v>
      </c>
      <c r="F403" s="1">
        <f ca="1">IFERROR(__xludf.DUMMYFUNCTION("""COMPUTED_VALUE"""),8177347)</f>
        <v>8177347</v>
      </c>
      <c r="G403" s="5">
        <f t="shared" ca="1" si="18"/>
        <v>-3.8910505836575048E-3</v>
      </c>
      <c r="H403" s="14">
        <f t="shared" si="19"/>
        <v>2017</v>
      </c>
      <c r="I403" s="5">
        <f t="shared" ca="1" si="20"/>
        <v>3.4725717161549957E-2</v>
      </c>
      <c r="J403" s="16"/>
    </row>
    <row r="404" spans="1:10" x14ac:dyDescent="0.2">
      <c r="A404" s="3">
        <v>42863</v>
      </c>
      <c r="B404" s="1">
        <f ca="1">IFERROR(__xludf.DUMMYFUNCTION("""COMPUTED_VALUE"""),20.73)</f>
        <v>20.73</v>
      </c>
      <c r="C404" s="1">
        <f ca="1">IFERROR(__xludf.DUMMYFUNCTION("""COMPUTED_VALUE"""),20.92)</f>
        <v>20.92</v>
      </c>
      <c r="D404" s="1">
        <f ca="1">IFERROR(__xludf.DUMMYFUNCTION("""COMPUTED_VALUE"""),20.39)</f>
        <v>20.39</v>
      </c>
      <c r="E404" s="1">
        <f ca="1">IFERROR(__xludf.DUMMYFUNCTION("""COMPUTED_VALUE"""),20.48)</f>
        <v>20.48</v>
      </c>
      <c r="F404" s="1">
        <f ca="1">IFERROR(__xludf.DUMMYFUNCTION("""COMPUTED_VALUE"""),7006471)</f>
        <v>7006471</v>
      </c>
      <c r="G404" s="5">
        <f t="shared" ca="1" si="18"/>
        <v>4.5898437500000062E-2</v>
      </c>
      <c r="H404" s="14">
        <f t="shared" si="19"/>
        <v>2017</v>
      </c>
      <c r="I404" s="5">
        <f t="shared" ca="1" si="20"/>
        <v>-1.2059816690786299E-2</v>
      </c>
      <c r="J404" s="16"/>
    </row>
    <row r="405" spans="1:10" x14ac:dyDescent="0.2">
      <c r="A405" s="3">
        <v>42864</v>
      </c>
      <c r="B405" s="1">
        <f ca="1">IFERROR(__xludf.DUMMYFUNCTION("""COMPUTED_VALUE"""),20.63)</f>
        <v>20.63</v>
      </c>
      <c r="C405" s="1">
        <f ca="1">IFERROR(__xludf.DUMMYFUNCTION("""COMPUTED_VALUE"""),21.47)</f>
        <v>21.47</v>
      </c>
      <c r="D405" s="1">
        <f ca="1">IFERROR(__xludf.DUMMYFUNCTION("""COMPUTED_VALUE"""),20.61)</f>
        <v>20.61</v>
      </c>
      <c r="E405" s="1">
        <f ca="1">IFERROR(__xludf.DUMMYFUNCTION("""COMPUTED_VALUE"""),21.42)</f>
        <v>21.42</v>
      </c>
      <c r="F405" s="1">
        <f ca="1">IFERROR(__xludf.DUMMYFUNCTION("""COMPUTED_VALUE"""),9676537)</f>
        <v>9676537</v>
      </c>
      <c r="G405" s="5">
        <f t="shared" ca="1" si="18"/>
        <v>1.2138188608776751E-2</v>
      </c>
      <c r="H405" s="14">
        <f t="shared" si="19"/>
        <v>2017</v>
      </c>
      <c r="I405" s="5">
        <f t="shared" ca="1" si="20"/>
        <v>3.8293746970431544E-2</v>
      </c>
      <c r="J405" s="16"/>
    </row>
    <row r="406" spans="1:10" x14ac:dyDescent="0.2">
      <c r="A406" s="3">
        <v>42865</v>
      </c>
      <c r="B406" s="1">
        <f ca="1">IFERROR(__xludf.DUMMYFUNCTION("""COMPUTED_VALUE"""),21.44)</f>
        <v>21.44</v>
      </c>
      <c r="C406" s="1">
        <f ca="1">IFERROR(__xludf.DUMMYFUNCTION("""COMPUTED_VALUE"""),21.7)</f>
        <v>21.7</v>
      </c>
      <c r="D406" s="1">
        <f ca="1">IFERROR(__xludf.DUMMYFUNCTION("""COMPUTED_VALUE"""),21.21)</f>
        <v>21.21</v>
      </c>
      <c r="E406" s="1">
        <f ca="1">IFERROR(__xludf.DUMMYFUNCTION("""COMPUTED_VALUE"""),21.68)</f>
        <v>21.68</v>
      </c>
      <c r="F406" s="1">
        <f ca="1">IFERROR(__xludf.DUMMYFUNCTION("""COMPUTED_VALUE"""),5741607)</f>
        <v>5741607</v>
      </c>
      <c r="G406" s="5">
        <f t="shared" ca="1" si="18"/>
        <v>-6.4575645756457826E-3</v>
      </c>
      <c r="H406" s="14">
        <f t="shared" si="19"/>
        <v>2017</v>
      </c>
      <c r="I406" s="5">
        <f t="shared" ca="1" si="20"/>
        <v>1.1194029850746195E-2</v>
      </c>
      <c r="J406" s="16"/>
    </row>
    <row r="407" spans="1:10" x14ac:dyDescent="0.2">
      <c r="A407" s="3">
        <v>42866</v>
      </c>
      <c r="B407" s="1">
        <f ca="1">IFERROR(__xludf.DUMMYFUNCTION("""COMPUTED_VALUE"""),21.56)</f>
        <v>21.56</v>
      </c>
      <c r="C407" s="1">
        <f ca="1">IFERROR(__xludf.DUMMYFUNCTION("""COMPUTED_VALUE"""),21.73)</f>
        <v>21.73</v>
      </c>
      <c r="D407" s="1">
        <f ca="1">IFERROR(__xludf.DUMMYFUNCTION("""COMPUTED_VALUE"""),21.31)</f>
        <v>21.31</v>
      </c>
      <c r="E407" s="1">
        <f ca="1">IFERROR(__xludf.DUMMYFUNCTION("""COMPUTED_VALUE"""),21.54)</f>
        <v>21.54</v>
      </c>
      <c r="F407" s="1">
        <f ca="1">IFERROR(__xludf.DUMMYFUNCTION("""COMPUTED_VALUE"""),4753819)</f>
        <v>4753819</v>
      </c>
      <c r="G407" s="5">
        <f t="shared" ca="1" si="18"/>
        <v>5.1067780872794538E-3</v>
      </c>
      <c r="H407" s="14">
        <f t="shared" si="19"/>
        <v>2017</v>
      </c>
      <c r="I407" s="5">
        <f t="shared" ca="1" si="20"/>
        <v>-9.2764378478662221E-4</v>
      </c>
      <c r="J407" s="16"/>
    </row>
    <row r="408" spans="1:10" x14ac:dyDescent="0.2">
      <c r="A408" s="3">
        <v>42867</v>
      </c>
      <c r="B408" s="1">
        <f ca="1">IFERROR(__xludf.DUMMYFUNCTION("""COMPUTED_VALUE"""),21.7)</f>
        <v>21.7</v>
      </c>
      <c r="C408" s="1">
        <f ca="1">IFERROR(__xludf.DUMMYFUNCTION("""COMPUTED_VALUE"""),21.8)</f>
        <v>21.8</v>
      </c>
      <c r="D408" s="1">
        <f ca="1">IFERROR(__xludf.DUMMYFUNCTION("""COMPUTED_VALUE"""),21.44)</f>
        <v>21.44</v>
      </c>
      <c r="E408" s="1">
        <f ca="1">IFERROR(__xludf.DUMMYFUNCTION("""COMPUTED_VALUE"""),21.65)</f>
        <v>21.65</v>
      </c>
      <c r="F408" s="1">
        <f ca="1">IFERROR(__xludf.DUMMYFUNCTION("""COMPUTED_VALUE"""),4121612)</f>
        <v>4121612</v>
      </c>
      <c r="G408" s="5">
        <f t="shared" ca="1" si="18"/>
        <v>-2.7251732101616622E-2</v>
      </c>
      <c r="H408" s="14">
        <f t="shared" si="19"/>
        <v>2017</v>
      </c>
      <c r="I408" s="5">
        <f t="shared" ca="1" si="20"/>
        <v>-2.304147465437821E-3</v>
      </c>
      <c r="J408" s="16"/>
    </row>
    <row r="409" spans="1:10" x14ac:dyDescent="0.2">
      <c r="A409" s="3">
        <v>42870</v>
      </c>
      <c r="B409" s="1">
        <f ca="1">IFERROR(__xludf.DUMMYFUNCTION("""COMPUTED_VALUE"""),21.23)</f>
        <v>21.23</v>
      </c>
      <c r="C409" s="1">
        <f ca="1">IFERROR(__xludf.DUMMYFUNCTION("""COMPUTED_VALUE"""),21.35)</f>
        <v>21.35</v>
      </c>
      <c r="D409" s="1">
        <f ca="1">IFERROR(__xludf.DUMMYFUNCTION("""COMPUTED_VALUE"""),20.84)</f>
        <v>20.84</v>
      </c>
      <c r="E409" s="1">
        <f ca="1">IFERROR(__xludf.DUMMYFUNCTION("""COMPUTED_VALUE"""),21.06)</f>
        <v>21.06</v>
      </c>
      <c r="F409" s="1">
        <f ca="1">IFERROR(__xludf.DUMMYFUNCTION("""COMPUTED_VALUE"""),7622004)</f>
        <v>7622004</v>
      </c>
      <c r="G409" s="5">
        <f t="shared" ca="1" si="18"/>
        <v>3.3238366571700043E-3</v>
      </c>
      <c r="H409" s="14">
        <f t="shared" si="19"/>
        <v>2017</v>
      </c>
      <c r="I409" s="5">
        <f t="shared" ca="1" si="20"/>
        <v>-8.0075365049459123E-3</v>
      </c>
      <c r="J409" s="16"/>
    </row>
    <row r="410" spans="1:10" x14ac:dyDescent="0.2">
      <c r="A410" s="3">
        <v>42871</v>
      </c>
      <c r="B410" s="1">
        <f ca="1">IFERROR(__xludf.DUMMYFUNCTION("""COMPUTED_VALUE"""),21.17)</f>
        <v>21.17</v>
      </c>
      <c r="C410" s="1">
        <f ca="1">IFERROR(__xludf.DUMMYFUNCTION("""COMPUTED_VALUE"""),21.34)</f>
        <v>21.34</v>
      </c>
      <c r="D410" s="1">
        <f ca="1">IFERROR(__xludf.DUMMYFUNCTION("""COMPUTED_VALUE"""),21.01)</f>
        <v>21.01</v>
      </c>
      <c r="E410" s="1">
        <f ca="1">IFERROR(__xludf.DUMMYFUNCTION("""COMPUTED_VALUE"""),21.13)</f>
        <v>21.13</v>
      </c>
      <c r="F410" s="1">
        <f ca="1">IFERROR(__xludf.DUMMYFUNCTION("""COMPUTED_VALUE"""),4152484)</f>
        <v>4152484</v>
      </c>
      <c r="G410" s="5">
        <f t="shared" ca="1" si="18"/>
        <v>-3.4074775201135776E-2</v>
      </c>
      <c r="H410" s="14">
        <f t="shared" si="19"/>
        <v>2017</v>
      </c>
      <c r="I410" s="5">
        <f t="shared" ca="1" si="20"/>
        <v>-1.8894662257913414E-3</v>
      </c>
      <c r="J410" s="16"/>
    </row>
    <row r="411" spans="1:10" x14ac:dyDescent="0.2">
      <c r="A411" s="3">
        <v>42872</v>
      </c>
      <c r="B411" s="1">
        <f ca="1">IFERROR(__xludf.DUMMYFUNCTION("""COMPUTED_VALUE"""),20.96)</f>
        <v>20.96</v>
      </c>
      <c r="C411" s="1">
        <f ca="1">IFERROR(__xludf.DUMMYFUNCTION("""COMPUTED_VALUE"""),20.98)</f>
        <v>20.98</v>
      </c>
      <c r="D411" s="1">
        <f ca="1">IFERROR(__xludf.DUMMYFUNCTION("""COMPUTED_VALUE"""),20.37)</f>
        <v>20.37</v>
      </c>
      <c r="E411" s="1">
        <f ca="1">IFERROR(__xludf.DUMMYFUNCTION("""COMPUTED_VALUE"""),20.41)</f>
        <v>20.41</v>
      </c>
      <c r="F411" s="1">
        <f ca="1">IFERROR(__xludf.DUMMYFUNCTION("""COMPUTED_VALUE"""),6711940)</f>
        <v>6711940</v>
      </c>
      <c r="G411" s="5">
        <f t="shared" ca="1" si="18"/>
        <v>2.253797158255761E-2</v>
      </c>
      <c r="H411" s="14">
        <f t="shared" si="19"/>
        <v>2017</v>
      </c>
      <c r="I411" s="5">
        <f t="shared" ca="1" si="20"/>
        <v>-2.6240458015267209E-2</v>
      </c>
      <c r="J411" s="16"/>
    </row>
    <row r="412" spans="1:10" x14ac:dyDescent="0.2">
      <c r="A412" s="3">
        <v>42873</v>
      </c>
      <c r="B412" s="1">
        <f ca="1">IFERROR(__xludf.DUMMYFUNCTION("""COMPUTED_VALUE"""),20.47)</f>
        <v>20.47</v>
      </c>
      <c r="C412" s="1">
        <f ca="1">IFERROR(__xludf.DUMMYFUNCTION("""COMPUTED_VALUE"""),20.93)</f>
        <v>20.93</v>
      </c>
      <c r="D412" s="1">
        <f ca="1">IFERROR(__xludf.DUMMYFUNCTION("""COMPUTED_VALUE"""),20.35)</f>
        <v>20.350000000000001</v>
      </c>
      <c r="E412" s="1">
        <f ca="1">IFERROR(__xludf.DUMMYFUNCTION("""COMPUTED_VALUE"""),20.87)</f>
        <v>20.87</v>
      </c>
      <c r="F412" s="1">
        <f ca="1">IFERROR(__xludf.DUMMYFUNCTION("""COMPUTED_VALUE"""),5653801)</f>
        <v>5653801</v>
      </c>
      <c r="G412" s="5">
        <f t="shared" ca="1" si="18"/>
        <v>-7.1873502635362782E-3</v>
      </c>
      <c r="H412" s="14">
        <f t="shared" si="19"/>
        <v>2017</v>
      </c>
      <c r="I412" s="5">
        <f t="shared" ca="1" si="20"/>
        <v>1.9540791402051887E-2</v>
      </c>
      <c r="J412" s="16"/>
    </row>
    <row r="413" spans="1:10" x14ac:dyDescent="0.2">
      <c r="A413" s="3">
        <v>42874</v>
      </c>
      <c r="B413" s="1">
        <f ca="1">IFERROR(__xludf.DUMMYFUNCTION("""COMPUTED_VALUE"""),21.03)</f>
        <v>21.03</v>
      </c>
      <c r="C413" s="1">
        <f ca="1">IFERROR(__xludf.DUMMYFUNCTION("""COMPUTED_VALUE"""),21.1)</f>
        <v>21.1</v>
      </c>
      <c r="D413" s="1">
        <f ca="1">IFERROR(__xludf.DUMMYFUNCTION("""COMPUTED_VALUE"""),20.68)</f>
        <v>20.68</v>
      </c>
      <c r="E413" s="1">
        <f ca="1">IFERROR(__xludf.DUMMYFUNCTION("""COMPUTED_VALUE"""),20.72)</f>
        <v>20.72</v>
      </c>
      <c r="F413" s="1">
        <f ca="1">IFERROR(__xludf.DUMMYFUNCTION("""COMPUTED_VALUE"""),4687572)</f>
        <v>4687572</v>
      </c>
      <c r="G413" s="5">
        <f t="shared" ca="1" si="18"/>
        <v>-1.4478764478763314E-3</v>
      </c>
      <c r="H413" s="14">
        <f t="shared" si="19"/>
        <v>2017</v>
      </c>
      <c r="I413" s="5">
        <f t="shared" ca="1" si="20"/>
        <v>-1.474084640989074E-2</v>
      </c>
      <c r="J413" s="16"/>
    </row>
    <row r="414" spans="1:10" x14ac:dyDescent="0.2">
      <c r="A414" s="3">
        <v>42877</v>
      </c>
      <c r="B414" s="1">
        <f ca="1">IFERROR(__xludf.DUMMYFUNCTION("""COMPUTED_VALUE"""),20.85)</f>
        <v>20.85</v>
      </c>
      <c r="C414" s="1">
        <f ca="1">IFERROR(__xludf.DUMMYFUNCTION("""COMPUTED_VALUE"""),20.96)</f>
        <v>20.96</v>
      </c>
      <c r="D414" s="1">
        <f ca="1">IFERROR(__xludf.DUMMYFUNCTION("""COMPUTED_VALUE"""),20.45)</f>
        <v>20.45</v>
      </c>
      <c r="E414" s="1">
        <f ca="1">IFERROR(__xludf.DUMMYFUNCTION("""COMPUTED_VALUE"""),20.69)</f>
        <v>20.69</v>
      </c>
      <c r="F414" s="1">
        <f ca="1">IFERROR(__xludf.DUMMYFUNCTION("""COMPUTED_VALUE"""),4329178)</f>
        <v>4329178</v>
      </c>
      <c r="G414" s="5">
        <f t="shared" ca="1" si="18"/>
        <v>-2.0782986950217481E-2</v>
      </c>
      <c r="H414" s="14">
        <f t="shared" si="19"/>
        <v>2017</v>
      </c>
      <c r="I414" s="5">
        <f t="shared" ca="1" si="20"/>
        <v>-7.6738609112709895E-3</v>
      </c>
      <c r="J414" s="16"/>
    </row>
    <row r="415" spans="1:10" x14ac:dyDescent="0.2">
      <c r="A415" s="3">
        <v>42878</v>
      </c>
      <c r="B415" s="1">
        <f ca="1">IFERROR(__xludf.DUMMYFUNCTION("""COMPUTED_VALUE"""),20.7)</f>
        <v>20.7</v>
      </c>
      <c r="C415" s="1">
        <f ca="1">IFERROR(__xludf.DUMMYFUNCTION("""COMPUTED_VALUE"""),20.72)</f>
        <v>20.72</v>
      </c>
      <c r="D415" s="1">
        <f ca="1">IFERROR(__xludf.DUMMYFUNCTION("""COMPUTED_VALUE"""),20.23)</f>
        <v>20.23</v>
      </c>
      <c r="E415" s="1">
        <f ca="1">IFERROR(__xludf.DUMMYFUNCTION("""COMPUTED_VALUE"""),20.26)</f>
        <v>20.260000000000002</v>
      </c>
      <c r="F415" s="1">
        <f ca="1">IFERROR(__xludf.DUMMYFUNCTION("""COMPUTED_VALUE"""),4318354)</f>
        <v>4318354</v>
      </c>
      <c r="G415" s="5">
        <f t="shared" ca="1" si="18"/>
        <v>2.0730503455083815E-2</v>
      </c>
      <c r="H415" s="14">
        <f t="shared" si="19"/>
        <v>2017</v>
      </c>
      <c r="I415" s="5">
        <f t="shared" ca="1" si="20"/>
        <v>-2.1256038647342886E-2</v>
      </c>
      <c r="J415" s="16"/>
    </row>
    <row r="416" spans="1:10" x14ac:dyDescent="0.2">
      <c r="A416" s="3">
        <v>42879</v>
      </c>
      <c r="B416" s="1">
        <f ca="1">IFERROR(__xludf.DUMMYFUNCTION("""COMPUTED_VALUE"""),20.43)</f>
        <v>20.43</v>
      </c>
      <c r="C416" s="1">
        <f ca="1">IFERROR(__xludf.DUMMYFUNCTION("""COMPUTED_VALUE"""),20.73)</f>
        <v>20.73</v>
      </c>
      <c r="D416" s="1">
        <f ca="1">IFERROR(__xludf.DUMMYFUNCTION("""COMPUTED_VALUE"""),20.36)</f>
        <v>20.36</v>
      </c>
      <c r="E416" s="1">
        <f ca="1">IFERROR(__xludf.DUMMYFUNCTION("""COMPUTED_VALUE"""),20.68)</f>
        <v>20.68</v>
      </c>
      <c r="F416" s="1">
        <f ca="1">IFERROR(__xludf.DUMMYFUNCTION("""COMPUTED_VALUE"""),5041692)</f>
        <v>5041692</v>
      </c>
      <c r="G416" s="5">
        <f t="shared" ca="1" si="18"/>
        <v>2.1276595744680913E-2</v>
      </c>
      <c r="H416" s="14">
        <f t="shared" si="19"/>
        <v>2017</v>
      </c>
      <c r="I416" s="5">
        <f t="shared" ca="1" si="20"/>
        <v>1.2236906510034264E-2</v>
      </c>
      <c r="J416" s="16"/>
    </row>
    <row r="417" spans="1:10" x14ac:dyDescent="0.2">
      <c r="A417" s="3">
        <v>42880</v>
      </c>
      <c r="B417" s="1">
        <f ca="1">IFERROR(__xludf.DUMMYFUNCTION("""COMPUTED_VALUE"""),20.73)</f>
        <v>20.73</v>
      </c>
      <c r="C417" s="1">
        <f ca="1">IFERROR(__xludf.DUMMYFUNCTION("""COMPUTED_VALUE"""),21.13)</f>
        <v>21.13</v>
      </c>
      <c r="D417" s="1">
        <f ca="1">IFERROR(__xludf.DUMMYFUNCTION("""COMPUTED_VALUE"""),20.52)</f>
        <v>20.52</v>
      </c>
      <c r="E417" s="1">
        <f ca="1">IFERROR(__xludf.DUMMYFUNCTION("""COMPUTED_VALUE"""),21.12)</f>
        <v>21.12</v>
      </c>
      <c r="F417" s="1">
        <f ca="1">IFERROR(__xludf.DUMMYFUNCTION("""COMPUTED_VALUE"""),5013963)</f>
        <v>5013963</v>
      </c>
      <c r="G417" s="5">
        <f t="shared" ca="1" si="18"/>
        <v>2.6515151515151453E-2</v>
      </c>
      <c r="H417" s="14">
        <f t="shared" si="19"/>
        <v>2017</v>
      </c>
      <c r="I417" s="5">
        <f t="shared" ca="1" si="20"/>
        <v>1.8813314037626656E-2</v>
      </c>
      <c r="J417" s="16"/>
    </row>
    <row r="418" spans="1:10" x14ac:dyDescent="0.2">
      <c r="A418" s="3">
        <v>42881</v>
      </c>
      <c r="B418" s="1">
        <f ca="1">IFERROR(__xludf.DUMMYFUNCTION("""COMPUTED_VALUE"""),21.15)</f>
        <v>21.15</v>
      </c>
      <c r="C418" s="1">
        <f ca="1">IFERROR(__xludf.DUMMYFUNCTION("""COMPUTED_VALUE"""),21.7)</f>
        <v>21.7</v>
      </c>
      <c r="D418" s="1">
        <f ca="1">IFERROR(__xludf.DUMMYFUNCTION("""COMPUTED_VALUE"""),21.09)</f>
        <v>21.09</v>
      </c>
      <c r="E418" s="1">
        <f ca="1">IFERROR(__xludf.DUMMYFUNCTION("""COMPUTED_VALUE"""),21.68)</f>
        <v>21.68</v>
      </c>
      <c r="F418" s="1">
        <f ca="1">IFERROR(__xludf.DUMMYFUNCTION("""COMPUTED_VALUE"""),7802199)</f>
        <v>7802199</v>
      </c>
      <c r="G418" s="5">
        <f t="shared" ca="1" si="18"/>
        <v>3.0442804428044288E-2</v>
      </c>
      <c r="H418" s="14">
        <f t="shared" si="19"/>
        <v>2017</v>
      </c>
      <c r="I418" s="5">
        <f t="shared" ca="1" si="20"/>
        <v>2.5059101654846393E-2</v>
      </c>
      <c r="J418" s="16"/>
    </row>
    <row r="419" spans="1:10" x14ac:dyDescent="0.2">
      <c r="A419" s="3">
        <v>42885</v>
      </c>
      <c r="B419" s="1">
        <f ca="1">IFERROR(__xludf.DUMMYFUNCTION("""COMPUTED_VALUE"""),21.73)</f>
        <v>21.73</v>
      </c>
      <c r="C419" s="1">
        <f ca="1">IFERROR(__xludf.DUMMYFUNCTION("""COMPUTED_VALUE"""),22.42)</f>
        <v>22.42</v>
      </c>
      <c r="D419" s="1">
        <f ca="1">IFERROR(__xludf.DUMMYFUNCTION("""COMPUTED_VALUE"""),21.72)</f>
        <v>21.72</v>
      </c>
      <c r="E419" s="1">
        <f ca="1">IFERROR(__xludf.DUMMYFUNCTION("""COMPUTED_VALUE"""),22.34)</f>
        <v>22.34</v>
      </c>
      <c r="F419" s="1">
        <f ca="1">IFERROR(__xludf.DUMMYFUNCTION("""COMPUTED_VALUE"""),7782916)</f>
        <v>7782916</v>
      </c>
      <c r="G419" s="5">
        <f t="shared" ca="1" si="18"/>
        <v>1.7457475380483464E-2</v>
      </c>
      <c r="H419" s="14">
        <f t="shared" si="19"/>
        <v>2017</v>
      </c>
      <c r="I419" s="5">
        <f t="shared" ca="1" si="20"/>
        <v>2.8071790151863757E-2</v>
      </c>
      <c r="J419" s="16"/>
    </row>
    <row r="420" spans="1:10" x14ac:dyDescent="0.2">
      <c r="A420" s="3">
        <v>42886</v>
      </c>
      <c r="B420" s="1">
        <f ca="1">IFERROR(__xludf.DUMMYFUNCTION("""COMPUTED_VALUE"""),22.51)</f>
        <v>22.51</v>
      </c>
      <c r="C420" s="1">
        <f ca="1">IFERROR(__xludf.DUMMYFUNCTION("""COMPUTED_VALUE"""),22.86)</f>
        <v>22.86</v>
      </c>
      <c r="D420" s="1">
        <f ca="1">IFERROR(__xludf.DUMMYFUNCTION("""COMPUTED_VALUE"""),22.34)</f>
        <v>22.34</v>
      </c>
      <c r="E420" s="1">
        <f ca="1">IFERROR(__xludf.DUMMYFUNCTION("""COMPUTED_VALUE"""),22.73)</f>
        <v>22.73</v>
      </c>
      <c r="F420" s="1">
        <f ca="1">IFERROR(__xludf.DUMMYFUNCTION("""COMPUTED_VALUE"""),9963444)</f>
        <v>9963444</v>
      </c>
      <c r="G420" s="5">
        <f t="shared" ca="1" si="18"/>
        <v>-1.7597888253409215E-3</v>
      </c>
      <c r="H420" s="14">
        <f t="shared" si="19"/>
        <v>2017</v>
      </c>
      <c r="I420" s="5">
        <f t="shared" ca="1" si="20"/>
        <v>9.7734340293202503E-3</v>
      </c>
      <c r="J420" s="16"/>
    </row>
    <row r="421" spans="1:10" x14ac:dyDescent="0.2">
      <c r="A421" s="3">
        <v>42887</v>
      </c>
      <c r="B421" s="1">
        <f ca="1">IFERROR(__xludf.DUMMYFUNCTION("""COMPUTED_VALUE"""),22.93)</f>
        <v>22.93</v>
      </c>
      <c r="C421" s="1">
        <f ca="1">IFERROR(__xludf.DUMMYFUNCTION("""COMPUTED_VALUE"""),22.99)</f>
        <v>22.99</v>
      </c>
      <c r="D421" s="1">
        <f ca="1">IFERROR(__xludf.DUMMYFUNCTION("""COMPUTED_VALUE"""),22.49)</f>
        <v>22.49</v>
      </c>
      <c r="E421" s="1">
        <f ca="1">IFERROR(__xludf.DUMMYFUNCTION("""COMPUTED_VALUE"""),22.69)</f>
        <v>22.69</v>
      </c>
      <c r="F421" s="1">
        <f ca="1">IFERROR(__xludf.DUMMYFUNCTION("""COMPUTED_VALUE"""),7607996)</f>
        <v>7607996</v>
      </c>
      <c r="G421" s="5">
        <f t="shared" ca="1" si="18"/>
        <v>-1.3221683561040606E-3</v>
      </c>
      <c r="H421" s="14">
        <f t="shared" si="19"/>
        <v>2017</v>
      </c>
      <c r="I421" s="5">
        <f t="shared" ca="1" si="20"/>
        <v>-1.0466637592673286E-2</v>
      </c>
      <c r="J421" s="16"/>
    </row>
    <row r="422" spans="1:10" x14ac:dyDescent="0.2">
      <c r="A422" s="3">
        <v>42888</v>
      </c>
      <c r="B422" s="1">
        <f ca="1">IFERROR(__xludf.DUMMYFUNCTION("""COMPUTED_VALUE"""),22.65)</f>
        <v>22.65</v>
      </c>
      <c r="C422" s="1">
        <f ca="1">IFERROR(__xludf.DUMMYFUNCTION("""COMPUTED_VALUE"""),22.86)</f>
        <v>22.86</v>
      </c>
      <c r="D422" s="1">
        <f ca="1">IFERROR(__xludf.DUMMYFUNCTION("""COMPUTED_VALUE"""),22.4)</f>
        <v>22.4</v>
      </c>
      <c r="E422" s="1">
        <f ca="1">IFERROR(__xludf.DUMMYFUNCTION("""COMPUTED_VALUE"""),22.66)</f>
        <v>22.66</v>
      </c>
      <c r="F422" s="1">
        <f ca="1">IFERROR(__xludf.DUMMYFUNCTION("""COMPUTED_VALUE"""),5590239)</f>
        <v>5590239</v>
      </c>
      <c r="G422" s="5">
        <f t="shared" ca="1" si="18"/>
        <v>2.1624007060900195E-2</v>
      </c>
      <c r="H422" s="14">
        <f t="shared" si="19"/>
        <v>2017</v>
      </c>
      <c r="I422" s="5">
        <f t="shared" ca="1" si="20"/>
        <v>4.4150110375282845E-4</v>
      </c>
      <c r="J422" s="16"/>
    </row>
    <row r="423" spans="1:10" x14ac:dyDescent="0.2">
      <c r="A423" s="3">
        <v>42891</v>
      </c>
      <c r="B423" s="1">
        <f ca="1">IFERROR(__xludf.DUMMYFUNCTION("""COMPUTED_VALUE"""),22.57)</f>
        <v>22.57</v>
      </c>
      <c r="C423" s="1">
        <f ca="1">IFERROR(__xludf.DUMMYFUNCTION("""COMPUTED_VALUE"""),23.23)</f>
        <v>23.23</v>
      </c>
      <c r="D423" s="1">
        <f ca="1">IFERROR(__xludf.DUMMYFUNCTION("""COMPUTED_VALUE"""),22.28)</f>
        <v>22.28</v>
      </c>
      <c r="E423" s="1">
        <f ca="1">IFERROR(__xludf.DUMMYFUNCTION("""COMPUTED_VALUE"""),23.15)</f>
        <v>23.15</v>
      </c>
      <c r="F423" s="1">
        <f ca="1">IFERROR(__xludf.DUMMYFUNCTION("""COMPUTED_VALUE"""),6784368)</f>
        <v>6784368</v>
      </c>
      <c r="G423" s="5">
        <f t="shared" ca="1" si="18"/>
        <v>1.5982721382289462E-2</v>
      </c>
      <c r="H423" s="14">
        <f t="shared" si="19"/>
        <v>2017</v>
      </c>
      <c r="I423" s="5">
        <f t="shared" ca="1" si="20"/>
        <v>2.5697828976517425E-2</v>
      </c>
      <c r="J423" s="16"/>
    </row>
    <row r="424" spans="1:10" x14ac:dyDescent="0.2">
      <c r="A424" s="3">
        <v>42892</v>
      </c>
      <c r="B424" s="1">
        <f ca="1">IFERROR(__xludf.DUMMYFUNCTION("""COMPUTED_VALUE"""),22.98)</f>
        <v>22.98</v>
      </c>
      <c r="C424" s="1">
        <f ca="1">IFERROR(__xludf.DUMMYFUNCTION("""COMPUTED_VALUE"""),23.97)</f>
        <v>23.97</v>
      </c>
      <c r="D424" s="1">
        <f ca="1">IFERROR(__xludf.DUMMYFUNCTION("""COMPUTED_VALUE"""),22.66)</f>
        <v>22.66</v>
      </c>
      <c r="E424" s="1">
        <f ca="1">IFERROR(__xludf.DUMMYFUNCTION("""COMPUTED_VALUE"""),23.52)</f>
        <v>23.52</v>
      </c>
      <c r="F424" s="1">
        <f ca="1">IFERROR(__xludf.DUMMYFUNCTION("""COMPUTED_VALUE"""),11086798)</f>
        <v>11086798</v>
      </c>
      <c r="G424" s="5">
        <f t="shared" ca="1" si="18"/>
        <v>1.9557823129251736E-2</v>
      </c>
      <c r="H424" s="14">
        <f t="shared" si="19"/>
        <v>2017</v>
      </c>
      <c r="I424" s="5">
        <f t="shared" ca="1" si="20"/>
        <v>2.3498694516971241E-2</v>
      </c>
      <c r="J424" s="16"/>
    </row>
    <row r="425" spans="1:10" x14ac:dyDescent="0.2">
      <c r="A425" s="3">
        <v>42893</v>
      </c>
      <c r="B425" s="1">
        <f ca="1">IFERROR(__xludf.DUMMYFUNCTION("""COMPUTED_VALUE"""),23.76)</f>
        <v>23.76</v>
      </c>
      <c r="C425" s="1">
        <f ca="1">IFERROR(__xludf.DUMMYFUNCTION("""COMPUTED_VALUE"""),24.03)</f>
        <v>24.03</v>
      </c>
      <c r="D425" s="1">
        <f ca="1">IFERROR(__xludf.DUMMYFUNCTION("""COMPUTED_VALUE"""),23.68)</f>
        <v>23.68</v>
      </c>
      <c r="E425" s="1">
        <f ca="1">IFERROR(__xludf.DUMMYFUNCTION("""COMPUTED_VALUE"""),23.98)</f>
        <v>23.98</v>
      </c>
      <c r="F425" s="1">
        <f ca="1">IFERROR(__xludf.DUMMYFUNCTION("""COMPUTED_VALUE"""),9397959)</f>
        <v>9397959</v>
      </c>
      <c r="G425" s="5">
        <f t="shared" ca="1" si="18"/>
        <v>2.8773978315262773E-2</v>
      </c>
      <c r="H425" s="14">
        <f t="shared" si="19"/>
        <v>2017</v>
      </c>
      <c r="I425" s="5">
        <f t="shared" ca="1" si="20"/>
        <v>9.2592592592592102E-3</v>
      </c>
      <c r="J425" s="16"/>
    </row>
    <row r="426" spans="1:10" x14ac:dyDescent="0.2">
      <c r="A426" s="3">
        <v>42894</v>
      </c>
      <c r="B426" s="1">
        <f ca="1">IFERROR(__xludf.DUMMYFUNCTION("""COMPUTED_VALUE"""),24.25)</f>
        <v>24.25</v>
      </c>
      <c r="C426" s="1">
        <f ca="1">IFERROR(__xludf.DUMMYFUNCTION("""COMPUTED_VALUE"""),24.79)</f>
        <v>24.79</v>
      </c>
      <c r="D426" s="1">
        <f ca="1">IFERROR(__xludf.DUMMYFUNCTION("""COMPUTED_VALUE"""),24.01)</f>
        <v>24.01</v>
      </c>
      <c r="E426" s="1">
        <f ca="1">IFERROR(__xludf.DUMMYFUNCTION("""COMPUTED_VALUE"""),24.67)</f>
        <v>24.67</v>
      </c>
      <c r="F426" s="1">
        <f ca="1">IFERROR(__xludf.DUMMYFUNCTION("""COMPUTED_VALUE"""),9061496)</f>
        <v>9061496</v>
      </c>
      <c r="G426" s="5">
        <f t="shared" ca="1" si="18"/>
        <v>-3.4454803404945333E-2</v>
      </c>
      <c r="H426" s="14">
        <f t="shared" si="19"/>
        <v>2017</v>
      </c>
      <c r="I426" s="5">
        <f t="shared" ca="1" si="20"/>
        <v>1.731958762886605E-2</v>
      </c>
      <c r="J426" s="16"/>
    </row>
    <row r="427" spans="1:10" x14ac:dyDescent="0.2">
      <c r="A427" s="3">
        <v>42895</v>
      </c>
      <c r="B427" s="1">
        <f ca="1">IFERROR(__xludf.DUMMYFUNCTION("""COMPUTED_VALUE"""),24.96)</f>
        <v>24.96</v>
      </c>
      <c r="C427" s="1">
        <f ca="1">IFERROR(__xludf.DUMMYFUNCTION("""COMPUTED_VALUE"""),25.12)</f>
        <v>25.12</v>
      </c>
      <c r="D427" s="1">
        <f ca="1">IFERROR(__xludf.DUMMYFUNCTION("""COMPUTED_VALUE"""),23.65)</f>
        <v>23.65</v>
      </c>
      <c r="E427" s="1">
        <f ca="1">IFERROR(__xludf.DUMMYFUNCTION("""COMPUTED_VALUE"""),23.82)</f>
        <v>23.82</v>
      </c>
      <c r="F427" s="1">
        <f ca="1">IFERROR(__xludf.DUMMYFUNCTION("""COMPUTED_VALUE"""),17261435)</f>
        <v>17261435</v>
      </c>
      <c r="G427" s="5">
        <f t="shared" ca="1" si="18"/>
        <v>4.617968094038599E-3</v>
      </c>
      <c r="H427" s="14">
        <f t="shared" si="19"/>
        <v>2017</v>
      </c>
      <c r="I427" s="5">
        <f t="shared" ca="1" si="20"/>
        <v>-4.5673076923076941E-2</v>
      </c>
      <c r="J427" s="16"/>
    </row>
    <row r="428" spans="1:10" x14ac:dyDescent="0.2">
      <c r="A428" s="3">
        <v>42898</v>
      </c>
      <c r="B428" s="1">
        <f ca="1">IFERROR(__xludf.DUMMYFUNCTION("""COMPUTED_VALUE"""),23.87)</f>
        <v>23.87</v>
      </c>
      <c r="C428" s="1">
        <f ca="1">IFERROR(__xludf.DUMMYFUNCTION("""COMPUTED_VALUE"""),24.3)</f>
        <v>24.3</v>
      </c>
      <c r="D428" s="1">
        <f ca="1">IFERROR(__xludf.DUMMYFUNCTION("""COMPUTED_VALUE"""),23.37)</f>
        <v>23.37</v>
      </c>
      <c r="E428" s="1">
        <f ca="1">IFERROR(__xludf.DUMMYFUNCTION("""COMPUTED_VALUE"""),23.93)</f>
        <v>23.93</v>
      </c>
      <c r="F428" s="1">
        <f ca="1">IFERROR(__xludf.DUMMYFUNCTION("""COMPUTED_VALUE"""),10517660)</f>
        <v>10517660</v>
      </c>
      <c r="G428" s="5">
        <f t="shared" ca="1" si="18"/>
        <v>4.7221061429168369E-2</v>
      </c>
      <c r="H428" s="14">
        <f t="shared" si="19"/>
        <v>2017</v>
      </c>
      <c r="I428" s="5">
        <f t="shared" ca="1" si="20"/>
        <v>2.5136154168411695E-3</v>
      </c>
      <c r="J428" s="16"/>
    </row>
    <row r="429" spans="1:10" x14ac:dyDescent="0.2">
      <c r="A429" s="3">
        <v>42899</v>
      </c>
      <c r="B429" s="1">
        <f ca="1">IFERROR(__xludf.DUMMYFUNCTION("""COMPUTED_VALUE"""),24.51)</f>
        <v>24.51</v>
      </c>
      <c r="C429" s="1">
        <f ca="1">IFERROR(__xludf.DUMMYFUNCTION("""COMPUTED_VALUE"""),25.07)</f>
        <v>25.07</v>
      </c>
      <c r="D429" s="1">
        <f ca="1">IFERROR(__xludf.DUMMYFUNCTION("""COMPUTED_VALUE"""),24.44)</f>
        <v>24.44</v>
      </c>
      <c r="E429" s="1">
        <f ca="1">IFERROR(__xludf.DUMMYFUNCTION("""COMPUTED_VALUE"""),25.06)</f>
        <v>25.06</v>
      </c>
      <c r="F429" s="1">
        <f ca="1">IFERROR(__xludf.DUMMYFUNCTION("""COMPUTED_VALUE"""),11807920)</f>
        <v>11807920</v>
      </c>
      <c r="G429" s="5">
        <f t="shared" ca="1" si="18"/>
        <v>1.2769353551476469E-2</v>
      </c>
      <c r="H429" s="14">
        <f t="shared" si="19"/>
        <v>2017</v>
      </c>
      <c r="I429" s="5">
        <f t="shared" ca="1" si="20"/>
        <v>2.2439820481436033E-2</v>
      </c>
      <c r="J429" s="16"/>
    </row>
    <row r="430" spans="1:10" x14ac:dyDescent="0.2">
      <c r="A430" s="3">
        <v>42900</v>
      </c>
      <c r="B430" s="1">
        <f ca="1">IFERROR(__xludf.DUMMYFUNCTION("""COMPUTED_VALUE"""),25.41)</f>
        <v>25.41</v>
      </c>
      <c r="C430" s="1">
        <f ca="1">IFERROR(__xludf.DUMMYFUNCTION("""COMPUTED_VALUE"""),25.62)</f>
        <v>25.62</v>
      </c>
      <c r="D430" s="1">
        <f ca="1">IFERROR(__xludf.DUMMYFUNCTION("""COMPUTED_VALUE"""),25.09)</f>
        <v>25.09</v>
      </c>
      <c r="E430" s="1">
        <f ca="1">IFERROR(__xludf.DUMMYFUNCTION("""COMPUTED_VALUE"""),25.38)</f>
        <v>25.38</v>
      </c>
      <c r="F430" s="1">
        <f ca="1">IFERROR(__xludf.DUMMYFUNCTION("""COMPUTED_VALUE"""),12818429)</f>
        <v>12818429</v>
      </c>
      <c r="G430" s="5">
        <f t="shared" ca="1" si="18"/>
        <v>-1.4184397163120546E-2</v>
      </c>
      <c r="H430" s="14">
        <f t="shared" si="19"/>
        <v>2017</v>
      </c>
      <c r="I430" s="5">
        <f t="shared" ca="1" si="20"/>
        <v>-1.1806375442739527E-3</v>
      </c>
      <c r="J430" s="16"/>
    </row>
    <row r="431" spans="1:10" x14ac:dyDescent="0.2">
      <c r="A431" s="3">
        <v>42901</v>
      </c>
      <c r="B431" s="1">
        <f ca="1">IFERROR(__xludf.DUMMYFUNCTION("""COMPUTED_VALUE"""),24.83)</f>
        <v>24.83</v>
      </c>
      <c r="C431" s="1">
        <f ca="1">IFERROR(__xludf.DUMMYFUNCTION("""COMPUTED_VALUE"""),25.03)</f>
        <v>25.03</v>
      </c>
      <c r="D431" s="1">
        <f ca="1">IFERROR(__xludf.DUMMYFUNCTION("""COMPUTED_VALUE"""),24.43)</f>
        <v>24.43</v>
      </c>
      <c r="E431" s="1">
        <f ca="1">IFERROR(__xludf.DUMMYFUNCTION("""COMPUTED_VALUE"""),25.02)</f>
        <v>25.02</v>
      </c>
      <c r="F431" s="1">
        <f ca="1">IFERROR(__xludf.DUMMYFUNCTION("""COMPUTED_VALUE"""),10426469)</f>
        <v>10426469</v>
      </c>
      <c r="G431" s="5">
        <f t="shared" ca="1" si="18"/>
        <v>-1.0391686650679377E-2</v>
      </c>
      <c r="H431" s="14">
        <f t="shared" si="19"/>
        <v>2017</v>
      </c>
      <c r="I431" s="5">
        <f t="shared" ca="1" si="20"/>
        <v>7.6520338300443535E-3</v>
      </c>
      <c r="J431" s="16"/>
    </row>
    <row r="432" spans="1:10" x14ac:dyDescent="0.2">
      <c r="A432" s="3">
        <v>42902</v>
      </c>
      <c r="B432" s="1">
        <f ca="1">IFERROR(__xludf.DUMMYFUNCTION("""COMPUTED_VALUE"""),25.2)</f>
        <v>25.2</v>
      </c>
      <c r="C432" s="1">
        <f ca="1">IFERROR(__xludf.DUMMYFUNCTION("""COMPUTED_VALUE"""),25.2)</f>
        <v>25.2</v>
      </c>
      <c r="D432" s="1">
        <f ca="1">IFERROR(__xludf.DUMMYFUNCTION("""COMPUTED_VALUE"""),24.67)</f>
        <v>24.67</v>
      </c>
      <c r="E432" s="1">
        <f ca="1">IFERROR(__xludf.DUMMYFUNCTION("""COMPUTED_VALUE"""),24.76)</f>
        <v>24.76</v>
      </c>
      <c r="F432" s="1">
        <f ca="1">IFERROR(__xludf.DUMMYFUNCTION("""COMPUTED_VALUE"""),6730973)</f>
        <v>6730973</v>
      </c>
      <c r="G432" s="5">
        <f t="shared" ca="1" si="18"/>
        <v>-4.4426494345720102E-3</v>
      </c>
      <c r="H432" s="14">
        <f t="shared" si="19"/>
        <v>2017</v>
      </c>
      <c r="I432" s="5">
        <f t="shared" ca="1" si="20"/>
        <v>-1.7460317460317371E-2</v>
      </c>
      <c r="J432" s="16"/>
    </row>
    <row r="433" spans="1:10" x14ac:dyDescent="0.2">
      <c r="A433" s="3">
        <v>42905</v>
      </c>
      <c r="B433" s="1">
        <f ca="1">IFERROR(__xludf.DUMMYFUNCTION("""COMPUTED_VALUE"""),25)</f>
        <v>25</v>
      </c>
      <c r="C433" s="1">
        <f ca="1">IFERROR(__xludf.DUMMYFUNCTION("""COMPUTED_VALUE"""),25.11)</f>
        <v>25.11</v>
      </c>
      <c r="D433" s="1">
        <f ca="1">IFERROR(__xludf.DUMMYFUNCTION("""COMPUTED_VALUE"""),24.52)</f>
        <v>24.52</v>
      </c>
      <c r="E433" s="1">
        <f ca="1">IFERROR(__xludf.DUMMYFUNCTION("""COMPUTED_VALUE"""),24.65)</f>
        <v>24.65</v>
      </c>
      <c r="F433" s="1">
        <f ca="1">IFERROR(__xludf.DUMMYFUNCTION("""COMPUTED_VALUE"""),6549332)</f>
        <v>6549332</v>
      </c>
      <c r="G433" s="5">
        <f t="shared" ca="1" si="18"/>
        <v>6.8965517241380003E-3</v>
      </c>
      <c r="H433" s="14">
        <f t="shared" si="19"/>
        <v>2017</v>
      </c>
      <c r="I433" s="5">
        <f t="shared" ca="1" si="20"/>
        <v>-1.4000000000000058E-2</v>
      </c>
      <c r="J433" s="16"/>
    </row>
    <row r="434" spans="1:10" x14ac:dyDescent="0.2">
      <c r="A434" s="3">
        <v>42906</v>
      </c>
      <c r="B434" s="1">
        <f ca="1">IFERROR(__xludf.DUMMYFUNCTION("""COMPUTED_VALUE"""),25.11)</f>
        <v>25.11</v>
      </c>
      <c r="C434" s="1">
        <f ca="1">IFERROR(__xludf.DUMMYFUNCTION("""COMPUTED_VALUE"""),25.26)</f>
        <v>25.26</v>
      </c>
      <c r="D434" s="1">
        <f ca="1">IFERROR(__xludf.DUMMYFUNCTION("""COMPUTED_VALUE"""),24.65)</f>
        <v>24.65</v>
      </c>
      <c r="E434" s="1">
        <f ca="1">IFERROR(__xludf.DUMMYFUNCTION("""COMPUTED_VALUE"""),24.82)</f>
        <v>24.82</v>
      </c>
      <c r="F434" s="1">
        <f ca="1">IFERROR(__xludf.DUMMYFUNCTION("""COMPUTED_VALUE"""),7438701)</f>
        <v>7438701</v>
      </c>
      <c r="G434" s="5">
        <f t="shared" ca="1" si="18"/>
        <v>1.0878323932312634E-2</v>
      </c>
      <c r="H434" s="14">
        <f t="shared" si="19"/>
        <v>2017</v>
      </c>
      <c r="I434" s="5">
        <f t="shared" ca="1" si="20"/>
        <v>-1.1549183592194312E-2</v>
      </c>
      <c r="J434" s="16"/>
    </row>
    <row r="435" spans="1:10" x14ac:dyDescent="0.2">
      <c r="A435" s="3">
        <v>42907</v>
      </c>
      <c r="B435" s="1">
        <f ca="1">IFERROR(__xludf.DUMMYFUNCTION("""COMPUTED_VALUE"""),24.96)</f>
        <v>24.96</v>
      </c>
      <c r="C435" s="1">
        <f ca="1">IFERROR(__xludf.DUMMYFUNCTION("""COMPUTED_VALUE"""),25.13)</f>
        <v>25.13</v>
      </c>
      <c r="D435" s="1">
        <f ca="1">IFERROR(__xludf.DUMMYFUNCTION("""COMPUTED_VALUE"""),24.53)</f>
        <v>24.53</v>
      </c>
      <c r="E435" s="1">
        <f ca="1">IFERROR(__xludf.DUMMYFUNCTION("""COMPUTED_VALUE"""),25.09)</f>
        <v>25.09</v>
      </c>
      <c r="F435" s="1">
        <f ca="1">IFERROR(__xludf.DUMMYFUNCTION("""COMPUTED_VALUE"""),4923210)</f>
        <v>4923210</v>
      </c>
      <c r="G435" s="5">
        <f t="shared" ca="1" si="18"/>
        <v>1.67397369469909E-2</v>
      </c>
      <c r="H435" s="14">
        <f t="shared" si="19"/>
        <v>2017</v>
      </c>
      <c r="I435" s="5">
        <f t="shared" ca="1" si="20"/>
        <v>5.2083333333332931E-3</v>
      </c>
      <c r="J435" s="16"/>
    </row>
    <row r="436" spans="1:10" x14ac:dyDescent="0.2">
      <c r="A436" s="3">
        <v>42908</v>
      </c>
      <c r="B436" s="1">
        <f ca="1">IFERROR(__xludf.DUMMYFUNCTION("""COMPUTED_VALUE"""),25.2)</f>
        <v>25.2</v>
      </c>
      <c r="C436" s="1">
        <f ca="1">IFERROR(__xludf.DUMMYFUNCTION("""COMPUTED_VALUE"""),25.67)</f>
        <v>25.67</v>
      </c>
      <c r="D436" s="1">
        <f ca="1">IFERROR(__xludf.DUMMYFUNCTION("""COMPUTED_VALUE"""),24.9)</f>
        <v>24.9</v>
      </c>
      <c r="E436" s="1">
        <f ca="1">IFERROR(__xludf.DUMMYFUNCTION("""COMPUTED_VALUE"""),25.51)</f>
        <v>25.51</v>
      </c>
      <c r="F436" s="1">
        <f ca="1">IFERROR(__xludf.DUMMYFUNCTION("""COMPUTED_VALUE"""),7529778)</f>
        <v>7529778</v>
      </c>
      <c r="G436" s="5">
        <f t="shared" ca="1" si="18"/>
        <v>1.9600156801253296E-3</v>
      </c>
      <c r="H436" s="14">
        <f t="shared" si="19"/>
        <v>2017</v>
      </c>
      <c r="I436" s="5">
        <f t="shared" ca="1" si="20"/>
        <v>1.2301587301587391E-2</v>
      </c>
      <c r="J436" s="16"/>
    </row>
    <row r="437" spans="1:10" x14ac:dyDescent="0.2">
      <c r="A437" s="3">
        <v>42909</v>
      </c>
      <c r="B437" s="1">
        <f ca="1">IFERROR(__xludf.DUMMYFUNCTION("""COMPUTED_VALUE"""),25.5)</f>
        <v>25.5</v>
      </c>
      <c r="C437" s="1">
        <f ca="1">IFERROR(__xludf.DUMMYFUNCTION("""COMPUTED_VALUE"""),25.8)</f>
        <v>25.8</v>
      </c>
      <c r="D437" s="1">
        <f ca="1">IFERROR(__xludf.DUMMYFUNCTION("""COMPUTED_VALUE"""),25.29)</f>
        <v>25.29</v>
      </c>
      <c r="E437" s="1">
        <f ca="1">IFERROR(__xludf.DUMMYFUNCTION("""COMPUTED_VALUE"""),25.56)</f>
        <v>25.56</v>
      </c>
      <c r="F437" s="1">
        <f ca="1">IFERROR(__xludf.DUMMYFUNCTION("""COMPUTED_VALUE"""),6445758)</f>
        <v>6445758</v>
      </c>
      <c r="G437" s="5">
        <f t="shared" ca="1" si="18"/>
        <v>-1.5258215962441198E-2</v>
      </c>
      <c r="H437" s="14">
        <f t="shared" si="19"/>
        <v>2017</v>
      </c>
      <c r="I437" s="5">
        <f t="shared" ca="1" si="20"/>
        <v>2.3529411764705382E-3</v>
      </c>
      <c r="J437" s="16"/>
    </row>
    <row r="438" spans="1:10" x14ac:dyDescent="0.2">
      <c r="A438" s="3">
        <v>42912</v>
      </c>
      <c r="B438" s="1">
        <f ca="1">IFERROR(__xludf.DUMMYFUNCTION("""COMPUTED_VALUE"""),25.78)</f>
        <v>25.78</v>
      </c>
      <c r="C438" s="1">
        <f ca="1">IFERROR(__xludf.DUMMYFUNCTION("""COMPUTED_VALUE"""),25.8)</f>
        <v>25.8</v>
      </c>
      <c r="D438" s="1">
        <f ca="1">IFERROR(__xludf.DUMMYFUNCTION("""COMPUTED_VALUE"""),24.87)</f>
        <v>24.87</v>
      </c>
      <c r="E438" s="1">
        <f ca="1">IFERROR(__xludf.DUMMYFUNCTION("""COMPUTED_VALUE"""),25.17)</f>
        <v>25.17</v>
      </c>
      <c r="F438" s="1">
        <f ca="1">IFERROR(__xludf.DUMMYFUNCTION("""COMPUTED_VALUE"""),6604099)</f>
        <v>6604099</v>
      </c>
      <c r="G438" s="5">
        <f t="shared" ca="1" si="18"/>
        <v>-4.0127135478744594E-2</v>
      </c>
      <c r="H438" s="14">
        <f t="shared" si="19"/>
        <v>2017</v>
      </c>
      <c r="I438" s="5">
        <f t="shared" ca="1" si="20"/>
        <v>-2.3661753297129533E-2</v>
      </c>
      <c r="J438" s="16"/>
    </row>
    <row r="439" spans="1:10" x14ac:dyDescent="0.2">
      <c r="A439" s="3">
        <v>42913</v>
      </c>
      <c r="B439" s="1">
        <f ca="1">IFERROR(__xludf.DUMMYFUNCTION("""COMPUTED_VALUE"""),25.09)</f>
        <v>25.09</v>
      </c>
      <c r="C439" s="1">
        <f ca="1">IFERROR(__xludf.DUMMYFUNCTION("""COMPUTED_VALUE"""),25.09)</f>
        <v>25.09</v>
      </c>
      <c r="D439" s="1">
        <f ca="1">IFERROR(__xludf.DUMMYFUNCTION("""COMPUTED_VALUE"""),24.13)</f>
        <v>24.13</v>
      </c>
      <c r="E439" s="1">
        <f ca="1">IFERROR(__xludf.DUMMYFUNCTION("""COMPUTED_VALUE"""),24.16)</f>
        <v>24.16</v>
      </c>
      <c r="F439" s="1">
        <f ca="1">IFERROR(__xludf.DUMMYFUNCTION("""COMPUTED_VALUE"""),6996399)</f>
        <v>6996399</v>
      </c>
      <c r="G439" s="5">
        <f t="shared" ca="1" si="18"/>
        <v>2.4420529801324496E-2</v>
      </c>
      <c r="H439" s="14">
        <f t="shared" si="19"/>
        <v>2017</v>
      </c>
      <c r="I439" s="5">
        <f t="shared" ca="1" si="20"/>
        <v>-3.706656038262255E-2</v>
      </c>
      <c r="J439" s="16"/>
    </row>
    <row r="440" spans="1:10" x14ac:dyDescent="0.2">
      <c r="A440" s="3">
        <v>42914</v>
      </c>
      <c r="B440" s="1">
        <f ca="1">IFERROR(__xludf.DUMMYFUNCTION("""COMPUTED_VALUE"""),24.45)</f>
        <v>24.45</v>
      </c>
      <c r="C440" s="1">
        <f ca="1">IFERROR(__xludf.DUMMYFUNCTION("""COMPUTED_VALUE"""),24.78)</f>
        <v>24.78</v>
      </c>
      <c r="D440" s="1">
        <f ca="1">IFERROR(__xludf.DUMMYFUNCTION("""COMPUTED_VALUE"""),24.17)</f>
        <v>24.17</v>
      </c>
      <c r="E440" s="1">
        <f ca="1">IFERROR(__xludf.DUMMYFUNCTION("""COMPUTED_VALUE"""),24.75)</f>
        <v>24.75</v>
      </c>
      <c r="F440" s="1">
        <f ca="1">IFERROR(__xludf.DUMMYFUNCTION("""COMPUTED_VALUE"""),6302463)</f>
        <v>6302463</v>
      </c>
      <c r="G440" s="5">
        <f t="shared" ca="1" si="18"/>
        <v>-2.8282828282828253E-2</v>
      </c>
      <c r="H440" s="14">
        <f t="shared" si="19"/>
        <v>2017</v>
      </c>
      <c r="I440" s="5">
        <f t="shared" ca="1" si="20"/>
        <v>1.2269938650306778E-2</v>
      </c>
      <c r="J440" s="16"/>
    </row>
    <row r="441" spans="1:10" x14ac:dyDescent="0.2">
      <c r="A441" s="3">
        <v>42915</v>
      </c>
      <c r="B441" s="1">
        <f ca="1">IFERROR(__xludf.DUMMYFUNCTION("""COMPUTED_VALUE"""),24.71)</f>
        <v>24.71</v>
      </c>
      <c r="C441" s="1">
        <f ca="1">IFERROR(__xludf.DUMMYFUNCTION("""COMPUTED_VALUE"""),24.73)</f>
        <v>24.73</v>
      </c>
      <c r="D441" s="1">
        <f ca="1">IFERROR(__xludf.DUMMYFUNCTION("""COMPUTED_VALUE"""),23.61)</f>
        <v>23.61</v>
      </c>
      <c r="E441" s="1">
        <f ca="1">IFERROR(__xludf.DUMMYFUNCTION("""COMPUTED_VALUE"""),24.05)</f>
        <v>24.05</v>
      </c>
      <c r="F441" s="1">
        <f ca="1">IFERROR(__xludf.DUMMYFUNCTION("""COMPUTED_VALUE"""),8221038)</f>
        <v>8221038</v>
      </c>
      <c r="G441" s="5">
        <f t="shared" ca="1" si="18"/>
        <v>2.4948024948024416E-3</v>
      </c>
      <c r="H441" s="14">
        <f t="shared" si="19"/>
        <v>2017</v>
      </c>
      <c r="I441" s="5">
        <f t="shared" ca="1" si="20"/>
        <v>-2.6709834075273175E-2</v>
      </c>
      <c r="J441" s="16"/>
    </row>
    <row r="442" spans="1:10" x14ac:dyDescent="0.2">
      <c r="A442" s="3">
        <v>42916</v>
      </c>
      <c r="B442" s="1">
        <f ca="1">IFERROR(__xludf.DUMMYFUNCTION("""COMPUTED_VALUE"""),24.25)</f>
        <v>24.25</v>
      </c>
      <c r="C442" s="1">
        <f ca="1">IFERROR(__xludf.DUMMYFUNCTION("""COMPUTED_VALUE"""),24.45)</f>
        <v>24.45</v>
      </c>
      <c r="D442" s="1">
        <f ca="1">IFERROR(__xludf.DUMMYFUNCTION("""COMPUTED_VALUE"""),23.97)</f>
        <v>23.97</v>
      </c>
      <c r="E442" s="1">
        <f ca="1">IFERROR(__xludf.DUMMYFUNCTION("""COMPUTED_VALUE"""),24.11)</f>
        <v>24.11</v>
      </c>
      <c r="F442" s="1">
        <f ca="1">IFERROR(__xludf.DUMMYFUNCTION("""COMPUTED_VALUE"""),5848521)</f>
        <v>5848521</v>
      </c>
      <c r="G442" s="5">
        <f t="shared" ca="1" si="18"/>
        <v>-2.4885939444213932E-2</v>
      </c>
      <c r="H442" s="14">
        <f t="shared" si="19"/>
        <v>2017</v>
      </c>
      <c r="I442" s="5">
        <f t="shared" ca="1" si="20"/>
        <v>-5.7731958762886832E-3</v>
      </c>
      <c r="J442" s="16"/>
    </row>
    <row r="443" spans="1:10" x14ac:dyDescent="0.2">
      <c r="A443" s="3">
        <v>42919</v>
      </c>
      <c r="B443" s="1">
        <f ca="1">IFERROR(__xludf.DUMMYFUNCTION("""COMPUTED_VALUE"""),24.68)</f>
        <v>24.68</v>
      </c>
      <c r="C443" s="1">
        <f ca="1">IFERROR(__xludf.DUMMYFUNCTION("""COMPUTED_VALUE"""),24.76)</f>
        <v>24.76</v>
      </c>
      <c r="D443" s="1">
        <f ca="1">IFERROR(__xludf.DUMMYFUNCTION("""COMPUTED_VALUE"""),23.43)</f>
        <v>23.43</v>
      </c>
      <c r="E443" s="1">
        <f ca="1">IFERROR(__xludf.DUMMYFUNCTION("""COMPUTED_VALUE"""),23.51)</f>
        <v>23.51</v>
      </c>
      <c r="F443" s="1">
        <f ca="1">IFERROR(__xludf.DUMMYFUNCTION("""COMPUTED_VALUE"""),6305401)</f>
        <v>6305401</v>
      </c>
      <c r="G443" s="5">
        <f t="shared" ca="1" si="18"/>
        <v>-7.2309655465759362E-2</v>
      </c>
      <c r="H443" s="14">
        <f t="shared" si="19"/>
        <v>2017</v>
      </c>
      <c r="I443" s="5">
        <f t="shared" ca="1" si="20"/>
        <v>-4.7406807131280315E-2</v>
      </c>
      <c r="J443" s="16"/>
    </row>
    <row r="444" spans="1:10" x14ac:dyDescent="0.2">
      <c r="A444" s="3">
        <v>42921</v>
      </c>
      <c r="B444" s="1">
        <f ca="1">IFERROR(__xludf.DUMMYFUNCTION("""COMPUTED_VALUE"""),23.15)</f>
        <v>23.15</v>
      </c>
      <c r="C444" s="1">
        <f ca="1">IFERROR(__xludf.DUMMYFUNCTION("""COMPUTED_VALUE"""),23.15)</f>
        <v>23.15</v>
      </c>
      <c r="D444" s="1">
        <f ca="1">IFERROR(__xludf.DUMMYFUNCTION("""COMPUTED_VALUE"""),21.76)</f>
        <v>21.76</v>
      </c>
      <c r="E444" s="1">
        <f ca="1">IFERROR(__xludf.DUMMYFUNCTION("""COMPUTED_VALUE"""),21.81)</f>
        <v>21.81</v>
      </c>
      <c r="F444" s="1">
        <f ca="1">IFERROR(__xludf.DUMMYFUNCTION("""COMPUTED_VALUE"""),17046701)</f>
        <v>17046701</v>
      </c>
      <c r="G444" s="5">
        <f t="shared" ca="1" si="18"/>
        <v>-5.5937643282897707E-2</v>
      </c>
      <c r="H444" s="14">
        <f t="shared" si="19"/>
        <v>2017</v>
      </c>
      <c r="I444" s="5">
        <f t="shared" ca="1" si="20"/>
        <v>-5.7883369330453564E-2</v>
      </c>
      <c r="J444" s="16"/>
    </row>
    <row r="445" spans="1:10" x14ac:dyDescent="0.2">
      <c r="A445" s="3">
        <v>42922</v>
      </c>
      <c r="B445" s="1">
        <f ca="1">IFERROR(__xludf.DUMMYFUNCTION("""COMPUTED_VALUE"""),21.15)</f>
        <v>21.15</v>
      </c>
      <c r="C445" s="1">
        <f ca="1">IFERROR(__xludf.DUMMYFUNCTION("""COMPUTED_VALUE"""),21.39)</f>
        <v>21.39</v>
      </c>
      <c r="D445" s="1">
        <f ca="1">IFERROR(__xludf.DUMMYFUNCTION("""COMPUTED_VALUE"""),20.42)</f>
        <v>20.420000000000002</v>
      </c>
      <c r="E445" s="1">
        <f ca="1">IFERROR(__xludf.DUMMYFUNCTION("""COMPUTED_VALUE"""),20.59)</f>
        <v>20.59</v>
      </c>
      <c r="F445" s="1">
        <f ca="1">IFERROR(__xludf.DUMMYFUNCTION("""COMPUTED_VALUE"""),19324495)</f>
        <v>19324495</v>
      </c>
      <c r="G445" s="5">
        <f t="shared" ca="1" si="18"/>
        <v>1.408450704225348E-2</v>
      </c>
      <c r="H445" s="14">
        <f t="shared" si="19"/>
        <v>2017</v>
      </c>
      <c r="I445" s="5">
        <f t="shared" ca="1" si="20"/>
        <v>-2.6477541371158334E-2</v>
      </c>
      <c r="J445" s="16"/>
    </row>
    <row r="446" spans="1:10" x14ac:dyDescent="0.2">
      <c r="A446" s="3">
        <v>42923</v>
      </c>
      <c r="B446" s="1">
        <f ca="1">IFERROR(__xludf.DUMMYFUNCTION("""COMPUTED_VALUE"""),20.9)</f>
        <v>20.9</v>
      </c>
      <c r="C446" s="1">
        <f ca="1">IFERROR(__xludf.DUMMYFUNCTION("""COMPUTED_VALUE"""),21.13)</f>
        <v>21.13</v>
      </c>
      <c r="D446" s="1">
        <f ca="1">IFERROR(__xludf.DUMMYFUNCTION("""COMPUTED_VALUE"""),20.49)</f>
        <v>20.49</v>
      </c>
      <c r="E446" s="1">
        <f ca="1">IFERROR(__xludf.DUMMYFUNCTION("""COMPUTED_VALUE"""),20.88)</f>
        <v>20.88</v>
      </c>
      <c r="F446" s="1">
        <f ca="1">IFERROR(__xludf.DUMMYFUNCTION("""COMPUTED_VALUE"""),14176915)</f>
        <v>14176915</v>
      </c>
      <c r="G446" s="5">
        <f t="shared" ca="1" si="18"/>
        <v>9.0996168582376091E-3</v>
      </c>
      <c r="H446" s="14">
        <f t="shared" si="19"/>
        <v>2017</v>
      </c>
      <c r="I446" s="5">
        <f t="shared" ca="1" si="20"/>
        <v>-9.5693779904304185E-4</v>
      </c>
      <c r="J446" s="16"/>
    </row>
    <row r="447" spans="1:10" x14ac:dyDescent="0.2">
      <c r="A447" s="3">
        <v>42926</v>
      </c>
      <c r="B447" s="1">
        <f ca="1">IFERROR(__xludf.DUMMYFUNCTION("""COMPUTED_VALUE"""),20.86)</f>
        <v>20.86</v>
      </c>
      <c r="C447" s="1">
        <f ca="1">IFERROR(__xludf.DUMMYFUNCTION("""COMPUTED_VALUE"""),21.2)</f>
        <v>21.2</v>
      </c>
      <c r="D447" s="1">
        <f ca="1">IFERROR(__xludf.DUMMYFUNCTION("""COMPUTED_VALUE"""),20.21)</f>
        <v>20.21</v>
      </c>
      <c r="E447" s="1">
        <f ca="1">IFERROR(__xludf.DUMMYFUNCTION("""COMPUTED_VALUE"""),21.07)</f>
        <v>21.07</v>
      </c>
      <c r="F447" s="1">
        <f ca="1">IFERROR(__xludf.DUMMYFUNCTION("""COMPUTED_VALUE"""),13820889)</f>
        <v>13820889</v>
      </c>
      <c r="G447" s="5">
        <f t="shared" ca="1" si="18"/>
        <v>3.512102515424767E-2</v>
      </c>
      <c r="H447" s="14">
        <f t="shared" si="19"/>
        <v>2017</v>
      </c>
      <c r="I447" s="5">
        <f t="shared" ca="1" si="20"/>
        <v>1.0067114093959773E-2</v>
      </c>
      <c r="J447" s="16"/>
    </row>
    <row r="448" spans="1:10" x14ac:dyDescent="0.2">
      <c r="A448" s="3">
        <v>42927</v>
      </c>
      <c r="B448" s="1">
        <f ca="1">IFERROR(__xludf.DUMMYFUNCTION("""COMPUTED_VALUE"""),21.07)</f>
        <v>21.07</v>
      </c>
      <c r="C448" s="1">
        <f ca="1">IFERROR(__xludf.DUMMYFUNCTION("""COMPUTED_VALUE"""),21.82)</f>
        <v>21.82</v>
      </c>
      <c r="D448" s="1">
        <f ca="1">IFERROR(__xludf.DUMMYFUNCTION("""COMPUTED_VALUE"""),20.95)</f>
        <v>20.95</v>
      </c>
      <c r="E448" s="1">
        <f ca="1">IFERROR(__xludf.DUMMYFUNCTION("""COMPUTED_VALUE"""),21.81)</f>
        <v>21.81</v>
      </c>
      <c r="F448" s="1">
        <f ca="1">IFERROR(__xludf.DUMMYFUNCTION("""COMPUTED_VALUE"""),11559402)</f>
        <v>11559402</v>
      </c>
      <c r="G448" s="5">
        <f t="shared" ca="1" si="18"/>
        <v>7.3360843649702039E-3</v>
      </c>
      <c r="H448" s="14">
        <f t="shared" si="19"/>
        <v>2017</v>
      </c>
      <c r="I448" s="5">
        <f t="shared" ca="1" si="20"/>
        <v>3.512102515424767E-2</v>
      </c>
      <c r="J448" s="16"/>
    </row>
    <row r="449" spans="1:10" x14ac:dyDescent="0.2">
      <c r="A449" s="3">
        <v>42928</v>
      </c>
      <c r="B449" s="1">
        <f ca="1">IFERROR(__xludf.DUMMYFUNCTION("""COMPUTED_VALUE"""),22.03)</f>
        <v>22.03</v>
      </c>
      <c r="C449" s="1">
        <f ca="1">IFERROR(__xludf.DUMMYFUNCTION("""COMPUTED_VALUE"""),22.21)</f>
        <v>22.21</v>
      </c>
      <c r="D449" s="1">
        <f ca="1">IFERROR(__xludf.DUMMYFUNCTION("""COMPUTED_VALUE"""),21.63)</f>
        <v>21.63</v>
      </c>
      <c r="E449" s="1">
        <f ca="1">IFERROR(__xludf.DUMMYFUNCTION("""COMPUTED_VALUE"""),21.97)</f>
        <v>21.97</v>
      </c>
      <c r="F449" s="1">
        <f ca="1">IFERROR(__xludf.DUMMYFUNCTION("""COMPUTED_VALUE"""),10346127)</f>
        <v>10346127</v>
      </c>
      <c r="G449" s="5">
        <f t="shared" ca="1" si="18"/>
        <v>-1.8661811561219852E-2</v>
      </c>
      <c r="H449" s="14">
        <f t="shared" si="19"/>
        <v>2017</v>
      </c>
      <c r="I449" s="5">
        <f t="shared" ca="1" si="20"/>
        <v>-2.7235587834771799E-3</v>
      </c>
      <c r="J449" s="16"/>
    </row>
    <row r="450" spans="1:10" x14ac:dyDescent="0.2">
      <c r="A450" s="3">
        <v>42929</v>
      </c>
      <c r="B450" s="1">
        <f ca="1">IFERROR(__xludf.DUMMYFUNCTION("""COMPUTED_VALUE"""),22.01)</f>
        <v>22.01</v>
      </c>
      <c r="C450" s="1">
        <f ca="1">IFERROR(__xludf.DUMMYFUNCTION("""COMPUTED_VALUE"""),22.11)</f>
        <v>22.11</v>
      </c>
      <c r="D450" s="1">
        <f ca="1">IFERROR(__xludf.DUMMYFUNCTION("""COMPUTED_VALUE"""),21.33)</f>
        <v>21.33</v>
      </c>
      <c r="E450" s="1">
        <f ca="1">IFERROR(__xludf.DUMMYFUNCTION("""COMPUTED_VALUE"""),21.56)</f>
        <v>21.56</v>
      </c>
      <c r="F450" s="1">
        <f ca="1">IFERROR(__xludf.DUMMYFUNCTION("""COMPUTED_VALUE"""),8594466)</f>
        <v>8594466</v>
      </c>
      <c r="G450" s="5">
        <f t="shared" ca="1" si="18"/>
        <v>1.3450834879406433E-2</v>
      </c>
      <c r="H450" s="14">
        <f t="shared" si="19"/>
        <v>2017</v>
      </c>
      <c r="I450" s="5">
        <f t="shared" ca="1" si="20"/>
        <v>-2.0445252158110078E-2</v>
      </c>
      <c r="J450" s="16"/>
    </row>
    <row r="451" spans="1:10" x14ac:dyDescent="0.2">
      <c r="A451" s="3">
        <v>42930</v>
      </c>
      <c r="B451" s="1">
        <f ca="1">IFERROR(__xludf.DUMMYFUNCTION("""COMPUTED_VALUE"""),21.55)</f>
        <v>21.55</v>
      </c>
      <c r="C451" s="1">
        <f ca="1">IFERROR(__xludf.DUMMYFUNCTION("""COMPUTED_VALUE"""),21.89)</f>
        <v>21.89</v>
      </c>
      <c r="D451" s="1">
        <f ca="1">IFERROR(__xludf.DUMMYFUNCTION("""COMPUTED_VALUE"""),21.41)</f>
        <v>21.41</v>
      </c>
      <c r="E451" s="1">
        <f ca="1">IFERROR(__xludf.DUMMYFUNCTION("""COMPUTED_VALUE"""),21.85)</f>
        <v>21.85</v>
      </c>
      <c r="F451" s="1">
        <f ca="1">IFERROR(__xludf.DUMMYFUNCTION("""COMPUTED_VALUE"""),5625211)</f>
        <v>5625211</v>
      </c>
      <c r="G451" s="5">
        <f t="shared" ref="G451:G514" ca="1" si="21">(E452-E451)/E451</f>
        <v>-2.517162471395884E-2</v>
      </c>
      <c r="H451" s="14">
        <f t="shared" ref="H451:H514" si="22">YEAR(A451)</f>
        <v>2017</v>
      </c>
      <c r="I451" s="5">
        <f t="shared" ref="I451:I514" ca="1" si="23">((E451 - B451) / B451)</f>
        <v>1.392111368909516E-2</v>
      </c>
      <c r="J451" s="16"/>
    </row>
    <row r="452" spans="1:10" x14ac:dyDescent="0.2">
      <c r="A452" s="3">
        <v>42933</v>
      </c>
      <c r="B452" s="1">
        <f ca="1">IFERROR(__xludf.DUMMYFUNCTION("""COMPUTED_VALUE"""),21.7)</f>
        <v>21.7</v>
      </c>
      <c r="C452" s="1">
        <f ca="1">IFERROR(__xludf.DUMMYFUNCTION("""COMPUTED_VALUE"""),21.81)</f>
        <v>21.81</v>
      </c>
      <c r="D452" s="1">
        <f ca="1">IFERROR(__xludf.DUMMYFUNCTION("""COMPUTED_VALUE"""),20.9)</f>
        <v>20.9</v>
      </c>
      <c r="E452" s="1">
        <f ca="1">IFERROR(__xludf.DUMMYFUNCTION("""COMPUTED_VALUE"""),21.3)</f>
        <v>21.3</v>
      </c>
      <c r="F452" s="1">
        <f ca="1">IFERROR(__xludf.DUMMYFUNCTION("""COMPUTED_VALUE"""),9876912)</f>
        <v>9876912</v>
      </c>
      <c r="G452" s="5">
        <f t="shared" ca="1" si="21"/>
        <v>2.7230046948356727E-2</v>
      </c>
      <c r="H452" s="14">
        <f t="shared" si="22"/>
        <v>2017</v>
      </c>
      <c r="I452" s="5">
        <f t="shared" ca="1" si="23"/>
        <v>-1.8433179723502238E-2</v>
      </c>
      <c r="J452" s="16"/>
    </row>
    <row r="453" spans="1:10" x14ac:dyDescent="0.2">
      <c r="A453" s="3">
        <v>42934</v>
      </c>
      <c r="B453" s="1">
        <f ca="1">IFERROR(__xludf.DUMMYFUNCTION("""COMPUTED_VALUE"""),21.17)</f>
        <v>21.17</v>
      </c>
      <c r="C453" s="1">
        <f ca="1">IFERROR(__xludf.DUMMYFUNCTION("""COMPUTED_VALUE"""),21.94)</f>
        <v>21.94</v>
      </c>
      <c r="D453" s="1">
        <f ca="1">IFERROR(__xludf.DUMMYFUNCTION("""COMPUTED_VALUE"""),21.04)</f>
        <v>21.04</v>
      </c>
      <c r="E453" s="1">
        <f ca="1">IFERROR(__xludf.DUMMYFUNCTION("""COMPUTED_VALUE"""),21.88)</f>
        <v>21.88</v>
      </c>
      <c r="F453" s="1">
        <f ca="1">IFERROR(__xludf.DUMMYFUNCTION("""COMPUTED_VALUE"""),6373720)</f>
        <v>6373720</v>
      </c>
      <c r="G453" s="5">
        <f t="shared" ca="1" si="21"/>
        <v>-9.140767824497225E-3</v>
      </c>
      <c r="H453" s="14">
        <f t="shared" si="22"/>
        <v>2017</v>
      </c>
      <c r="I453" s="5">
        <f t="shared" ca="1" si="23"/>
        <v>3.3538025507793917E-2</v>
      </c>
      <c r="J453" s="16"/>
    </row>
    <row r="454" spans="1:10" x14ac:dyDescent="0.2">
      <c r="A454" s="3">
        <v>42935</v>
      </c>
      <c r="B454" s="1">
        <f ca="1">IFERROR(__xludf.DUMMYFUNCTION("""COMPUTED_VALUE"""),21.88)</f>
        <v>21.88</v>
      </c>
      <c r="C454" s="1">
        <f ca="1">IFERROR(__xludf.DUMMYFUNCTION("""COMPUTED_VALUE"""),22.11)</f>
        <v>22.11</v>
      </c>
      <c r="D454" s="1">
        <f ca="1">IFERROR(__xludf.DUMMYFUNCTION("""COMPUTED_VALUE"""),21.55)</f>
        <v>21.55</v>
      </c>
      <c r="E454" s="1">
        <f ca="1">IFERROR(__xludf.DUMMYFUNCTION("""COMPUTED_VALUE"""),21.68)</f>
        <v>21.68</v>
      </c>
      <c r="F454" s="1">
        <f ca="1">IFERROR(__xludf.DUMMYFUNCTION("""COMPUTED_VALUE"""),6357014)</f>
        <v>6357014</v>
      </c>
      <c r="G454" s="5">
        <f t="shared" ca="1" si="21"/>
        <v>1.4298892988929831E-2</v>
      </c>
      <c r="H454" s="14">
        <f t="shared" si="22"/>
        <v>2017</v>
      </c>
      <c r="I454" s="5">
        <f t="shared" ca="1" si="23"/>
        <v>-9.140767824497225E-3</v>
      </c>
      <c r="J454" s="16"/>
    </row>
    <row r="455" spans="1:10" x14ac:dyDescent="0.2">
      <c r="A455" s="3">
        <v>42936</v>
      </c>
      <c r="B455" s="1">
        <f ca="1">IFERROR(__xludf.DUMMYFUNCTION("""COMPUTED_VALUE"""),21.79)</f>
        <v>21.79</v>
      </c>
      <c r="C455" s="1">
        <f ca="1">IFERROR(__xludf.DUMMYFUNCTION("""COMPUTED_VALUE"""),22.01)</f>
        <v>22.01</v>
      </c>
      <c r="D455" s="1">
        <f ca="1">IFERROR(__xludf.DUMMYFUNCTION("""COMPUTED_VALUE"""),21.61)</f>
        <v>21.61</v>
      </c>
      <c r="E455" s="1">
        <f ca="1">IFERROR(__xludf.DUMMYFUNCTION("""COMPUTED_VALUE"""),21.99)</f>
        <v>21.99</v>
      </c>
      <c r="F455" s="1">
        <f ca="1">IFERROR(__xludf.DUMMYFUNCTION("""COMPUTED_VALUE"""),5166188)</f>
        <v>5166188</v>
      </c>
      <c r="G455" s="5">
        <f t="shared" ca="1" si="21"/>
        <v>-4.5475216007275065E-3</v>
      </c>
      <c r="H455" s="14">
        <f t="shared" si="22"/>
        <v>2017</v>
      </c>
      <c r="I455" s="5">
        <f t="shared" ca="1" si="23"/>
        <v>9.1785222579164431E-3</v>
      </c>
      <c r="J455" s="16"/>
    </row>
    <row r="456" spans="1:10" x14ac:dyDescent="0.2">
      <c r="A456" s="3">
        <v>42937</v>
      </c>
      <c r="B456" s="1">
        <f ca="1">IFERROR(__xludf.DUMMYFUNCTION("""COMPUTED_VALUE"""),21.96)</f>
        <v>21.96</v>
      </c>
      <c r="C456" s="1">
        <f ca="1">IFERROR(__xludf.DUMMYFUNCTION("""COMPUTED_VALUE"""),22.08)</f>
        <v>22.08</v>
      </c>
      <c r="D456" s="1">
        <f ca="1">IFERROR(__xludf.DUMMYFUNCTION("""COMPUTED_VALUE"""),21.72)</f>
        <v>21.72</v>
      </c>
      <c r="E456" s="1">
        <f ca="1">IFERROR(__xludf.DUMMYFUNCTION("""COMPUTED_VALUE"""),21.89)</f>
        <v>21.89</v>
      </c>
      <c r="F456" s="1">
        <f ca="1">IFERROR(__xludf.DUMMYFUNCTION("""COMPUTED_VALUE"""),4901606)</f>
        <v>4901606</v>
      </c>
      <c r="G456" s="5">
        <f t="shared" ca="1" si="21"/>
        <v>4.2941982640474996E-2</v>
      </c>
      <c r="H456" s="14">
        <f t="shared" si="22"/>
        <v>2017</v>
      </c>
      <c r="I456" s="5">
        <f t="shared" ca="1" si="23"/>
        <v>-3.1876138433515611E-3</v>
      </c>
      <c r="J456" s="16"/>
    </row>
    <row r="457" spans="1:10" x14ac:dyDescent="0.2">
      <c r="A457" s="3">
        <v>42940</v>
      </c>
      <c r="B457" s="1">
        <f ca="1">IFERROR(__xludf.DUMMYFUNCTION("""COMPUTED_VALUE"""),22.02)</f>
        <v>22.02</v>
      </c>
      <c r="C457" s="1">
        <f ca="1">IFERROR(__xludf.DUMMYFUNCTION("""COMPUTED_VALUE"""),22.89)</f>
        <v>22.89</v>
      </c>
      <c r="D457" s="1">
        <f ca="1">IFERROR(__xludf.DUMMYFUNCTION("""COMPUTED_VALUE"""),22)</f>
        <v>22</v>
      </c>
      <c r="E457" s="1">
        <f ca="1">IFERROR(__xludf.DUMMYFUNCTION("""COMPUTED_VALUE"""),22.83)</f>
        <v>22.83</v>
      </c>
      <c r="F457" s="1">
        <f ca="1">IFERROR(__xludf.DUMMYFUNCTION("""COMPUTED_VALUE"""),8637082)</f>
        <v>8637082</v>
      </c>
      <c r="G457" s="5">
        <f t="shared" ca="1" si="21"/>
        <v>-8.3223828296100626E-3</v>
      </c>
      <c r="H457" s="14">
        <f t="shared" si="22"/>
        <v>2017</v>
      </c>
      <c r="I457" s="5">
        <f t="shared" ca="1" si="23"/>
        <v>3.6784741144414108E-2</v>
      </c>
      <c r="J457" s="16"/>
    </row>
    <row r="458" spans="1:10" x14ac:dyDescent="0.2">
      <c r="A458" s="3">
        <v>42941</v>
      </c>
      <c r="B458" s="1">
        <f ca="1">IFERROR(__xludf.DUMMYFUNCTION("""COMPUTED_VALUE"""),23)</f>
        <v>23</v>
      </c>
      <c r="C458" s="1">
        <f ca="1">IFERROR(__xludf.DUMMYFUNCTION("""COMPUTED_VALUE"""),23.04)</f>
        <v>23.04</v>
      </c>
      <c r="D458" s="1">
        <f ca="1">IFERROR(__xludf.DUMMYFUNCTION("""COMPUTED_VALUE"""),22.28)</f>
        <v>22.28</v>
      </c>
      <c r="E458" s="1">
        <f ca="1">IFERROR(__xludf.DUMMYFUNCTION("""COMPUTED_VALUE"""),22.64)</f>
        <v>22.64</v>
      </c>
      <c r="F458" s="1">
        <f ca="1">IFERROR(__xludf.DUMMYFUNCTION("""COMPUTED_VALUE"""),6989197)</f>
        <v>6989197</v>
      </c>
      <c r="G458" s="5">
        <f t="shared" ca="1" si="21"/>
        <v>1.2367491166077788E-2</v>
      </c>
      <c r="H458" s="14">
        <f t="shared" si="22"/>
        <v>2017</v>
      </c>
      <c r="I458" s="5">
        <f t="shared" ca="1" si="23"/>
        <v>-1.5652173913043455E-2</v>
      </c>
      <c r="J458" s="16"/>
    </row>
    <row r="459" spans="1:10" x14ac:dyDescent="0.2">
      <c r="A459" s="3">
        <v>42942</v>
      </c>
      <c r="B459" s="1">
        <f ca="1">IFERROR(__xludf.DUMMYFUNCTION("""COMPUTED_VALUE"""),22.69)</f>
        <v>22.69</v>
      </c>
      <c r="C459" s="1">
        <f ca="1">IFERROR(__xludf.DUMMYFUNCTION("""COMPUTED_VALUE"""),23.03)</f>
        <v>23.03</v>
      </c>
      <c r="D459" s="1">
        <f ca="1">IFERROR(__xludf.DUMMYFUNCTION("""COMPUTED_VALUE"""),22.54)</f>
        <v>22.54</v>
      </c>
      <c r="E459" s="1">
        <f ca="1">IFERROR(__xludf.DUMMYFUNCTION("""COMPUTED_VALUE"""),22.92)</f>
        <v>22.92</v>
      </c>
      <c r="F459" s="1">
        <f ca="1">IFERROR(__xludf.DUMMYFUNCTION("""COMPUTED_VALUE"""),4820790)</f>
        <v>4820790</v>
      </c>
      <c r="G459" s="5">
        <f t="shared" ca="1" si="21"/>
        <v>-2.7050610820244368E-2</v>
      </c>
      <c r="H459" s="14">
        <f t="shared" si="22"/>
        <v>2017</v>
      </c>
      <c r="I459" s="5">
        <f t="shared" ca="1" si="23"/>
        <v>1.0136624063464099E-2</v>
      </c>
      <c r="J459" s="16"/>
    </row>
    <row r="460" spans="1:10" x14ac:dyDescent="0.2">
      <c r="A460" s="3">
        <v>42943</v>
      </c>
      <c r="B460" s="1">
        <f ca="1">IFERROR(__xludf.DUMMYFUNCTION("""COMPUTED_VALUE"""),23.07)</f>
        <v>23.07</v>
      </c>
      <c r="C460" s="1">
        <f ca="1">IFERROR(__xludf.DUMMYFUNCTION("""COMPUTED_VALUE"""),23.17)</f>
        <v>23.17</v>
      </c>
      <c r="D460" s="1">
        <f ca="1">IFERROR(__xludf.DUMMYFUNCTION("""COMPUTED_VALUE"""),21.75)</f>
        <v>21.75</v>
      </c>
      <c r="E460" s="1">
        <f ca="1">IFERROR(__xludf.DUMMYFUNCTION("""COMPUTED_VALUE"""),22.3)</f>
        <v>22.3</v>
      </c>
      <c r="F460" s="1">
        <f ca="1">IFERROR(__xludf.DUMMYFUNCTION("""COMPUTED_VALUE"""),8302405)</f>
        <v>8302405</v>
      </c>
      <c r="G460" s="5">
        <f t="shared" ca="1" si="21"/>
        <v>1.793721973094132E-3</v>
      </c>
      <c r="H460" s="14">
        <f t="shared" si="22"/>
        <v>2017</v>
      </c>
      <c r="I460" s="5">
        <f t="shared" ca="1" si="23"/>
        <v>-3.3376679670567816E-2</v>
      </c>
      <c r="J460" s="16"/>
    </row>
    <row r="461" spans="1:10" x14ac:dyDescent="0.2">
      <c r="A461" s="3">
        <v>42944</v>
      </c>
      <c r="B461" s="1">
        <f ca="1">IFERROR(__xludf.DUMMYFUNCTION("""COMPUTED_VALUE"""),22.46)</f>
        <v>22.46</v>
      </c>
      <c r="C461" s="1">
        <f ca="1">IFERROR(__xludf.DUMMYFUNCTION("""COMPUTED_VALUE"""),22.64)</f>
        <v>22.64</v>
      </c>
      <c r="D461" s="1">
        <f ca="1">IFERROR(__xludf.DUMMYFUNCTION("""COMPUTED_VALUE"""),22.17)</f>
        <v>22.17</v>
      </c>
      <c r="E461" s="1">
        <f ca="1">IFERROR(__xludf.DUMMYFUNCTION("""COMPUTED_VALUE"""),22.34)</f>
        <v>22.34</v>
      </c>
      <c r="F461" s="1">
        <f ca="1">IFERROR(__xludf.DUMMYFUNCTION("""COMPUTED_VALUE"""),4880414)</f>
        <v>4880414</v>
      </c>
      <c r="G461" s="5">
        <f t="shared" ca="1" si="21"/>
        <v>-3.4914950760966929E-2</v>
      </c>
      <c r="H461" s="14">
        <f t="shared" si="22"/>
        <v>2017</v>
      </c>
      <c r="I461" s="5">
        <f t="shared" ca="1" si="23"/>
        <v>-5.3428317008014691E-3</v>
      </c>
      <c r="J461" s="16"/>
    </row>
    <row r="462" spans="1:10" x14ac:dyDescent="0.2">
      <c r="A462" s="3">
        <v>42947</v>
      </c>
      <c r="B462" s="1">
        <f ca="1">IFERROR(__xludf.DUMMYFUNCTION("""COMPUTED_VALUE"""),22.37)</f>
        <v>22.37</v>
      </c>
      <c r="C462" s="1">
        <f ca="1">IFERROR(__xludf.DUMMYFUNCTION("""COMPUTED_VALUE"""),22.77)</f>
        <v>22.77</v>
      </c>
      <c r="D462" s="1">
        <f ca="1">IFERROR(__xludf.DUMMYFUNCTION("""COMPUTED_VALUE"""),21.4)</f>
        <v>21.4</v>
      </c>
      <c r="E462" s="1">
        <f ca="1">IFERROR(__xludf.DUMMYFUNCTION("""COMPUTED_VALUE"""),21.56)</f>
        <v>21.56</v>
      </c>
      <c r="F462" s="1">
        <f ca="1">IFERROR(__xludf.DUMMYFUNCTION("""COMPUTED_VALUE"""),8535136)</f>
        <v>8535136</v>
      </c>
      <c r="G462" s="5">
        <f t="shared" ca="1" si="21"/>
        <v>-1.2059369202226253E-2</v>
      </c>
      <c r="H462" s="14">
        <f t="shared" si="22"/>
        <v>2017</v>
      </c>
      <c r="I462" s="5">
        <f t="shared" ca="1" si="23"/>
        <v>-3.6209208761734564E-2</v>
      </c>
      <c r="J462" s="16"/>
    </row>
    <row r="463" spans="1:10" x14ac:dyDescent="0.2">
      <c r="A463" s="3">
        <v>42948</v>
      </c>
      <c r="B463" s="1">
        <f ca="1">IFERROR(__xludf.DUMMYFUNCTION("""COMPUTED_VALUE"""),21.53)</f>
        <v>21.53</v>
      </c>
      <c r="C463" s="1">
        <f ca="1">IFERROR(__xludf.DUMMYFUNCTION("""COMPUTED_VALUE"""),21.63)</f>
        <v>21.63</v>
      </c>
      <c r="D463" s="1">
        <f ca="1">IFERROR(__xludf.DUMMYFUNCTION("""COMPUTED_VALUE"""),21.08)</f>
        <v>21.08</v>
      </c>
      <c r="E463" s="1">
        <f ca="1">IFERROR(__xludf.DUMMYFUNCTION("""COMPUTED_VALUE"""),21.3)</f>
        <v>21.3</v>
      </c>
      <c r="F463" s="1">
        <f ca="1">IFERROR(__xludf.DUMMYFUNCTION("""COMPUTED_VALUE"""),8303102)</f>
        <v>8303102</v>
      </c>
      <c r="G463" s="5">
        <f t="shared" ca="1" si="21"/>
        <v>2.0187793427230032E-2</v>
      </c>
      <c r="H463" s="14">
        <f t="shared" si="22"/>
        <v>2017</v>
      </c>
      <c r="I463" s="5">
        <f t="shared" ca="1" si="23"/>
        <v>-1.0682768230376238E-2</v>
      </c>
      <c r="J463" s="16"/>
    </row>
    <row r="464" spans="1:10" x14ac:dyDescent="0.2">
      <c r="A464" s="3">
        <v>42949</v>
      </c>
      <c r="B464" s="1">
        <f ca="1">IFERROR(__xludf.DUMMYFUNCTION("""COMPUTED_VALUE"""),21.26)</f>
        <v>21.26</v>
      </c>
      <c r="C464" s="1">
        <f ca="1">IFERROR(__xludf.DUMMYFUNCTION("""COMPUTED_VALUE"""),21.81)</f>
        <v>21.81</v>
      </c>
      <c r="D464" s="1">
        <f ca="1">IFERROR(__xludf.DUMMYFUNCTION("""COMPUTED_VALUE"""),20.75)</f>
        <v>20.75</v>
      </c>
      <c r="E464" s="1">
        <f ca="1">IFERROR(__xludf.DUMMYFUNCTION("""COMPUTED_VALUE"""),21.73)</f>
        <v>21.73</v>
      </c>
      <c r="F464" s="1">
        <f ca="1">IFERROR(__xludf.DUMMYFUNCTION("""COMPUTED_VALUE"""),13091462)</f>
        <v>13091462</v>
      </c>
      <c r="G464" s="5">
        <f t="shared" ca="1" si="21"/>
        <v>6.4887252646111365E-2</v>
      </c>
      <c r="H464" s="14">
        <f t="shared" si="22"/>
        <v>2017</v>
      </c>
      <c r="I464" s="5">
        <f t="shared" ca="1" si="23"/>
        <v>2.210724365004698E-2</v>
      </c>
      <c r="J464" s="16"/>
    </row>
    <row r="465" spans="1:10" x14ac:dyDescent="0.2">
      <c r="A465" s="3">
        <v>42950</v>
      </c>
      <c r="B465" s="1">
        <f ca="1">IFERROR(__xludf.DUMMYFUNCTION("""COMPUTED_VALUE"""),23.02)</f>
        <v>23.02</v>
      </c>
      <c r="C465" s="1">
        <f ca="1">IFERROR(__xludf.DUMMYFUNCTION("""COMPUTED_VALUE"""),23.33)</f>
        <v>23.33</v>
      </c>
      <c r="D465" s="1">
        <f ca="1">IFERROR(__xludf.DUMMYFUNCTION("""COMPUTED_VALUE"""),22.88)</f>
        <v>22.88</v>
      </c>
      <c r="E465" s="1">
        <f ca="1">IFERROR(__xludf.DUMMYFUNCTION("""COMPUTED_VALUE"""),23.14)</f>
        <v>23.14</v>
      </c>
      <c r="F465" s="1">
        <f ca="1">IFERROR(__xludf.DUMMYFUNCTION("""COMPUTED_VALUE"""),13535033)</f>
        <v>13535033</v>
      </c>
      <c r="G465" s="5">
        <f t="shared" ca="1" si="21"/>
        <v>2.8089887640449375E-2</v>
      </c>
      <c r="H465" s="14">
        <f t="shared" si="22"/>
        <v>2017</v>
      </c>
      <c r="I465" s="5">
        <f t="shared" ca="1" si="23"/>
        <v>5.2128583840139447E-3</v>
      </c>
      <c r="J465" s="16"/>
    </row>
    <row r="466" spans="1:10" x14ac:dyDescent="0.2">
      <c r="A466" s="3">
        <v>42951</v>
      </c>
      <c r="B466" s="1">
        <f ca="1">IFERROR(__xludf.DUMMYFUNCTION("""COMPUTED_VALUE"""),23.13)</f>
        <v>23.13</v>
      </c>
      <c r="C466" s="1">
        <f ca="1">IFERROR(__xludf.DUMMYFUNCTION("""COMPUTED_VALUE"""),23.82)</f>
        <v>23.82</v>
      </c>
      <c r="D466" s="1">
        <f ca="1">IFERROR(__xludf.DUMMYFUNCTION("""COMPUTED_VALUE"""),22.89)</f>
        <v>22.89</v>
      </c>
      <c r="E466" s="1">
        <f ca="1">IFERROR(__xludf.DUMMYFUNCTION("""COMPUTED_VALUE"""),23.79)</f>
        <v>23.79</v>
      </c>
      <c r="F466" s="1">
        <f ca="1">IFERROR(__xludf.DUMMYFUNCTION("""COMPUTED_VALUE"""),9268909)</f>
        <v>9268909</v>
      </c>
      <c r="G466" s="5">
        <f t="shared" ca="1" si="21"/>
        <v>-4.6237915090373873E-3</v>
      </c>
      <c r="H466" s="14">
        <f t="shared" si="22"/>
        <v>2017</v>
      </c>
      <c r="I466" s="5">
        <f t="shared" ca="1" si="23"/>
        <v>2.8534370946822315E-2</v>
      </c>
      <c r="J466" s="16"/>
    </row>
    <row r="467" spans="1:10" x14ac:dyDescent="0.2">
      <c r="A467" s="3">
        <v>42954</v>
      </c>
      <c r="B467" s="1">
        <f ca="1">IFERROR(__xludf.DUMMYFUNCTION("""COMPUTED_VALUE"""),23.82)</f>
        <v>23.82</v>
      </c>
      <c r="C467" s="1">
        <f ca="1">IFERROR(__xludf.DUMMYFUNCTION("""COMPUTED_VALUE"""),23.97)</f>
        <v>23.97</v>
      </c>
      <c r="D467" s="1">
        <f ca="1">IFERROR(__xludf.DUMMYFUNCTION("""COMPUTED_VALUE"""),23.52)</f>
        <v>23.52</v>
      </c>
      <c r="E467" s="1">
        <f ca="1">IFERROR(__xludf.DUMMYFUNCTION("""COMPUTED_VALUE"""),23.68)</f>
        <v>23.68</v>
      </c>
      <c r="F467" s="1">
        <f ca="1">IFERROR(__xludf.DUMMYFUNCTION("""COMPUTED_VALUE"""),6324480)</f>
        <v>6324480</v>
      </c>
      <c r="G467" s="5">
        <f t="shared" ca="1" si="21"/>
        <v>2.8293918918918991E-2</v>
      </c>
      <c r="H467" s="14">
        <f t="shared" si="22"/>
        <v>2017</v>
      </c>
      <c r="I467" s="5">
        <f t="shared" ca="1" si="23"/>
        <v>-5.8774139378673625E-3</v>
      </c>
      <c r="J467" s="16"/>
    </row>
    <row r="468" spans="1:10" x14ac:dyDescent="0.2">
      <c r="A468" s="3">
        <v>42955</v>
      </c>
      <c r="B468" s="1">
        <f ca="1">IFERROR(__xludf.DUMMYFUNCTION("""COMPUTED_VALUE"""),23.84)</f>
        <v>23.84</v>
      </c>
      <c r="C468" s="1">
        <f ca="1">IFERROR(__xludf.DUMMYFUNCTION("""COMPUTED_VALUE"""),24.57)</f>
        <v>24.57</v>
      </c>
      <c r="D468" s="1">
        <f ca="1">IFERROR(__xludf.DUMMYFUNCTION("""COMPUTED_VALUE"""),23.83)</f>
        <v>23.83</v>
      </c>
      <c r="E468" s="1">
        <f ca="1">IFERROR(__xludf.DUMMYFUNCTION("""COMPUTED_VALUE"""),24.35)</f>
        <v>24.35</v>
      </c>
      <c r="F468" s="1">
        <f ca="1">IFERROR(__xludf.DUMMYFUNCTION("""COMPUTED_VALUE"""),7449837)</f>
        <v>7449837</v>
      </c>
      <c r="G468" s="5">
        <f t="shared" ca="1" si="21"/>
        <v>-4.5174537987680893E-3</v>
      </c>
      <c r="H468" s="14">
        <f t="shared" si="22"/>
        <v>2017</v>
      </c>
      <c r="I468" s="5">
        <f t="shared" ca="1" si="23"/>
        <v>2.1392617449664496E-2</v>
      </c>
      <c r="J468" s="16"/>
    </row>
    <row r="469" spans="1:10" x14ac:dyDescent="0.2">
      <c r="A469" s="3">
        <v>42956</v>
      </c>
      <c r="B469" s="1">
        <f ca="1">IFERROR(__xludf.DUMMYFUNCTION("""COMPUTED_VALUE"""),24.07)</f>
        <v>24.07</v>
      </c>
      <c r="C469" s="1">
        <f ca="1">IFERROR(__xludf.DUMMYFUNCTION("""COMPUTED_VALUE"""),24.67)</f>
        <v>24.67</v>
      </c>
      <c r="D469" s="1">
        <f ca="1">IFERROR(__xludf.DUMMYFUNCTION("""COMPUTED_VALUE"""),23.93)</f>
        <v>23.93</v>
      </c>
      <c r="E469" s="1">
        <f ca="1">IFERROR(__xludf.DUMMYFUNCTION("""COMPUTED_VALUE"""),24.24)</f>
        <v>24.24</v>
      </c>
      <c r="F469" s="1">
        <f ca="1">IFERROR(__xludf.DUMMYFUNCTION("""COMPUTED_VALUE"""),6892096)</f>
        <v>6892096</v>
      </c>
      <c r="G469" s="5">
        <f t="shared" ca="1" si="21"/>
        <v>-2.2689768976897572E-2</v>
      </c>
      <c r="H469" s="14">
        <f t="shared" si="22"/>
        <v>2017</v>
      </c>
      <c r="I469" s="5">
        <f t="shared" ca="1" si="23"/>
        <v>7.06273369339419E-3</v>
      </c>
      <c r="J469" s="16"/>
    </row>
    <row r="470" spans="1:10" x14ac:dyDescent="0.2">
      <c r="A470" s="3">
        <v>42957</v>
      </c>
      <c r="B470" s="1">
        <f ca="1">IFERROR(__xludf.DUMMYFUNCTION("""COMPUTED_VALUE"""),24.11)</f>
        <v>24.11</v>
      </c>
      <c r="C470" s="1">
        <f ca="1">IFERROR(__xludf.DUMMYFUNCTION("""COMPUTED_VALUE"""),24.44)</f>
        <v>24.44</v>
      </c>
      <c r="D470" s="1">
        <f ca="1">IFERROR(__xludf.DUMMYFUNCTION("""COMPUTED_VALUE"""),23.64)</f>
        <v>23.64</v>
      </c>
      <c r="E470" s="1">
        <f ca="1">IFERROR(__xludf.DUMMYFUNCTION("""COMPUTED_VALUE"""),23.69)</f>
        <v>23.69</v>
      </c>
      <c r="F470" s="1">
        <f ca="1">IFERROR(__xludf.DUMMYFUNCTION("""COMPUTED_VALUE"""),7092858)</f>
        <v>7092858</v>
      </c>
      <c r="G470" s="5">
        <f t="shared" ca="1" si="21"/>
        <v>7.1760236386660256E-3</v>
      </c>
      <c r="H470" s="14">
        <f t="shared" si="22"/>
        <v>2017</v>
      </c>
      <c r="I470" s="5">
        <f t="shared" ca="1" si="23"/>
        <v>-1.7420157610949737E-2</v>
      </c>
      <c r="J470" s="16"/>
    </row>
    <row r="471" spans="1:10" x14ac:dyDescent="0.2">
      <c r="A471" s="3">
        <v>42958</v>
      </c>
      <c r="B471" s="1">
        <f ca="1">IFERROR(__xludf.DUMMYFUNCTION("""COMPUTED_VALUE"""),23.8)</f>
        <v>23.8</v>
      </c>
      <c r="C471" s="1">
        <f ca="1">IFERROR(__xludf.DUMMYFUNCTION("""COMPUTED_VALUE"""),24.08)</f>
        <v>24.08</v>
      </c>
      <c r="D471" s="1">
        <f ca="1">IFERROR(__xludf.DUMMYFUNCTION("""COMPUTED_VALUE"""),23.57)</f>
        <v>23.57</v>
      </c>
      <c r="E471" s="1">
        <f ca="1">IFERROR(__xludf.DUMMYFUNCTION("""COMPUTED_VALUE"""),23.86)</f>
        <v>23.86</v>
      </c>
      <c r="F471" s="1">
        <f ca="1">IFERROR(__xludf.DUMMYFUNCTION("""COMPUTED_VALUE"""),4365783)</f>
        <v>4365783</v>
      </c>
      <c r="G471" s="5">
        <f t="shared" ca="1" si="21"/>
        <v>1.6345347862531459E-2</v>
      </c>
      <c r="H471" s="14">
        <f t="shared" si="22"/>
        <v>2017</v>
      </c>
      <c r="I471" s="5">
        <f t="shared" ca="1" si="23"/>
        <v>2.5210084033612909E-3</v>
      </c>
      <c r="J471" s="16"/>
    </row>
    <row r="472" spans="1:10" x14ac:dyDescent="0.2">
      <c r="A472" s="3">
        <v>42961</v>
      </c>
      <c r="B472" s="1">
        <f ca="1">IFERROR(__xludf.DUMMYFUNCTION("""COMPUTED_VALUE"""),24.31)</f>
        <v>24.31</v>
      </c>
      <c r="C472" s="1">
        <f ca="1">IFERROR(__xludf.DUMMYFUNCTION("""COMPUTED_VALUE"""),24.51)</f>
        <v>24.51</v>
      </c>
      <c r="D472" s="1">
        <f ca="1">IFERROR(__xludf.DUMMYFUNCTION("""COMPUTED_VALUE"""),24.17)</f>
        <v>24.17</v>
      </c>
      <c r="E472" s="1">
        <f ca="1">IFERROR(__xludf.DUMMYFUNCTION("""COMPUTED_VALUE"""),24.25)</f>
        <v>24.25</v>
      </c>
      <c r="F472" s="1">
        <f ca="1">IFERROR(__xludf.DUMMYFUNCTION("""COMPUTED_VALUE"""),4519186)</f>
        <v>4519186</v>
      </c>
      <c r="G472" s="5">
        <f t="shared" ca="1" si="21"/>
        <v>-3.7113402061855613E-3</v>
      </c>
      <c r="H472" s="14">
        <f t="shared" si="22"/>
        <v>2017</v>
      </c>
      <c r="I472" s="5">
        <f t="shared" ca="1" si="23"/>
        <v>-2.4681201151788863E-3</v>
      </c>
      <c r="J472" s="16"/>
    </row>
    <row r="473" spans="1:10" x14ac:dyDescent="0.2">
      <c r="A473" s="3">
        <v>42962</v>
      </c>
      <c r="B473" s="1">
        <f ca="1">IFERROR(__xludf.DUMMYFUNCTION("""COMPUTED_VALUE"""),24.35)</f>
        <v>24.35</v>
      </c>
      <c r="C473" s="1">
        <f ca="1">IFERROR(__xludf.DUMMYFUNCTION("""COMPUTED_VALUE"""),24.37)</f>
        <v>24.37</v>
      </c>
      <c r="D473" s="1">
        <f ca="1">IFERROR(__xludf.DUMMYFUNCTION("""COMPUTED_VALUE"""),23.96)</f>
        <v>23.96</v>
      </c>
      <c r="E473" s="1">
        <f ca="1">IFERROR(__xludf.DUMMYFUNCTION("""COMPUTED_VALUE"""),24.16)</f>
        <v>24.16</v>
      </c>
      <c r="F473" s="1">
        <f ca="1">IFERROR(__xludf.DUMMYFUNCTION("""COMPUTED_VALUE"""),3085088)</f>
        <v>3085088</v>
      </c>
      <c r="G473" s="5">
        <f t="shared" ca="1" si="21"/>
        <v>1.2417218543046829E-3</v>
      </c>
      <c r="H473" s="14">
        <f t="shared" si="22"/>
        <v>2017</v>
      </c>
      <c r="I473" s="5">
        <f t="shared" ca="1" si="23"/>
        <v>-7.8028747433265405E-3</v>
      </c>
      <c r="J473" s="16"/>
    </row>
    <row r="474" spans="1:10" x14ac:dyDescent="0.2">
      <c r="A474" s="3">
        <v>42963</v>
      </c>
      <c r="B474" s="1">
        <f ca="1">IFERROR(__xludf.DUMMYFUNCTION("""COMPUTED_VALUE"""),24.2)</f>
        <v>24.2</v>
      </c>
      <c r="C474" s="1">
        <f ca="1">IFERROR(__xludf.DUMMYFUNCTION("""COMPUTED_VALUE"""),24.43)</f>
        <v>24.43</v>
      </c>
      <c r="D474" s="1">
        <f ca="1">IFERROR(__xludf.DUMMYFUNCTION("""COMPUTED_VALUE"""),24.17)</f>
        <v>24.17</v>
      </c>
      <c r="E474" s="1">
        <f ca="1">IFERROR(__xludf.DUMMYFUNCTION("""COMPUTED_VALUE"""),24.19)</f>
        <v>24.19</v>
      </c>
      <c r="F474" s="1">
        <f ca="1">IFERROR(__xludf.DUMMYFUNCTION("""COMPUTED_VALUE"""),3413773)</f>
        <v>3413773</v>
      </c>
      <c r="G474" s="5">
        <f t="shared" ca="1" si="21"/>
        <v>-3.0177759404712706E-2</v>
      </c>
      <c r="H474" s="14">
        <f t="shared" si="22"/>
        <v>2017</v>
      </c>
      <c r="I474" s="5">
        <f t="shared" ca="1" si="23"/>
        <v>-4.1322314049578558E-4</v>
      </c>
      <c r="J474" s="16"/>
    </row>
    <row r="475" spans="1:10" x14ac:dyDescent="0.2">
      <c r="A475" s="3">
        <v>42964</v>
      </c>
      <c r="B475" s="1">
        <f ca="1">IFERROR(__xludf.DUMMYFUNCTION("""COMPUTED_VALUE"""),24.08)</f>
        <v>24.08</v>
      </c>
      <c r="C475" s="1">
        <f ca="1">IFERROR(__xludf.DUMMYFUNCTION("""COMPUTED_VALUE"""),24.22)</f>
        <v>24.22</v>
      </c>
      <c r="D475" s="1">
        <f ca="1">IFERROR(__xludf.DUMMYFUNCTION("""COMPUTED_VALUE"""),23.44)</f>
        <v>23.44</v>
      </c>
      <c r="E475" s="1">
        <f ca="1">IFERROR(__xludf.DUMMYFUNCTION("""COMPUTED_VALUE"""),23.46)</f>
        <v>23.46</v>
      </c>
      <c r="F475" s="1">
        <f ca="1">IFERROR(__xludf.DUMMYFUNCTION("""COMPUTED_VALUE"""),5027660)</f>
        <v>5027660</v>
      </c>
      <c r="G475" s="5">
        <f t="shared" ca="1" si="21"/>
        <v>-1.278772378516627E-2</v>
      </c>
      <c r="H475" s="14">
        <f t="shared" si="22"/>
        <v>2017</v>
      </c>
      <c r="I475" s="5">
        <f t="shared" ca="1" si="23"/>
        <v>-2.5747508305647735E-2</v>
      </c>
      <c r="J475" s="16"/>
    </row>
    <row r="476" spans="1:10" x14ac:dyDescent="0.2">
      <c r="A476" s="3">
        <v>42965</v>
      </c>
      <c r="B476" s="1">
        <f ca="1">IFERROR(__xludf.DUMMYFUNCTION("""COMPUTED_VALUE"""),23.53)</f>
        <v>23.53</v>
      </c>
      <c r="C476" s="1">
        <f ca="1">IFERROR(__xludf.DUMMYFUNCTION("""COMPUTED_VALUE"""),23.6)</f>
        <v>23.6</v>
      </c>
      <c r="D476" s="1">
        <f ca="1">IFERROR(__xludf.DUMMYFUNCTION("""COMPUTED_VALUE"""),23.05)</f>
        <v>23.05</v>
      </c>
      <c r="E476" s="1">
        <f ca="1">IFERROR(__xludf.DUMMYFUNCTION("""COMPUTED_VALUE"""),23.16)</f>
        <v>23.16</v>
      </c>
      <c r="F476" s="1">
        <f ca="1">IFERROR(__xludf.DUMMYFUNCTION("""COMPUTED_VALUE"""),5408183)</f>
        <v>5408183</v>
      </c>
      <c r="G476" s="5">
        <f t="shared" ca="1" si="21"/>
        <v>-2.7633851468048382E-2</v>
      </c>
      <c r="H476" s="14">
        <f t="shared" si="22"/>
        <v>2017</v>
      </c>
      <c r="I476" s="5">
        <f t="shared" ca="1" si="23"/>
        <v>-1.5724606884827921E-2</v>
      </c>
      <c r="J476" s="16"/>
    </row>
    <row r="477" spans="1:10" x14ac:dyDescent="0.2">
      <c r="A477" s="3">
        <v>42968</v>
      </c>
      <c r="B477" s="1">
        <f ca="1">IFERROR(__xludf.DUMMYFUNCTION("""COMPUTED_VALUE"""),23.05)</f>
        <v>23.05</v>
      </c>
      <c r="C477" s="1">
        <f ca="1">IFERROR(__xludf.DUMMYFUNCTION("""COMPUTED_VALUE"""),23.05)</f>
        <v>23.05</v>
      </c>
      <c r="D477" s="1">
        <f ca="1">IFERROR(__xludf.DUMMYFUNCTION("""COMPUTED_VALUE"""),22.12)</f>
        <v>22.12</v>
      </c>
      <c r="E477" s="1">
        <f ca="1">IFERROR(__xludf.DUMMYFUNCTION("""COMPUTED_VALUE"""),22.52)</f>
        <v>22.52</v>
      </c>
      <c r="F477" s="1">
        <f ca="1">IFERROR(__xludf.DUMMYFUNCTION("""COMPUTED_VALUE"""),6495424)</f>
        <v>6495424</v>
      </c>
      <c r="G477" s="5">
        <f t="shared" ca="1" si="21"/>
        <v>1.0657193605683925E-2</v>
      </c>
      <c r="H477" s="14">
        <f t="shared" si="22"/>
        <v>2017</v>
      </c>
      <c r="I477" s="5">
        <f t="shared" ca="1" si="23"/>
        <v>-2.2993492407809159E-2</v>
      </c>
      <c r="J477" s="16"/>
    </row>
    <row r="478" spans="1:10" x14ac:dyDescent="0.2">
      <c r="A478" s="3">
        <v>42969</v>
      </c>
      <c r="B478" s="1">
        <f ca="1">IFERROR(__xludf.DUMMYFUNCTION("""COMPUTED_VALUE"""),22.74)</f>
        <v>22.74</v>
      </c>
      <c r="C478" s="1">
        <f ca="1">IFERROR(__xludf.DUMMYFUNCTION("""COMPUTED_VALUE"""),22.82)</f>
        <v>22.82</v>
      </c>
      <c r="D478" s="1">
        <f ca="1">IFERROR(__xludf.DUMMYFUNCTION("""COMPUTED_VALUE"""),22.49)</f>
        <v>22.49</v>
      </c>
      <c r="E478" s="1">
        <f ca="1">IFERROR(__xludf.DUMMYFUNCTION("""COMPUTED_VALUE"""),22.76)</f>
        <v>22.76</v>
      </c>
      <c r="F478" s="1">
        <f ca="1">IFERROR(__xludf.DUMMYFUNCTION("""COMPUTED_VALUE"""),4321966)</f>
        <v>4321966</v>
      </c>
      <c r="G478" s="5">
        <f t="shared" ca="1" si="21"/>
        <v>3.3391915641476186E-2</v>
      </c>
      <c r="H478" s="14">
        <f t="shared" si="22"/>
        <v>2017</v>
      </c>
      <c r="I478" s="5">
        <f t="shared" ca="1" si="23"/>
        <v>8.7950747581368193E-4</v>
      </c>
      <c r="J478" s="16"/>
    </row>
    <row r="479" spans="1:10" x14ac:dyDescent="0.2">
      <c r="A479" s="3">
        <v>42970</v>
      </c>
      <c r="B479" s="1">
        <f ca="1">IFERROR(__xludf.DUMMYFUNCTION("""COMPUTED_VALUE"""),22.6)</f>
        <v>22.6</v>
      </c>
      <c r="C479" s="1">
        <f ca="1">IFERROR(__xludf.DUMMYFUNCTION("""COMPUTED_VALUE"""),23.57)</f>
        <v>23.57</v>
      </c>
      <c r="D479" s="1">
        <f ca="1">IFERROR(__xludf.DUMMYFUNCTION("""COMPUTED_VALUE"""),22.55)</f>
        <v>22.55</v>
      </c>
      <c r="E479" s="1">
        <f ca="1">IFERROR(__xludf.DUMMYFUNCTION("""COMPUTED_VALUE"""),23.52)</f>
        <v>23.52</v>
      </c>
      <c r="F479" s="1">
        <f ca="1">IFERROR(__xludf.DUMMYFUNCTION("""COMPUTED_VALUE"""),4954504)</f>
        <v>4954504</v>
      </c>
      <c r="G479" s="5">
        <f t="shared" ca="1" si="21"/>
        <v>4.2517006802727733E-4</v>
      </c>
      <c r="H479" s="14">
        <f t="shared" si="22"/>
        <v>2017</v>
      </c>
      <c r="I479" s="5">
        <f t="shared" ca="1" si="23"/>
        <v>4.0707964601769828E-2</v>
      </c>
      <c r="J479" s="16"/>
    </row>
    <row r="480" spans="1:10" x14ac:dyDescent="0.2">
      <c r="A480" s="3">
        <v>42971</v>
      </c>
      <c r="B480" s="1">
        <f ca="1">IFERROR(__xludf.DUMMYFUNCTION("""COMPUTED_VALUE"""),23.5)</f>
        <v>23.5</v>
      </c>
      <c r="C480" s="1">
        <f ca="1">IFERROR(__xludf.DUMMYFUNCTION("""COMPUTED_VALUE"""),23.78)</f>
        <v>23.78</v>
      </c>
      <c r="D480" s="1">
        <f ca="1">IFERROR(__xludf.DUMMYFUNCTION("""COMPUTED_VALUE"""),23.32)</f>
        <v>23.32</v>
      </c>
      <c r="E480" s="1">
        <f ca="1">IFERROR(__xludf.DUMMYFUNCTION("""COMPUTED_VALUE"""),23.53)</f>
        <v>23.53</v>
      </c>
      <c r="F480" s="1">
        <f ca="1">IFERROR(__xludf.DUMMYFUNCTION("""COMPUTED_VALUE"""),4584687)</f>
        <v>4584687</v>
      </c>
      <c r="G480" s="5">
        <f t="shared" ca="1" si="21"/>
        <v>-1.4024649383765483E-2</v>
      </c>
      <c r="H480" s="14">
        <f t="shared" si="22"/>
        <v>2017</v>
      </c>
      <c r="I480" s="5">
        <f t="shared" ca="1" si="23"/>
        <v>1.2765957446808994E-3</v>
      </c>
      <c r="J480" s="16"/>
    </row>
    <row r="481" spans="1:10" x14ac:dyDescent="0.2">
      <c r="A481" s="3">
        <v>42972</v>
      </c>
      <c r="B481" s="1">
        <f ca="1">IFERROR(__xludf.DUMMYFUNCTION("""COMPUTED_VALUE"""),23.62)</f>
        <v>23.62</v>
      </c>
      <c r="C481" s="1">
        <f ca="1">IFERROR(__xludf.DUMMYFUNCTION("""COMPUTED_VALUE"""),23.71)</f>
        <v>23.71</v>
      </c>
      <c r="D481" s="1">
        <f ca="1">IFERROR(__xludf.DUMMYFUNCTION("""COMPUTED_VALUE"""),23.15)</f>
        <v>23.15</v>
      </c>
      <c r="E481" s="1">
        <f ca="1">IFERROR(__xludf.DUMMYFUNCTION("""COMPUTED_VALUE"""),23.2)</f>
        <v>23.2</v>
      </c>
      <c r="F481" s="1">
        <f ca="1">IFERROR(__xludf.DUMMYFUNCTION("""COMPUTED_VALUE"""),3483956)</f>
        <v>3483956</v>
      </c>
      <c r="G481" s="5">
        <f t="shared" ca="1" si="21"/>
        <v>-6.896551724137937E-3</v>
      </c>
      <c r="H481" s="14">
        <f t="shared" si="22"/>
        <v>2017</v>
      </c>
      <c r="I481" s="5">
        <f t="shared" ca="1" si="23"/>
        <v>-1.7781541066892535E-2</v>
      </c>
      <c r="J481" s="16"/>
    </row>
    <row r="482" spans="1:10" x14ac:dyDescent="0.2">
      <c r="A482" s="3">
        <v>42975</v>
      </c>
      <c r="B482" s="1">
        <f ca="1">IFERROR(__xludf.DUMMYFUNCTION("""COMPUTED_VALUE"""),23.15)</f>
        <v>23.15</v>
      </c>
      <c r="C482" s="1">
        <f ca="1">IFERROR(__xludf.DUMMYFUNCTION("""COMPUTED_VALUE"""),23.16)</f>
        <v>23.16</v>
      </c>
      <c r="D482" s="1">
        <f ca="1">IFERROR(__xludf.DUMMYFUNCTION("""COMPUTED_VALUE"""),22.65)</f>
        <v>22.65</v>
      </c>
      <c r="E482" s="1">
        <f ca="1">IFERROR(__xludf.DUMMYFUNCTION("""COMPUTED_VALUE"""),23.04)</f>
        <v>23.04</v>
      </c>
      <c r="F482" s="1">
        <f ca="1">IFERROR(__xludf.DUMMYFUNCTION("""COMPUTED_VALUE"""),3763956)</f>
        <v>3763956</v>
      </c>
      <c r="G482" s="5">
        <f t="shared" ca="1" si="21"/>
        <v>5.2083333333333764E-3</v>
      </c>
      <c r="H482" s="14">
        <f t="shared" si="22"/>
        <v>2017</v>
      </c>
      <c r="I482" s="5">
        <f t="shared" ca="1" si="23"/>
        <v>-4.7516198704103431E-3</v>
      </c>
      <c r="J482" s="16"/>
    </row>
    <row r="483" spans="1:10" x14ac:dyDescent="0.2">
      <c r="A483" s="3">
        <v>42976</v>
      </c>
      <c r="B483" s="1">
        <f ca="1">IFERROR(__xludf.DUMMYFUNCTION("""COMPUTED_VALUE"""),22.63)</f>
        <v>22.63</v>
      </c>
      <c r="C483" s="1">
        <f ca="1">IFERROR(__xludf.DUMMYFUNCTION("""COMPUTED_VALUE"""),23.27)</f>
        <v>23.27</v>
      </c>
      <c r="D483" s="1">
        <f ca="1">IFERROR(__xludf.DUMMYFUNCTION("""COMPUTED_VALUE"""),22.58)</f>
        <v>22.58</v>
      </c>
      <c r="E483" s="1">
        <f ca="1">IFERROR(__xludf.DUMMYFUNCTION("""COMPUTED_VALUE"""),23.16)</f>
        <v>23.16</v>
      </c>
      <c r="F483" s="1">
        <f ca="1">IFERROR(__xludf.DUMMYFUNCTION("""COMPUTED_VALUE"""),4073675)</f>
        <v>4073675</v>
      </c>
      <c r="G483" s="5">
        <f t="shared" ca="1" si="21"/>
        <v>1.6839378238341994E-2</v>
      </c>
      <c r="H483" s="14">
        <f t="shared" si="22"/>
        <v>2017</v>
      </c>
      <c r="I483" s="5">
        <f t="shared" ca="1" si="23"/>
        <v>2.3420238621299213E-2</v>
      </c>
      <c r="J483" s="16"/>
    </row>
    <row r="484" spans="1:10" x14ac:dyDescent="0.2">
      <c r="A484" s="3">
        <v>42977</v>
      </c>
      <c r="B484" s="1">
        <f ca="1">IFERROR(__xludf.DUMMYFUNCTION("""COMPUTED_VALUE"""),23.31)</f>
        <v>23.31</v>
      </c>
      <c r="C484" s="1">
        <f ca="1">IFERROR(__xludf.DUMMYFUNCTION("""COMPUTED_VALUE"""),23.56)</f>
        <v>23.56</v>
      </c>
      <c r="D484" s="1">
        <f ca="1">IFERROR(__xludf.DUMMYFUNCTION("""COMPUTED_VALUE"""),23.13)</f>
        <v>23.13</v>
      </c>
      <c r="E484" s="1">
        <f ca="1">IFERROR(__xludf.DUMMYFUNCTION("""COMPUTED_VALUE"""),23.55)</f>
        <v>23.55</v>
      </c>
      <c r="F484" s="1">
        <f ca="1">IFERROR(__xludf.DUMMYFUNCTION("""COMPUTED_VALUE"""),3412943)</f>
        <v>3412943</v>
      </c>
      <c r="G484" s="5">
        <f t="shared" ca="1" si="21"/>
        <v>7.6433121019108159E-3</v>
      </c>
      <c r="H484" s="14">
        <f t="shared" si="22"/>
        <v>2017</v>
      </c>
      <c r="I484" s="5">
        <f t="shared" ca="1" si="23"/>
        <v>1.0296010296010382E-2</v>
      </c>
      <c r="J484" s="16"/>
    </row>
    <row r="485" spans="1:10" x14ac:dyDescent="0.2">
      <c r="A485" s="3">
        <v>42978</v>
      </c>
      <c r="B485" s="1">
        <f ca="1">IFERROR(__xludf.DUMMYFUNCTION("""COMPUTED_VALUE"""),23.57)</f>
        <v>23.57</v>
      </c>
      <c r="C485" s="1">
        <f ca="1">IFERROR(__xludf.DUMMYFUNCTION("""COMPUTED_VALUE"""),23.9)</f>
        <v>23.9</v>
      </c>
      <c r="D485" s="1">
        <f ca="1">IFERROR(__xludf.DUMMYFUNCTION("""COMPUTED_VALUE"""),23.52)</f>
        <v>23.52</v>
      </c>
      <c r="E485" s="1">
        <f ca="1">IFERROR(__xludf.DUMMYFUNCTION("""COMPUTED_VALUE"""),23.73)</f>
        <v>23.73</v>
      </c>
      <c r="F485" s="1">
        <f ca="1">IFERROR(__xludf.DUMMYFUNCTION("""COMPUTED_VALUE"""),4072795)</f>
        <v>4072795</v>
      </c>
      <c r="G485" s="5">
        <f t="shared" ca="1" si="21"/>
        <v>-1.6856300042140391E-3</v>
      </c>
      <c r="H485" s="14">
        <f t="shared" si="22"/>
        <v>2017</v>
      </c>
      <c r="I485" s="5">
        <f t="shared" ca="1" si="23"/>
        <v>6.7882901994060305E-3</v>
      </c>
      <c r="J485" s="16"/>
    </row>
    <row r="486" spans="1:10" x14ac:dyDescent="0.2">
      <c r="A486" s="3">
        <v>42979</v>
      </c>
      <c r="B486" s="1">
        <f ca="1">IFERROR(__xludf.DUMMYFUNCTION("""COMPUTED_VALUE"""),23.74)</f>
        <v>23.74</v>
      </c>
      <c r="C486" s="1">
        <f ca="1">IFERROR(__xludf.DUMMYFUNCTION("""COMPUTED_VALUE"""),23.84)</f>
        <v>23.84</v>
      </c>
      <c r="D486" s="1">
        <f ca="1">IFERROR(__xludf.DUMMYFUNCTION("""COMPUTED_VALUE"""),23.58)</f>
        <v>23.58</v>
      </c>
      <c r="E486" s="1">
        <f ca="1">IFERROR(__xludf.DUMMYFUNCTION("""COMPUTED_VALUE"""),23.69)</f>
        <v>23.69</v>
      </c>
      <c r="F486" s="1">
        <f ca="1">IFERROR(__xludf.DUMMYFUNCTION("""COMPUTED_VALUE"""),3049546)</f>
        <v>3049546</v>
      </c>
      <c r="G486" s="5">
        <f t="shared" ca="1" si="21"/>
        <v>-1.6040523427606691E-2</v>
      </c>
      <c r="H486" s="14">
        <f t="shared" si="22"/>
        <v>2017</v>
      </c>
      <c r="I486" s="5">
        <f t="shared" ca="1" si="23"/>
        <v>-2.1061499578768814E-3</v>
      </c>
      <c r="J486" s="16"/>
    </row>
    <row r="487" spans="1:10" x14ac:dyDescent="0.2">
      <c r="A487" s="3">
        <v>42983</v>
      </c>
      <c r="B487" s="1">
        <f ca="1">IFERROR(__xludf.DUMMYFUNCTION("""COMPUTED_VALUE"""),23.59)</f>
        <v>23.59</v>
      </c>
      <c r="C487" s="1">
        <f ca="1">IFERROR(__xludf.DUMMYFUNCTION("""COMPUTED_VALUE"""),23.7)</f>
        <v>23.7</v>
      </c>
      <c r="D487" s="1">
        <f ca="1">IFERROR(__xludf.DUMMYFUNCTION("""COMPUTED_VALUE"""),23.06)</f>
        <v>23.06</v>
      </c>
      <c r="E487" s="1">
        <f ca="1">IFERROR(__xludf.DUMMYFUNCTION("""COMPUTED_VALUE"""),23.31)</f>
        <v>23.31</v>
      </c>
      <c r="F487" s="1">
        <f ca="1">IFERROR(__xludf.DUMMYFUNCTION("""COMPUTED_VALUE"""),3848382)</f>
        <v>3848382</v>
      </c>
      <c r="G487" s="5">
        <f t="shared" ca="1" si="21"/>
        <v>-1.458601458601458E-2</v>
      </c>
      <c r="H487" s="14">
        <f t="shared" si="22"/>
        <v>2017</v>
      </c>
      <c r="I487" s="5">
        <f t="shared" ca="1" si="23"/>
        <v>-1.1869436201780464E-2</v>
      </c>
      <c r="J487" s="16"/>
    </row>
    <row r="488" spans="1:10" x14ac:dyDescent="0.2">
      <c r="A488" s="3">
        <v>42984</v>
      </c>
      <c r="B488" s="1">
        <f ca="1">IFERROR(__xludf.DUMMYFUNCTION("""COMPUTED_VALUE"""),23.3)</f>
        <v>23.3</v>
      </c>
      <c r="C488" s="1">
        <f ca="1">IFERROR(__xludf.DUMMYFUNCTION("""COMPUTED_VALUE"""),23.4)</f>
        <v>23.4</v>
      </c>
      <c r="D488" s="1">
        <f ca="1">IFERROR(__xludf.DUMMYFUNCTION("""COMPUTED_VALUE"""),22.77)</f>
        <v>22.77</v>
      </c>
      <c r="E488" s="1">
        <f ca="1">IFERROR(__xludf.DUMMYFUNCTION("""COMPUTED_VALUE"""),22.97)</f>
        <v>22.97</v>
      </c>
      <c r="F488" s="1">
        <f ca="1">IFERROR(__xludf.DUMMYFUNCTION("""COMPUTED_VALUE"""),4091351)</f>
        <v>4091351</v>
      </c>
      <c r="G488" s="5">
        <f t="shared" ca="1" si="21"/>
        <v>1.7414018284719293E-2</v>
      </c>
      <c r="H488" s="14">
        <f t="shared" si="22"/>
        <v>2017</v>
      </c>
      <c r="I488" s="5">
        <f t="shared" ca="1" si="23"/>
        <v>-1.4163090128755444E-2</v>
      </c>
      <c r="J488" s="16"/>
    </row>
    <row r="489" spans="1:10" x14ac:dyDescent="0.2">
      <c r="A489" s="3">
        <v>42985</v>
      </c>
      <c r="B489" s="1">
        <f ca="1">IFERROR(__xludf.DUMMYFUNCTION("""COMPUTED_VALUE"""),23.07)</f>
        <v>23.07</v>
      </c>
      <c r="C489" s="1">
        <f ca="1">IFERROR(__xludf.DUMMYFUNCTION("""COMPUTED_VALUE"""),23.5)</f>
        <v>23.5</v>
      </c>
      <c r="D489" s="1">
        <f ca="1">IFERROR(__xludf.DUMMYFUNCTION("""COMPUTED_VALUE"""),22.9)</f>
        <v>22.9</v>
      </c>
      <c r="E489" s="1">
        <f ca="1">IFERROR(__xludf.DUMMYFUNCTION("""COMPUTED_VALUE"""),23.37)</f>
        <v>23.37</v>
      </c>
      <c r="F489" s="1">
        <f ca="1">IFERROR(__xludf.DUMMYFUNCTION("""COMPUTED_VALUE"""),4239213)</f>
        <v>4239213</v>
      </c>
      <c r="G489" s="5">
        <f t="shared" ca="1" si="21"/>
        <v>-2.0539152759948668E-2</v>
      </c>
      <c r="H489" s="14">
        <f t="shared" si="22"/>
        <v>2017</v>
      </c>
      <c r="I489" s="5">
        <f t="shared" ca="1" si="23"/>
        <v>1.3003901170351136E-2</v>
      </c>
      <c r="J489" s="16"/>
    </row>
    <row r="490" spans="1:10" x14ac:dyDescent="0.2">
      <c r="A490" s="3">
        <v>42986</v>
      </c>
      <c r="B490" s="1">
        <f ca="1">IFERROR(__xludf.DUMMYFUNCTION("""COMPUTED_VALUE"""),23.27)</f>
        <v>23.27</v>
      </c>
      <c r="C490" s="1">
        <f ca="1">IFERROR(__xludf.DUMMYFUNCTION("""COMPUTED_VALUE"""),23.32)</f>
        <v>23.32</v>
      </c>
      <c r="D490" s="1">
        <f ca="1">IFERROR(__xludf.DUMMYFUNCTION("""COMPUTED_VALUE"""),22.82)</f>
        <v>22.82</v>
      </c>
      <c r="E490" s="1">
        <f ca="1">IFERROR(__xludf.DUMMYFUNCTION("""COMPUTED_VALUE"""),22.89)</f>
        <v>22.89</v>
      </c>
      <c r="F490" s="1">
        <f ca="1">IFERROR(__xludf.DUMMYFUNCTION("""COMPUTED_VALUE"""),3263508)</f>
        <v>3263508</v>
      </c>
      <c r="G490" s="5">
        <f t="shared" ca="1" si="21"/>
        <v>5.9414591524683244E-2</v>
      </c>
      <c r="H490" s="14">
        <f t="shared" si="22"/>
        <v>2017</v>
      </c>
      <c r="I490" s="5">
        <f t="shared" ca="1" si="23"/>
        <v>-1.6330038676407348E-2</v>
      </c>
      <c r="J490" s="16"/>
    </row>
    <row r="491" spans="1:10" x14ac:dyDescent="0.2">
      <c r="A491" s="3">
        <v>42989</v>
      </c>
      <c r="B491" s="1">
        <f ca="1">IFERROR(__xludf.DUMMYFUNCTION("""COMPUTED_VALUE"""),23.42)</f>
        <v>23.42</v>
      </c>
      <c r="C491" s="1">
        <f ca="1">IFERROR(__xludf.DUMMYFUNCTION("""COMPUTED_VALUE"""),24.25)</f>
        <v>24.25</v>
      </c>
      <c r="D491" s="1">
        <f ca="1">IFERROR(__xludf.DUMMYFUNCTION("""COMPUTED_VALUE"""),23.33)</f>
        <v>23.33</v>
      </c>
      <c r="E491" s="1">
        <f ca="1">IFERROR(__xludf.DUMMYFUNCTION("""COMPUTED_VALUE"""),24.25)</f>
        <v>24.25</v>
      </c>
      <c r="F491" s="1">
        <f ca="1">IFERROR(__xludf.DUMMYFUNCTION("""COMPUTED_VALUE"""),7667055)</f>
        <v>7667055</v>
      </c>
      <c r="G491" s="5">
        <f t="shared" ca="1" si="21"/>
        <v>-2.8865979381443416E-3</v>
      </c>
      <c r="H491" s="14">
        <f t="shared" si="22"/>
        <v>2017</v>
      </c>
      <c r="I491" s="5">
        <f t="shared" ca="1" si="23"/>
        <v>3.5439795046968328E-2</v>
      </c>
      <c r="J491" s="16"/>
    </row>
    <row r="492" spans="1:10" x14ac:dyDescent="0.2">
      <c r="A492" s="3">
        <v>42990</v>
      </c>
      <c r="B492" s="1">
        <f ca="1">IFERROR(__xludf.DUMMYFUNCTION("""COMPUTED_VALUE"""),24.3)</f>
        <v>24.3</v>
      </c>
      <c r="C492" s="1">
        <f ca="1">IFERROR(__xludf.DUMMYFUNCTION("""COMPUTED_VALUE"""),24.58)</f>
        <v>24.58</v>
      </c>
      <c r="D492" s="1">
        <f ca="1">IFERROR(__xludf.DUMMYFUNCTION("""COMPUTED_VALUE"""),24.03)</f>
        <v>24.03</v>
      </c>
      <c r="E492" s="1">
        <f ca="1">IFERROR(__xludf.DUMMYFUNCTION("""COMPUTED_VALUE"""),24.18)</f>
        <v>24.18</v>
      </c>
      <c r="F492" s="1">
        <f ca="1">IFERROR(__xludf.DUMMYFUNCTION("""COMPUTED_VALUE"""),5972907)</f>
        <v>5972907</v>
      </c>
      <c r="G492" s="5">
        <f t="shared" ca="1" si="21"/>
        <v>9.9255583126551701E-3</v>
      </c>
      <c r="H492" s="14">
        <f t="shared" si="22"/>
        <v>2017</v>
      </c>
      <c r="I492" s="5">
        <f t="shared" ca="1" si="23"/>
        <v>-4.9382716049383123E-3</v>
      </c>
      <c r="J492" s="16"/>
    </row>
    <row r="493" spans="1:10" x14ac:dyDescent="0.2">
      <c r="A493" s="3">
        <v>42991</v>
      </c>
      <c r="B493" s="1">
        <f ca="1">IFERROR(__xludf.DUMMYFUNCTION("""COMPUTED_VALUE"""),24.25)</f>
        <v>24.25</v>
      </c>
      <c r="C493" s="1">
        <f ca="1">IFERROR(__xludf.DUMMYFUNCTION("""COMPUTED_VALUE"""),24.54)</f>
        <v>24.54</v>
      </c>
      <c r="D493" s="1">
        <f ca="1">IFERROR(__xludf.DUMMYFUNCTION("""COMPUTED_VALUE"""),23.97)</f>
        <v>23.97</v>
      </c>
      <c r="E493" s="1">
        <f ca="1">IFERROR(__xludf.DUMMYFUNCTION("""COMPUTED_VALUE"""),24.42)</f>
        <v>24.42</v>
      </c>
      <c r="F493" s="1">
        <f ca="1">IFERROR(__xludf.DUMMYFUNCTION("""COMPUTED_VALUE"""),4185231)</f>
        <v>4185231</v>
      </c>
      <c r="G493" s="5">
        <f t="shared" ca="1" si="21"/>
        <v>3.1122031122031039E-2</v>
      </c>
      <c r="H493" s="14">
        <f t="shared" si="22"/>
        <v>2017</v>
      </c>
      <c r="I493" s="5">
        <f t="shared" ca="1" si="23"/>
        <v>7.0103092783505858E-3</v>
      </c>
      <c r="J493" s="16"/>
    </row>
    <row r="494" spans="1:10" x14ac:dyDescent="0.2">
      <c r="A494" s="3">
        <v>42992</v>
      </c>
      <c r="B494" s="1">
        <f ca="1">IFERROR(__xludf.DUMMYFUNCTION("""COMPUTED_VALUE"""),24.29)</f>
        <v>24.29</v>
      </c>
      <c r="C494" s="1">
        <f ca="1">IFERROR(__xludf.DUMMYFUNCTION("""COMPUTED_VALUE"""),25.2)</f>
        <v>25.2</v>
      </c>
      <c r="D494" s="1">
        <f ca="1">IFERROR(__xludf.DUMMYFUNCTION("""COMPUTED_VALUE"""),24.18)</f>
        <v>24.18</v>
      </c>
      <c r="E494" s="1">
        <f ca="1">IFERROR(__xludf.DUMMYFUNCTION("""COMPUTED_VALUE"""),25.18)</f>
        <v>25.18</v>
      </c>
      <c r="F494" s="1">
        <f ca="1">IFERROR(__xludf.DUMMYFUNCTION("""COMPUTED_VALUE"""),7202524)</f>
        <v>7202524</v>
      </c>
      <c r="G494" s="5">
        <f t="shared" ca="1" si="21"/>
        <v>5.5599682287530011E-3</v>
      </c>
      <c r="H494" s="14">
        <f t="shared" si="22"/>
        <v>2017</v>
      </c>
      <c r="I494" s="5">
        <f t="shared" ca="1" si="23"/>
        <v>3.6640592836558281E-2</v>
      </c>
      <c r="J494" s="16"/>
    </row>
    <row r="495" spans="1:10" x14ac:dyDescent="0.2">
      <c r="A495" s="3">
        <v>42993</v>
      </c>
      <c r="B495" s="1">
        <f ca="1">IFERROR(__xludf.DUMMYFUNCTION("""COMPUTED_VALUE"""),24.97)</f>
        <v>24.97</v>
      </c>
      <c r="C495" s="1">
        <f ca="1">IFERROR(__xludf.DUMMYFUNCTION("""COMPUTED_VALUE"""),25.33)</f>
        <v>25.33</v>
      </c>
      <c r="D495" s="1">
        <f ca="1">IFERROR(__xludf.DUMMYFUNCTION("""COMPUTED_VALUE"""),24.85)</f>
        <v>24.85</v>
      </c>
      <c r="E495" s="1">
        <f ca="1">IFERROR(__xludf.DUMMYFUNCTION("""COMPUTED_VALUE"""),25.32)</f>
        <v>25.32</v>
      </c>
      <c r="F495" s="1">
        <f ca="1">IFERROR(__xludf.DUMMYFUNCTION("""COMPUTED_VALUE"""),5420496)</f>
        <v>5420496</v>
      </c>
      <c r="G495" s="5">
        <f t="shared" ca="1" si="21"/>
        <v>1.3823064770932125E-2</v>
      </c>
      <c r="H495" s="14">
        <f t="shared" si="22"/>
        <v>2017</v>
      </c>
      <c r="I495" s="5">
        <f t="shared" ca="1" si="23"/>
        <v>1.4016820184221122E-2</v>
      </c>
      <c r="J495" s="16"/>
    </row>
    <row r="496" spans="1:10" x14ac:dyDescent="0.2">
      <c r="A496" s="3">
        <v>42996</v>
      </c>
      <c r="B496" s="1">
        <f ca="1">IFERROR(__xludf.DUMMYFUNCTION("""COMPUTED_VALUE"""),25.35)</f>
        <v>25.35</v>
      </c>
      <c r="C496" s="1">
        <f ca="1">IFERROR(__xludf.DUMMYFUNCTION("""COMPUTED_VALUE"""),25.97)</f>
        <v>25.97</v>
      </c>
      <c r="D496" s="1">
        <f ca="1">IFERROR(__xludf.DUMMYFUNCTION("""COMPUTED_VALUE"""),25.18)</f>
        <v>25.18</v>
      </c>
      <c r="E496" s="1">
        <f ca="1">IFERROR(__xludf.DUMMYFUNCTION("""COMPUTED_VALUE"""),25.67)</f>
        <v>25.67</v>
      </c>
      <c r="F496" s="1">
        <f ca="1">IFERROR(__xludf.DUMMYFUNCTION("""COMPUTED_VALUE"""),7187980)</f>
        <v>7187980</v>
      </c>
      <c r="G496" s="5">
        <f t="shared" ca="1" si="21"/>
        <v>-2.5710946630307756E-2</v>
      </c>
      <c r="H496" s="14">
        <f t="shared" si="22"/>
        <v>2017</v>
      </c>
      <c r="I496" s="5">
        <f t="shared" ca="1" si="23"/>
        <v>1.262327416173571E-2</v>
      </c>
      <c r="J496" s="16"/>
    </row>
    <row r="497" spans="1:10" x14ac:dyDescent="0.2">
      <c r="A497" s="3">
        <v>42997</v>
      </c>
      <c r="B497" s="1">
        <f ca="1">IFERROR(__xludf.DUMMYFUNCTION("""COMPUTED_VALUE"""),25.33)</f>
        <v>25.33</v>
      </c>
      <c r="C497" s="1">
        <f ca="1">IFERROR(__xludf.DUMMYFUNCTION("""COMPUTED_VALUE"""),25.49)</f>
        <v>25.49</v>
      </c>
      <c r="D497" s="1">
        <f ca="1">IFERROR(__xludf.DUMMYFUNCTION("""COMPUTED_VALUE"""),24.9)</f>
        <v>24.9</v>
      </c>
      <c r="E497" s="1">
        <f ca="1">IFERROR(__xludf.DUMMYFUNCTION("""COMPUTED_VALUE"""),25.01)</f>
        <v>25.01</v>
      </c>
      <c r="F497" s="1">
        <f ca="1">IFERROR(__xludf.DUMMYFUNCTION("""COMPUTED_VALUE"""),6451886)</f>
        <v>6451886</v>
      </c>
      <c r="G497" s="5">
        <f t="shared" ca="1" si="21"/>
        <v>-3.1987205117953556E-3</v>
      </c>
      <c r="H497" s="14">
        <f t="shared" si="22"/>
        <v>2017</v>
      </c>
      <c r="I497" s="5">
        <f t="shared" ca="1" si="23"/>
        <v>-1.2633241215949338E-2</v>
      </c>
      <c r="J497" s="16"/>
    </row>
    <row r="498" spans="1:10" x14ac:dyDescent="0.2">
      <c r="A498" s="3">
        <v>42998</v>
      </c>
      <c r="B498" s="1">
        <f ca="1">IFERROR(__xludf.DUMMYFUNCTION("""COMPUTED_VALUE"""),24.87)</f>
        <v>24.87</v>
      </c>
      <c r="C498" s="1">
        <f ca="1">IFERROR(__xludf.DUMMYFUNCTION("""COMPUTED_VALUE"""),25.22)</f>
        <v>25.22</v>
      </c>
      <c r="D498" s="1">
        <f ca="1">IFERROR(__xludf.DUMMYFUNCTION("""COMPUTED_VALUE"""),24.74)</f>
        <v>24.74</v>
      </c>
      <c r="E498" s="1">
        <f ca="1">IFERROR(__xludf.DUMMYFUNCTION("""COMPUTED_VALUE"""),24.93)</f>
        <v>24.93</v>
      </c>
      <c r="F498" s="1">
        <f ca="1">IFERROR(__xludf.DUMMYFUNCTION("""COMPUTED_VALUE"""),4919052)</f>
        <v>4919052</v>
      </c>
      <c r="G498" s="5">
        <f t="shared" ca="1" si="21"/>
        <v>-2.0056157240272765E-2</v>
      </c>
      <c r="H498" s="14">
        <f t="shared" si="22"/>
        <v>2017</v>
      </c>
      <c r="I498" s="5">
        <f t="shared" ca="1" si="23"/>
        <v>2.4125452352231091E-3</v>
      </c>
      <c r="J498" s="16"/>
    </row>
    <row r="499" spans="1:10" x14ac:dyDescent="0.2">
      <c r="A499" s="3">
        <v>42999</v>
      </c>
      <c r="B499" s="1">
        <f ca="1">IFERROR(__xludf.DUMMYFUNCTION("""COMPUTED_VALUE"""),24.99)</f>
        <v>24.99</v>
      </c>
      <c r="C499" s="1">
        <f ca="1">IFERROR(__xludf.DUMMYFUNCTION("""COMPUTED_VALUE"""),25.12)</f>
        <v>25.12</v>
      </c>
      <c r="D499" s="1">
        <f ca="1">IFERROR(__xludf.DUMMYFUNCTION("""COMPUTED_VALUE"""),24.3)</f>
        <v>24.3</v>
      </c>
      <c r="E499" s="1">
        <f ca="1">IFERROR(__xludf.DUMMYFUNCTION("""COMPUTED_VALUE"""),24.43)</f>
        <v>24.43</v>
      </c>
      <c r="F499" s="1">
        <f ca="1">IFERROR(__xludf.DUMMYFUNCTION("""COMPUTED_VALUE"""),4618190)</f>
        <v>4618190</v>
      </c>
      <c r="G499" s="5">
        <f t="shared" ca="1" si="21"/>
        <v>-4.1751944330740878E-2</v>
      </c>
      <c r="H499" s="14">
        <f t="shared" si="22"/>
        <v>2017</v>
      </c>
      <c r="I499" s="5">
        <f t="shared" ca="1" si="23"/>
        <v>-2.2408963585434125E-2</v>
      </c>
      <c r="J499" s="16"/>
    </row>
    <row r="500" spans="1:10" x14ac:dyDescent="0.2">
      <c r="A500" s="3">
        <v>43000</v>
      </c>
      <c r="B500" s="1">
        <f ca="1">IFERROR(__xludf.DUMMYFUNCTION("""COMPUTED_VALUE"""),24.43)</f>
        <v>24.43</v>
      </c>
      <c r="C500" s="1">
        <f ca="1">IFERROR(__xludf.DUMMYFUNCTION("""COMPUTED_VALUE"""),24.66)</f>
        <v>24.66</v>
      </c>
      <c r="D500" s="1">
        <f ca="1">IFERROR(__xludf.DUMMYFUNCTION("""COMPUTED_VALUE"""),23.39)</f>
        <v>23.39</v>
      </c>
      <c r="E500" s="1">
        <f ca="1">IFERROR(__xludf.DUMMYFUNCTION("""COMPUTED_VALUE"""),23.41)</f>
        <v>23.41</v>
      </c>
      <c r="F500" s="1">
        <f ca="1">IFERROR(__xludf.DUMMYFUNCTION("""COMPUTED_VALUE"""),8159418)</f>
        <v>8159418</v>
      </c>
      <c r="G500" s="5">
        <f t="shared" ca="1" si="21"/>
        <v>-1.7513882956001713E-2</v>
      </c>
      <c r="H500" s="14">
        <f t="shared" si="22"/>
        <v>2017</v>
      </c>
      <c r="I500" s="5">
        <f t="shared" ca="1" si="23"/>
        <v>-4.1751944330740878E-2</v>
      </c>
      <c r="J500" s="16"/>
    </row>
    <row r="501" spans="1:10" x14ac:dyDescent="0.2">
      <c r="A501" s="3">
        <v>43003</v>
      </c>
      <c r="B501" s="1">
        <f ca="1">IFERROR(__xludf.DUMMYFUNCTION("""COMPUTED_VALUE"""),23.54)</f>
        <v>23.54</v>
      </c>
      <c r="C501" s="1">
        <f ca="1">IFERROR(__xludf.DUMMYFUNCTION("""COMPUTED_VALUE"""),23.83)</f>
        <v>23.83</v>
      </c>
      <c r="D501" s="1">
        <f ca="1">IFERROR(__xludf.DUMMYFUNCTION("""COMPUTED_VALUE"""),22.86)</f>
        <v>22.86</v>
      </c>
      <c r="E501" s="1">
        <f ca="1">IFERROR(__xludf.DUMMYFUNCTION("""COMPUTED_VALUE"""),23)</f>
        <v>23</v>
      </c>
      <c r="F501" s="1">
        <f ca="1">IFERROR(__xludf.DUMMYFUNCTION("""COMPUTED_VALUE"""),7605946)</f>
        <v>7605946</v>
      </c>
      <c r="G501" s="5">
        <f t="shared" ca="1" si="21"/>
        <v>8.6956521739128584E-4</v>
      </c>
      <c r="H501" s="14">
        <f t="shared" si="22"/>
        <v>2017</v>
      </c>
      <c r="I501" s="5">
        <f t="shared" ca="1" si="23"/>
        <v>-2.2939677145284585E-2</v>
      </c>
      <c r="J501" s="16"/>
    </row>
    <row r="502" spans="1:10" x14ac:dyDescent="0.2">
      <c r="A502" s="3">
        <v>43004</v>
      </c>
      <c r="B502" s="1">
        <f ca="1">IFERROR(__xludf.DUMMYFUNCTION("""COMPUTED_VALUE"""),23.4)</f>
        <v>23.4</v>
      </c>
      <c r="C502" s="1">
        <f ca="1">IFERROR(__xludf.DUMMYFUNCTION("""COMPUTED_VALUE"""),23.42)</f>
        <v>23.42</v>
      </c>
      <c r="D502" s="1">
        <f ca="1">IFERROR(__xludf.DUMMYFUNCTION("""COMPUTED_VALUE"""),22.73)</f>
        <v>22.73</v>
      </c>
      <c r="E502" s="1">
        <f ca="1">IFERROR(__xludf.DUMMYFUNCTION("""COMPUTED_VALUE"""),23.02)</f>
        <v>23.02</v>
      </c>
      <c r="F502" s="1">
        <f ca="1">IFERROR(__xludf.DUMMYFUNCTION("""COMPUTED_VALUE"""),7156274)</f>
        <v>7156274</v>
      </c>
      <c r="G502" s="5">
        <f t="shared" ca="1" si="21"/>
        <v>-1.2597741094700224E-2</v>
      </c>
      <c r="H502" s="14">
        <f t="shared" si="22"/>
        <v>2017</v>
      </c>
      <c r="I502" s="5">
        <f t="shared" ca="1" si="23"/>
        <v>-1.6239316239316199E-2</v>
      </c>
      <c r="J502" s="16"/>
    </row>
    <row r="503" spans="1:10" x14ac:dyDescent="0.2">
      <c r="A503" s="3">
        <v>43005</v>
      </c>
      <c r="B503" s="1">
        <f ca="1">IFERROR(__xludf.DUMMYFUNCTION("""COMPUTED_VALUE"""),23.33)</f>
        <v>23.33</v>
      </c>
      <c r="C503" s="1">
        <f ca="1">IFERROR(__xludf.DUMMYFUNCTION("""COMPUTED_VALUE"""),23.43)</f>
        <v>23.43</v>
      </c>
      <c r="D503" s="1">
        <f ca="1">IFERROR(__xludf.DUMMYFUNCTION("""COMPUTED_VALUE"""),22.7)</f>
        <v>22.7</v>
      </c>
      <c r="E503" s="1">
        <f ca="1">IFERROR(__xludf.DUMMYFUNCTION("""COMPUTED_VALUE"""),22.73)</f>
        <v>22.73</v>
      </c>
      <c r="F503" s="1">
        <f ca="1">IFERROR(__xludf.DUMMYFUNCTION("""COMPUTED_VALUE"""),6060330)</f>
        <v>6060330</v>
      </c>
      <c r="G503" s="5">
        <f t="shared" ca="1" si="21"/>
        <v>-3.9595248570171515E-3</v>
      </c>
      <c r="H503" s="14">
        <f t="shared" si="22"/>
        <v>2017</v>
      </c>
      <c r="I503" s="5">
        <f t="shared" ca="1" si="23"/>
        <v>-2.5717959708529699E-2</v>
      </c>
      <c r="J503" s="16"/>
    </row>
    <row r="504" spans="1:10" x14ac:dyDescent="0.2">
      <c r="A504" s="3">
        <v>43006</v>
      </c>
      <c r="B504" s="1">
        <f ca="1">IFERROR(__xludf.DUMMYFUNCTION("""COMPUTED_VALUE"""),22.66)</f>
        <v>22.66</v>
      </c>
      <c r="C504" s="1">
        <f ca="1">IFERROR(__xludf.DUMMYFUNCTION("""COMPUTED_VALUE"""),22.85)</f>
        <v>22.85</v>
      </c>
      <c r="D504" s="1">
        <f ca="1">IFERROR(__xludf.DUMMYFUNCTION("""COMPUTED_VALUE"""),22.36)</f>
        <v>22.36</v>
      </c>
      <c r="E504" s="1">
        <f ca="1">IFERROR(__xludf.DUMMYFUNCTION("""COMPUTED_VALUE"""),22.64)</f>
        <v>22.64</v>
      </c>
      <c r="F504" s="1">
        <f ca="1">IFERROR(__xludf.DUMMYFUNCTION("""COMPUTED_VALUE"""),5319617)</f>
        <v>5319617</v>
      </c>
      <c r="G504" s="5">
        <f t="shared" ca="1" si="21"/>
        <v>4.4169611307419551E-3</v>
      </c>
      <c r="H504" s="14">
        <f t="shared" si="22"/>
        <v>2017</v>
      </c>
      <c r="I504" s="5">
        <f t="shared" ca="1" si="23"/>
        <v>-8.8261253309795116E-4</v>
      </c>
      <c r="J504" s="16"/>
    </row>
    <row r="505" spans="1:10" x14ac:dyDescent="0.2">
      <c r="A505" s="3">
        <v>43007</v>
      </c>
      <c r="B505" s="1">
        <f ca="1">IFERROR(__xludf.DUMMYFUNCTION("""COMPUTED_VALUE"""),22.79)</f>
        <v>22.79</v>
      </c>
      <c r="C505" s="1">
        <f ca="1">IFERROR(__xludf.DUMMYFUNCTION("""COMPUTED_VALUE"""),22.98)</f>
        <v>22.98</v>
      </c>
      <c r="D505" s="1">
        <f ca="1">IFERROR(__xludf.DUMMYFUNCTION("""COMPUTED_VALUE"""),22.57)</f>
        <v>22.57</v>
      </c>
      <c r="E505" s="1">
        <f ca="1">IFERROR(__xludf.DUMMYFUNCTION("""COMPUTED_VALUE"""),22.74)</f>
        <v>22.74</v>
      </c>
      <c r="F505" s="1">
        <f ca="1">IFERROR(__xludf.DUMMYFUNCTION("""COMPUTED_VALUE"""),5107082)</f>
        <v>5107082</v>
      </c>
      <c r="G505" s="5">
        <f t="shared" ca="1" si="21"/>
        <v>1.3192612137203667E-3</v>
      </c>
      <c r="H505" s="14">
        <f t="shared" si="22"/>
        <v>2017</v>
      </c>
      <c r="I505" s="5">
        <f t="shared" ca="1" si="23"/>
        <v>-2.1939447125932741E-3</v>
      </c>
      <c r="J505" s="16"/>
    </row>
    <row r="506" spans="1:10" x14ac:dyDescent="0.2">
      <c r="A506" s="3">
        <v>43010</v>
      </c>
      <c r="B506" s="1">
        <f ca="1">IFERROR(__xludf.DUMMYFUNCTION("""COMPUTED_VALUE"""),22.83)</f>
        <v>22.83</v>
      </c>
      <c r="C506" s="1">
        <f ca="1">IFERROR(__xludf.DUMMYFUNCTION("""COMPUTED_VALUE"""),22.91)</f>
        <v>22.91</v>
      </c>
      <c r="D506" s="1">
        <f ca="1">IFERROR(__xludf.DUMMYFUNCTION("""COMPUTED_VALUE"""),22.37)</f>
        <v>22.37</v>
      </c>
      <c r="E506" s="1">
        <f ca="1">IFERROR(__xludf.DUMMYFUNCTION("""COMPUTED_VALUE"""),22.77)</f>
        <v>22.77</v>
      </c>
      <c r="F506" s="1">
        <f ca="1">IFERROR(__xludf.DUMMYFUNCTION("""COMPUTED_VALUE"""),5286774)</f>
        <v>5286774</v>
      </c>
      <c r="G506" s="5">
        <f t="shared" ca="1" si="21"/>
        <v>1.9323671497584599E-2</v>
      </c>
      <c r="H506" s="14">
        <f t="shared" si="22"/>
        <v>2017</v>
      </c>
      <c r="I506" s="5">
        <f t="shared" ca="1" si="23"/>
        <v>-2.6281208935610479E-3</v>
      </c>
      <c r="J506" s="16"/>
    </row>
    <row r="507" spans="1:10" x14ac:dyDescent="0.2">
      <c r="A507" s="3">
        <v>43011</v>
      </c>
      <c r="B507" s="1">
        <f ca="1">IFERROR(__xludf.DUMMYFUNCTION("""COMPUTED_VALUE"""),22.39)</f>
        <v>22.39</v>
      </c>
      <c r="C507" s="1">
        <f ca="1">IFERROR(__xludf.DUMMYFUNCTION("""COMPUTED_VALUE"""),23.24)</f>
        <v>23.24</v>
      </c>
      <c r="D507" s="1">
        <f ca="1">IFERROR(__xludf.DUMMYFUNCTION("""COMPUTED_VALUE"""),22.09)</f>
        <v>22.09</v>
      </c>
      <c r="E507" s="1">
        <f ca="1">IFERROR(__xludf.DUMMYFUNCTION("""COMPUTED_VALUE"""),23.21)</f>
        <v>23.21</v>
      </c>
      <c r="F507" s="1">
        <f ca="1">IFERROR(__xludf.DUMMYFUNCTION("""COMPUTED_VALUE"""),10153596)</f>
        <v>10153596</v>
      </c>
      <c r="G507" s="5">
        <f t="shared" ca="1" si="21"/>
        <v>1.9819043515726015E-2</v>
      </c>
      <c r="H507" s="14">
        <f t="shared" si="22"/>
        <v>2017</v>
      </c>
      <c r="I507" s="5">
        <f t="shared" ca="1" si="23"/>
        <v>3.6623492630638688E-2</v>
      </c>
      <c r="J507" s="16"/>
    </row>
    <row r="508" spans="1:10" x14ac:dyDescent="0.2">
      <c r="A508" s="3">
        <v>43012</v>
      </c>
      <c r="B508" s="1">
        <f ca="1">IFERROR(__xludf.DUMMYFUNCTION("""COMPUTED_VALUE"""),23.42)</f>
        <v>23.42</v>
      </c>
      <c r="C508" s="1">
        <f ca="1">IFERROR(__xludf.DUMMYFUNCTION("""COMPUTED_VALUE"""),23.91)</f>
        <v>23.91</v>
      </c>
      <c r="D508" s="1">
        <f ca="1">IFERROR(__xludf.DUMMYFUNCTION("""COMPUTED_VALUE"""),23.31)</f>
        <v>23.31</v>
      </c>
      <c r="E508" s="1">
        <f ca="1">IFERROR(__xludf.DUMMYFUNCTION("""COMPUTED_VALUE"""),23.67)</f>
        <v>23.67</v>
      </c>
      <c r="F508" s="1">
        <f ca="1">IFERROR(__xludf.DUMMYFUNCTION("""COMPUTED_VALUE"""),8163543)</f>
        <v>8163543</v>
      </c>
      <c r="G508" s="5">
        <f t="shared" ca="1" si="21"/>
        <v>8.4495141529360249E-4</v>
      </c>
      <c r="H508" s="14">
        <f t="shared" si="22"/>
        <v>2017</v>
      </c>
      <c r="I508" s="5">
        <f t="shared" ca="1" si="23"/>
        <v>1.067463706233988E-2</v>
      </c>
      <c r="J508" s="16"/>
    </row>
    <row r="509" spans="1:10" x14ac:dyDescent="0.2">
      <c r="A509" s="3">
        <v>43013</v>
      </c>
      <c r="B509" s="1">
        <f ca="1">IFERROR(__xludf.DUMMYFUNCTION("""COMPUTED_VALUE"""),23.73)</f>
        <v>23.73</v>
      </c>
      <c r="C509" s="1">
        <f ca="1">IFERROR(__xludf.DUMMYFUNCTION("""COMPUTED_VALUE"""),23.83)</f>
        <v>23.83</v>
      </c>
      <c r="D509" s="1">
        <f ca="1">IFERROR(__xludf.DUMMYFUNCTION("""COMPUTED_VALUE"""),23.42)</f>
        <v>23.42</v>
      </c>
      <c r="E509" s="1">
        <f ca="1">IFERROR(__xludf.DUMMYFUNCTION("""COMPUTED_VALUE"""),23.69)</f>
        <v>23.69</v>
      </c>
      <c r="F509" s="1">
        <f ca="1">IFERROR(__xludf.DUMMYFUNCTION("""COMPUTED_VALUE"""),4171675)</f>
        <v>4171675</v>
      </c>
      <c r="G509" s="5">
        <f t="shared" ca="1" si="21"/>
        <v>4.2211903756858536E-3</v>
      </c>
      <c r="H509" s="14">
        <f t="shared" si="22"/>
        <v>2017</v>
      </c>
      <c r="I509" s="5">
        <f t="shared" ca="1" si="23"/>
        <v>-1.6856300042140391E-3</v>
      </c>
      <c r="J509" s="16"/>
    </row>
    <row r="510" spans="1:10" x14ac:dyDescent="0.2">
      <c r="A510" s="3">
        <v>43014</v>
      </c>
      <c r="B510" s="1">
        <f ca="1">IFERROR(__xludf.DUMMYFUNCTION("""COMPUTED_VALUE"""),23.54)</f>
        <v>23.54</v>
      </c>
      <c r="C510" s="1">
        <f ca="1">IFERROR(__xludf.DUMMYFUNCTION("""COMPUTED_VALUE"""),24.01)</f>
        <v>24.01</v>
      </c>
      <c r="D510" s="1">
        <f ca="1">IFERROR(__xludf.DUMMYFUNCTION("""COMPUTED_VALUE"""),23.48)</f>
        <v>23.48</v>
      </c>
      <c r="E510" s="1">
        <f ca="1">IFERROR(__xludf.DUMMYFUNCTION("""COMPUTED_VALUE"""),23.79)</f>
        <v>23.79</v>
      </c>
      <c r="F510" s="1">
        <f ca="1">IFERROR(__xludf.DUMMYFUNCTION("""COMPUTED_VALUE"""),4297474)</f>
        <v>4297474</v>
      </c>
      <c r="G510" s="5">
        <f t="shared" ca="1" si="21"/>
        <v>-3.9092055485498101E-2</v>
      </c>
      <c r="H510" s="14">
        <f t="shared" si="22"/>
        <v>2017</v>
      </c>
      <c r="I510" s="5">
        <f t="shared" ca="1" si="23"/>
        <v>1.0620220900594732E-2</v>
      </c>
      <c r="J510" s="16"/>
    </row>
    <row r="511" spans="1:10" x14ac:dyDescent="0.2">
      <c r="A511" s="3">
        <v>43017</v>
      </c>
      <c r="B511" s="1">
        <f ca="1">IFERROR(__xludf.DUMMYFUNCTION("""COMPUTED_VALUE"""),23.31)</f>
        <v>23.31</v>
      </c>
      <c r="C511" s="1">
        <f ca="1">IFERROR(__xludf.DUMMYFUNCTION("""COMPUTED_VALUE"""),23.45)</f>
        <v>23.45</v>
      </c>
      <c r="D511" s="1">
        <f ca="1">IFERROR(__xludf.DUMMYFUNCTION("""COMPUTED_VALUE"""),22.84)</f>
        <v>22.84</v>
      </c>
      <c r="E511" s="1">
        <f ca="1">IFERROR(__xludf.DUMMYFUNCTION("""COMPUTED_VALUE"""),22.86)</f>
        <v>22.86</v>
      </c>
      <c r="F511" s="1">
        <f ca="1">IFERROR(__xludf.DUMMYFUNCTION("""COMPUTED_VALUE"""),7493654)</f>
        <v>7493654</v>
      </c>
      <c r="G511" s="5">
        <f t="shared" ca="1" si="21"/>
        <v>3.7182852143482124E-2</v>
      </c>
      <c r="H511" s="14">
        <f t="shared" si="22"/>
        <v>2017</v>
      </c>
      <c r="I511" s="5">
        <f t="shared" ca="1" si="23"/>
        <v>-1.9305019305019277E-2</v>
      </c>
      <c r="J511" s="16"/>
    </row>
    <row r="512" spans="1:10" x14ac:dyDescent="0.2">
      <c r="A512" s="3">
        <v>43018</v>
      </c>
      <c r="B512" s="1">
        <f ca="1">IFERROR(__xludf.DUMMYFUNCTION("""COMPUTED_VALUE"""),23.12)</f>
        <v>23.12</v>
      </c>
      <c r="C512" s="1">
        <f ca="1">IFERROR(__xludf.DUMMYFUNCTION("""COMPUTED_VALUE"""),23.71)</f>
        <v>23.71</v>
      </c>
      <c r="D512" s="1">
        <f ca="1">IFERROR(__xludf.DUMMYFUNCTION("""COMPUTED_VALUE"""),23.04)</f>
        <v>23.04</v>
      </c>
      <c r="E512" s="1">
        <f ca="1">IFERROR(__xludf.DUMMYFUNCTION("""COMPUTED_VALUE"""),23.71)</f>
        <v>23.71</v>
      </c>
      <c r="F512" s="1">
        <f ca="1">IFERROR(__xludf.DUMMYFUNCTION("""COMPUTED_VALUE"""),6978495)</f>
        <v>6978495</v>
      </c>
      <c r="G512" s="5">
        <f t="shared" ca="1" si="21"/>
        <v>-2.9523407844791348E-3</v>
      </c>
      <c r="H512" s="14">
        <f t="shared" si="22"/>
        <v>2017</v>
      </c>
      <c r="I512" s="5">
        <f t="shared" ca="1" si="23"/>
        <v>2.5519031141868504E-2</v>
      </c>
      <c r="J512" s="16"/>
    </row>
    <row r="513" spans="1:10" x14ac:dyDescent="0.2">
      <c r="A513" s="3">
        <v>43019</v>
      </c>
      <c r="B513" s="1">
        <f ca="1">IFERROR(__xludf.DUMMYFUNCTION("""COMPUTED_VALUE"""),23.59)</f>
        <v>23.59</v>
      </c>
      <c r="C513" s="1">
        <f ca="1">IFERROR(__xludf.DUMMYFUNCTION("""COMPUTED_VALUE"""),23.84)</f>
        <v>23.84</v>
      </c>
      <c r="D513" s="1">
        <f ca="1">IFERROR(__xludf.DUMMYFUNCTION("""COMPUTED_VALUE"""),23.41)</f>
        <v>23.41</v>
      </c>
      <c r="E513" s="1">
        <f ca="1">IFERROR(__xludf.DUMMYFUNCTION("""COMPUTED_VALUE"""),23.64)</f>
        <v>23.64</v>
      </c>
      <c r="F513" s="1">
        <f ca="1">IFERROR(__xludf.DUMMYFUNCTION("""COMPUTED_VALUE"""),4500831)</f>
        <v>4500831</v>
      </c>
      <c r="G513" s="5">
        <f t="shared" ca="1" si="21"/>
        <v>2.9610829103215008E-3</v>
      </c>
      <c r="H513" s="14">
        <f t="shared" si="22"/>
        <v>2017</v>
      </c>
      <c r="I513" s="5">
        <f t="shared" ca="1" si="23"/>
        <v>2.1195421788893901E-3</v>
      </c>
      <c r="J513" s="16"/>
    </row>
    <row r="514" spans="1:10" x14ac:dyDescent="0.2">
      <c r="A514" s="3">
        <v>43020</v>
      </c>
      <c r="B514" s="1">
        <f ca="1">IFERROR(__xludf.DUMMYFUNCTION("""COMPUTED_VALUE"""),23.53)</f>
        <v>23.53</v>
      </c>
      <c r="C514" s="1">
        <f ca="1">IFERROR(__xludf.DUMMYFUNCTION("""COMPUTED_VALUE"""),23.99)</f>
        <v>23.99</v>
      </c>
      <c r="D514" s="1">
        <f ca="1">IFERROR(__xludf.DUMMYFUNCTION("""COMPUTED_VALUE"""),23.51)</f>
        <v>23.51</v>
      </c>
      <c r="E514" s="1">
        <f ca="1">IFERROR(__xludf.DUMMYFUNCTION("""COMPUTED_VALUE"""),23.71)</f>
        <v>23.71</v>
      </c>
      <c r="F514" s="1">
        <f ca="1">IFERROR(__xludf.DUMMYFUNCTION("""COMPUTED_VALUE"""),4087048)</f>
        <v>4087048</v>
      </c>
      <c r="G514" s="5">
        <f t="shared" ca="1" si="21"/>
        <v>-4.2176296921136915E-4</v>
      </c>
      <c r="H514" s="14">
        <f t="shared" si="22"/>
        <v>2017</v>
      </c>
      <c r="I514" s="5">
        <f t="shared" ca="1" si="23"/>
        <v>7.6498087547811179E-3</v>
      </c>
      <c r="J514" s="16"/>
    </row>
    <row r="515" spans="1:10" x14ac:dyDescent="0.2">
      <c r="A515" s="3">
        <v>43021</v>
      </c>
      <c r="B515" s="1">
        <f ca="1">IFERROR(__xludf.DUMMYFUNCTION("""COMPUTED_VALUE"""),23.8)</f>
        <v>23.8</v>
      </c>
      <c r="C515" s="1">
        <f ca="1">IFERROR(__xludf.DUMMYFUNCTION("""COMPUTED_VALUE"""),23.9)</f>
        <v>23.9</v>
      </c>
      <c r="D515" s="1">
        <f ca="1">IFERROR(__xludf.DUMMYFUNCTION("""COMPUTED_VALUE"""),23.58)</f>
        <v>23.58</v>
      </c>
      <c r="E515" s="1">
        <f ca="1">IFERROR(__xludf.DUMMYFUNCTION("""COMPUTED_VALUE"""),23.7)</f>
        <v>23.7</v>
      </c>
      <c r="F515" s="1">
        <f ca="1">IFERROR(__xludf.DUMMYFUNCTION("""COMPUTED_VALUE"""),3540533)</f>
        <v>3540533</v>
      </c>
      <c r="G515" s="5">
        <f t="shared" ref="G515:G578" ca="1" si="24">(E516-E515)/E515</f>
        <v>-1.3924050632911321E-2</v>
      </c>
      <c r="H515" s="14">
        <f t="shared" ref="H515:H578" si="25">YEAR(A515)</f>
        <v>2017</v>
      </c>
      <c r="I515" s="5">
        <f t="shared" ref="I515:I578" ca="1" si="26">((E515 - B515) / B515)</f>
        <v>-4.2016806722689672E-3</v>
      </c>
      <c r="J515" s="16"/>
    </row>
    <row r="516" spans="1:10" x14ac:dyDescent="0.2">
      <c r="A516" s="3">
        <v>43024</v>
      </c>
      <c r="B516" s="1">
        <f ca="1">IFERROR(__xludf.DUMMYFUNCTION("""COMPUTED_VALUE"""),23.58)</f>
        <v>23.58</v>
      </c>
      <c r="C516" s="1">
        <f ca="1">IFERROR(__xludf.DUMMYFUNCTION("""COMPUTED_VALUE"""),23.63)</f>
        <v>23.63</v>
      </c>
      <c r="D516" s="1">
        <f ca="1">IFERROR(__xludf.DUMMYFUNCTION("""COMPUTED_VALUE"""),23.14)</f>
        <v>23.14</v>
      </c>
      <c r="E516" s="1">
        <f ca="1">IFERROR(__xludf.DUMMYFUNCTION("""COMPUTED_VALUE"""),23.37)</f>
        <v>23.37</v>
      </c>
      <c r="F516" s="1">
        <f ca="1">IFERROR(__xludf.DUMMYFUNCTION("""COMPUTED_VALUE"""),5375486)</f>
        <v>5375486</v>
      </c>
      <c r="G516" s="5">
        <f t="shared" ca="1" si="24"/>
        <v>1.4976465554129135E-2</v>
      </c>
      <c r="H516" s="14">
        <f t="shared" si="25"/>
        <v>2017</v>
      </c>
      <c r="I516" s="5">
        <f t="shared" ca="1" si="26"/>
        <v>-8.9058524173026843E-3</v>
      </c>
      <c r="J516" s="16"/>
    </row>
    <row r="517" spans="1:10" x14ac:dyDescent="0.2">
      <c r="A517" s="3">
        <v>43025</v>
      </c>
      <c r="B517" s="1">
        <f ca="1">IFERROR(__xludf.DUMMYFUNCTION("""COMPUTED_VALUE"""),23.39)</f>
        <v>23.39</v>
      </c>
      <c r="C517" s="1">
        <f ca="1">IFERROR(__xludf.DUMMYFUNCTION("""COMPUTED_VALUE"""),23.75)</f>
        <v>23.75</v>
      </c>
      <c r="D517" s="1">
        <f ca="1">IFERROR(__xludf.DUMMYFUNCTION("""COMPUTED_VALUE"""),23.34)</f>
        <v>23.34</v>
      </c>
      <c r="E517" s="1">
        <f ca="1">IFERROR(__xludf.DUMMYFUNCTION("""COMPUTED_VALUE"""),23.72)</f>
        <v>23.72</v>
      </c>
      <c r="F517" s="1">
        <f ca="1">IFERROR(__xludf.DUMMYFUNCTION("""COMPUTED_VALUE"""),3293345)</f>
        <v>3293345</v>
      </c>
      <c r="G517" s="5">
        <f t="shared" ca="1" si="24"/>
        <v>1.0961214165261449E-2</v>
      </c>
      <c r="H517" s="14">
        <f t="shared" si="25"/>
        <v>2017</v>
      </c>
      <c r="I517" s="5">
        <f t="shared" ca="1" si="26"/>
        <v>1.4108593415989665E-2</v>
      </c>
      <c r="J517" s="16"/>
    </row>
    <row r="518" spans="1:10" x14ac:dyDescent="0.2">
      <c r="A518" s="3">
        <v>43026</v>
      </c>
      <c r="B518" s="1">
        <f ca="1">IFERROR(__xludf.DUMMYFUNCTION("""COMPUTED_VALUE"""),23.73)</f>
        <v>23.73</v>
      </c>
      <c r="C518" s="1">
        <f ca="1">IFERROR(__xludf.DUMMYFUNCTION("""COMPUTED_VALUE"""),24.2)</f>
        <v>24.2</v>
      </c>
      <c r="D518" s="1">
        <f ca="1">IFERROR(__xludf.DUMMYFUNCTION("""COMPUTED_VALUE"""),23.61)</f>
        <v>23.61</v>
      </c>
      <c r="E518" s="1">
        <f ca="1">IFERROR(__xludf.DUMMYFUNCTION("""COMPUTED_VALUE"""),23.98)</f>
        <v>23.98</v>
      </c>
      <c r="F518" s="1">
        <f ca="1">IFERROR(__xludf.DUMMYFUNCTION("""COMPUTED_VALUE"""),4939074)</f>
        <v>4939074</v>
      </c>
      <c r="G518" s="5">
        <f t="shared" ca="1" si="24"/>
        <v>-2.2101751459549672E-2</v>
      </c>
      <c r="H518" s="14">
        <f t="shared" si="25"/>
        <v>2017</v>
      </c>
      <c r="I518" s="5">
        <f t="shared" ca="1" si="26"/>
        <v>1.0535187526337969E-2</v>
      </c>
      <c r="J518" s="16"/>
    </row>
    <row r="519" spans="1:10" x14ac:dyDescent="0.2">
      <c r="A519" s="3">
        <v>43027</v>
      </c>
      <c r="B519" s="1">
        <f ca="1">IFERROR(__xludf.DUMMYFUNCTION("""COMPUTED_VALUE"""),23.7)</f>
        <v>23.7</v>
      </c>
      <c r="C519" s="1">
        <f ca="1">IFERROR(__xludf.DUMMYFUNCTION("""COMPUTED_VALUE"""),23.81)</f>
        <v>23.81</v>
      </c>
      <c r="D519" s="1">
        <f ca="1">IFERROR(__xludf.DUMMYFUNCTION("""COMPUTED_VALUE"""),23.21)</f>
        <v>23.21</v>
      </c>
      <c r="E519" s="1">
        <f ca="1">IFERROR(__xludf.DUMMYFUNCTION("""COMPUTED_VALUE"""),23.45)</f>
        <v>23.45</v>
      </c>
      <c r="F519" s="1">
        <f ca="1">IFERROR(__xludf.DUMMYFUNCTION("""COMPUTED_VALUE"""),5061843)</f>
        <v>5061843</v>
      </c>
      <c r="G519" s="5">
        <f t="shared" ca="1" si="24"/>
        <v>-1.8763326226012698E-2</v>
      </c>
      <c r="H519" s="14">
        <f t="shared" si="25"/>
        <v>2017</v>
      </c>
      <c r="I519" s="5">
        <f t="shared" ca="1" si="26"/>
        <v>-1.0548523206751054E-2</v>
      </c>
      <c r="J519" s="16"/>
    </row>
    <row r="520" spans="1:10" x14ac:dyDescent="0.2">
      <c r="A520" s="3">
        <v>43028</v>
      </c>
      <c r="B520" s="1">
        <f ca="1">IFERROR(__xludf.DUMMYFUNCTION("""COMPUTED_VALUE"""),23.51)</f>
        <v>23.51</v>
      </c>
      <c r="C520" s="1">
        <f ca="1">IFERROR(__xludf.DUMMYFUNCTION("""COMPUTED_VALUE"""),23.64)</f>
        <v>23.64</v>
      </c>
      <c r="D520" s="1">
        <f ca="1">IFERROR(__xludf.DUMMYFUNCTION("""COMPUTED_VALUE"""),22.96)</f>
        <v>22.96</v>
      </c>
      <c r="E520" s="1">
        <f ca="1">IFERROR(__xludf.DUMMYFUNCTION("""COMPUTED_VALUE"""),23.01)</f>
        <v>23.01</v>
      </c>
      <c r="F520" s="1">
        <f ca="1">IFERROR(__xludf.DUMMYFUNCTION("""COMPUTED_VALUE"""),4930395)</f>
        <v>4930395</v>
      </c>
      <c r="G520" s="5">
        <f t="shared" ca="1" si="24"/>
        <v>-2.3468057366362566E-2</v>
      </c>
      <c r="H520" s="14">
        <f t="shared" si="25"/>
        <v>2017</v>
      </c>
      <c r="I520" s="5">
        <f t="shared" ca="1" si="26"/>
        <v>-2.1267545725223307E-2</v>
      </c>
      <c r="J520" s="16"/>
    </row>
    <row r="521" spans="1:10" x14ac:dyDescent="0.2">
      <c r="A521" s="3">
        <v>43031</v>
      </c>
      <c r="B521" s="1">
        <f ca="1">IFERROR(__xludf.DUMMYFUNCTION("""COMPUTED_VALUE"""),23.33)</f>
        <v>23.33</v>
      </c>
      <c r="C521" s="1">
        <f ca="1">IFERROR(__xludf.DUMMYFUNCTION("""COMPUTED_VALUE"""),23.33)</f>
        <v>23.33</v>
      </c>
      <c r="D521" s="1">
        <f ca="1">IFERROR(__xludf.DUMMYFUNCTION("""COMPUTED_VALUE"""),22.42)</f>
        <v>22.42</v>
      </c>
      <c r="E521" s="1">
        <f ca="1">IFERROR(__xludf.DUMMYFUNCTION("""COMPUTED_VALUE"""),22.47)</f>
        <v>22.47</v>
      </c>
      <c r="F521" s="1">
        <f ca="1">IFERROR(__xludf.DUMMYFUNCTION("""COMPUTED_VALUE"""),5747346)</f>
        <v>5747346</v>
      </c>
      <c r="G521" s="5">
        <f t="shared" ca="1" si="24"/>
        <v>8.9007565643077773E-4</v>
      </c>
      <c r="H521" s="14">
        <f t="shared" si="25"/>
        <v>2017</v>
      </c>
      <c r="I521" s="5">
        <f t="shared" ca="1" si="26"/>
        <v>-3.6862408915559343E-2</v>
      </c>
      <c r="J521" s="16"/>
    </row>
    <row r="522" spans="1:10" x14ac:dyDescent="0.2">
      <c r="A522" s="3">
        <v>43032</v>
      </c>
      <c r="B522" s="1">
        <f ca="1">IFERROR(__xludf.DUMMYFUNCTION("""COMPUTED_VALUE"""),22.59)</f>
        <v>22.59</v>
      </c>
      <c r="C522" s="1">
        <f ca="1">IFERROR(__xludf.DUMMYFUNCTION("""COMPUTED_VALUE"""),22.85)</f>
        <v>22.85</v>
      </c>
      <c r="D522" s="1">
        <f ca="1">IFERROR(__xludf.DUMMYFUNCTION("""COMPUTED_VALUE"""),22.41)</f>
        <v>22.41</v>
      </c>
      <c r="E522" s="1">
        <f ca="1">IFERROR(__xludf.DUMMYFUNCTION("""COMPUTED_VALUE"""),22.49)</f>
        <v>22.49</v>
      </c>
      <c r="F522" s="1">
        <f ca="1">IFERROR(__xludf.DUMMYFUNCTION("""COMPUTED_VALUE"""),4491672)</f>
        <v>4491672</v>
      </c>
      <c r="G522" s="5">
        <f t="shared" ca="1" si="24"/>
        <v>-3.4237438861716304E-2</v>
      </c>
      <c r="H522" s="14">
        <f t="shared" si="25"/>
        <v>2017</v>
      </c>
      <c r="I522" s="5">
        <f t="shared" ca="1" si="26"/>
        <v>-4.4267374944666413E-3</v>
      </c>
      <c r="J522" s="16"/>
    </row>
    <row r="523" spans="1:10" x14ac:dyDescent="0.2">
      <c r="A523" s="3">
        <v>43033</v>
      </c>
      <c r="B523" s="1">
        <f ca="1">IFERROR(__xludf.DUMMYFUNCTION("""COMPUTED_VALUE"""),22.45)</f>
        <v>22.45</v>
      </c>
      <c r="C523" s="1">
        <f ca="1">IFERROR(__xludf.DUMMYFUNCTION("""COMPUTED_VALUE"""),22.5)</f>
        <v>22.5</v>
      </c>
      <c r="D523" s="1">
        <f ca="1">IFERROR(__xludf.DUMMYFUNCTION("""COMPUTED_VALUE"""),21.57)</f>
        <v>21.57</v>
      </c>
      <c r="E523" s="1">
        <f ca="1">IFERROR(__xludf.DUMMYFUNCTION("""COMPUTED_VALUE"""),21.72)</f>
        <v>21.72</v>
      </c>
      <c r="F523" s="1">
        <f ca="1">IFERROR(__xludf.DUMMYFUNCTION("""COMPUTED_VALUE"""),8594073)</f>
        <v>8594073</v>
      </c>
      <c r="G523" s="5">
        <f t="shared" ca="1" si="24"/>
        <v>9.2081031307548686E-4</v>
      </c>
      <c r="H523" s="14">
        <f t="shared" si="25"/>
        <v>2017</v>
      </c>
      <c r="I523" s="5">
        <f t="shared" ca="1" si="26"/>
        <v>-3.2516703786191557E-2</v>
      </c>
      <c r="J523" s="16"/>
    </row>
    <row r="524" spans="1:10" x14ac:dyDescent="0.2">
      <c r="A524" s="3">
        <v>43034</v>
      </c>
      <c r="B524" s="1">
        <f ca="1">IFERROR(__xludf.DUMMYFUNCTION("""COMPUTED_VALUE"""),21.85)</f>
        <v>21.85</v>
      </c>
      <c r="C524" s="1">
        <f ca="1">IFERROR(__xludf.DUMMYFUNCTION("""COMPUTED_VALUE"""),22.02)</f>
        <v>22.02</v>
      </c>
      <c r="D524" s="1">
        <f ca="1">IFERROR(__xludf.DUMMYFUNCTION("""COMPUTED_VALUE"""),21.55)</f>
        <v>21.55</v>
      </c>
      <c r="E524" s="1">
        <f ca="1">IFERROR(__xludf.DUMMYFUNCTION("""COMPUTED_VALUE"""),21.74)</f>
        <v>21.74</v>
      </c>
      <c r="F524" s="1">
        <f ca="1">IFERROR(__xludf.DUMMYFUNCTION("""COMPUTED_VALUE"""),5023500)</f>
        <v>5023500</v>
      </c>
      <c r="G524" s="5">
        <f t="shared" ca="1" si="24"/>
        <v>-1.6099356025758873E-2</v>
      </c>
      <c r="H524" s="14">
        <f t="shared" si="25"/>
        <v>2017</v>
      </c>
      <c r="I524" s="5">
        <f t="shared" ca="1" si="26"/>
        <v>-5.0343249427918981E-3</v>
      </c>
      <c r="J524" s="16"/>
    </row>
    <row r="525" spans="1:10" x14ac:dyDescent="0.2">
      <c r="A525" s="3">
        <v>43035</v>
      </c>
      <c r="B525" s="1">
        <f ca="1">IFERROR(__xludf.DUMMYFUNCTION("""COMPUTED_VALUE"""),21.32)</f>
        <v>21.32</v>
      </c>
      <c r="C525" s="1">
        <f ca="1">IFERROR(__xludf.DUMMYFUNCTION("""COMPUTED_VALUE"""),21.64)</f>
        <v>21.64</v>
      </c>
      <c r="D525" s="1">
        <f ca="1">IFERROR(__xludf.DUMMYFUNCTION("""COMPUTED_VALUE"""),21.11)</f>
        <v>21.11</v>
      </c>
      <c r="E525" s="1">
        <f ca="1">IFERROR(__xludf.DUMMYFUNCTION("""COMPUTED_VALUE"""),21.39)</f>
        <v>21.39</v>
      </c>
      <c r="F525" s="1">
        <f ca="1">IFERROR(__xludf.DUMMYFUNCTION("""COMPUTED_VALUE"""),6979704)</f>
        <v>6979704</v>
      </c>
      <c r="G525" s="5">
        <f t="shared" ca="1" si="24"/>
        <v>-2.3375409069659051E-3</v>
      </c>
      <c r="H525" s="14">
        <f t="shared" si="25"/>
        <v>2017</v>
      </c>
      <c r="I525" s="5">
        <f t="shared" ca="1" si="26"/>
        <v>3.2833020637898819E-3</v>
      </c>
      <c r="J525" s="16"/>
    </row>
    <row r="526" spans="1:10" x14ac:dyDescent="0.2">
      <c r="A526" s="3">
        <v>43038</v>
      </c>
      <c r="B526" s="1">
        <f ca="1">IFERROR(__xludf.DUMMYFUNCTION("""COMPUTED_VALUE"""),21.28)</f>
        <v>21.28</v>
      </c>
      <c r="C526" s="1">
        <f ca="1">IFERROR(__xludf.DUMMYFUNCTION("""COMPUTED_VALUE"""),21.59)</f>
        <v>21.59</v>
      </c>
      <c r="D526" s="1">
        <f ca="1">IFERROR(__xludf.DUMMYFUNCTION("""COMPUTED_VALUE"""),21.15)</f>
        <v>21.15</v>
      </c>
      <c r="E526" s="1">
        <f ca="1">IFERROR(__xludf.DUMMYFUNCTION("""COMPUTED_VALUE"""),21.34)</f>
        <v>21.34</v>
      </c>
      <c r="F526" s="1">
        <f ca="1">IFERROR(__xludf.DUMMYFUNCTION("""COMPUTED_VALUE"""),4254378)</f>
        <v>4254378</v>
      </c>
      <c r="G526" s="5">
        <f t="shared" ca="1" si="24"/>
        <v>3.561387066541713E-2</v>
      </c>
      <c r="H526" s="14">
        <f t="shared" si="25"/>
        <v>2017</v>
      </c>
      <c r="I526" s="5">
        <f t="shared" ca="1" si="26"/>
        <v>2.8195488721803907E-3</v>
      </c>
      <c r="J526" s="16"/>
    </row>
    <row r="527" spans="1:10" x14ac:dyDescent="0.2">
      <c r="A527" s="3">
        <v>43039</v>
      </c>
      <c r="B527" s="1">
        <f ca="1">IFERROR(__xludf.DUMMYFUNCTION("""COMPUTED_VALUE"""),21.35)</f>
        <v>21.35</v>
      </c>
      <c r="C527" s="1">
        <f ca="1">IFERROR(__xludf.DUMMYFUNCTION("""COMPUTED_VALUE"""),22.13)</f>
        <v>22.13</v>
      </c>
      <c r="D527" s="1">
        <f ca="1">IFERROR(__xludf.DUMMYFUNCTION("""COMPUTED_VALUE"""),21.35)</f>
        <v>21.35</v>
      </c>
      <c r="E527" s="1">
        <f ca="1">IFERROR(__xludf.DUMMYFUNCTION("""COMPUTED_VALUE"""),22.1)</f>
        <v>22.1</v>
      </c>
      <c r="F527" s="1">
        <f ca="1">IFERROR(__xludf.DUMMYFUNCTION("""COMPUTED_VALUE"""),5672347)</f>
        <v>5672347</v>
      </c>
      <c r="G527" s="5">
        <f t="shared" ca="1" si="24"/>
        <v>-3.122171945701363E-2</v>
      </c>
      <c r="H527" s="14">
        <f t="shared" si="25"/>
        <v>2017</v>
      </c>
      <c r="I527" s="5">
        <f t="shared" ca="1" si="26"/>
        <v>3.5128805620608897E-2</v>
      </c>
      <c r="J527" s="16"/>
    </row>
    <row r="528" spans="1:10" x14ac:dyDescent="0.2">
      <c r="A528" s="3">
        <v>43040</v>
      </c>
      <c r="B528" s="1">
        <f ca="1">IFERROR(__xludf.DUMMYFUNCTION("""COMPUTED_VALUE"""),22.15)</f>
        <v>22.15</v>
      </c>
      <c r="C528" s="1">
        <f ca="1">IFERROR(__xludf.DUMMYFUNCTION("""COMPUTED_VALUE"""),22.17)</f>
        <v>22.17</v>
      </c>
      <c r="D528" s="1">
        <f ca="1">IFERROR(__xludf.DUMMYFUNCTION("""COMPUTED_VALUE"""),21.35)</f>
        <v>21.35</v>
      </c>
      <c r="E528" s="1">
        <f ca="1">IFERROR(__xludf.DUMMYFUNCTION("""COMPUTED_VALUE"""),21.41)</f>
        <v>21.41</v>
      </c>
      <c r="F528" s="1">
        <f ca="1">IFERROR(__xludf.DUMMYFUNCTION("""COMPUTED_VALUE"""),8457336)</f>
        <v>8457336</v>
      </c>
      <c r="G528" s="5">
        <f t="shared" ca="1" si="24"/>
        <v>-6.8192433442316708E-2</v>
      </c>
      <c r="H528" s="14">
        <f t="shared" si="25"/>
        <v>2017</v>
      </c>
      <c r="I528" s="5">
        <f t="shared" ca="1" si="26"/>
        <v>-3.3408577878103772E-2</v>
      </c>
      <c r="J528" s="16"/>
    </row>
    <row r="529" spans="1:10" x14ac:dyDescent="0.2">
      <c r="A529" s="3">
        <v>43041</v>
      </c>
      <c r="B529" s="1">
        <f ca="1">IFERROR(__xludf.DUMMYFUNCTION("""COMPUTED_VALUE"""),20.01)</f>
        <v>20.010000000000002</v>
      </c>
      <c r="C529" s="1">
        <f ca="1">IFERROR(__xludf.DUMMYFUNCTION("""COMPUTED_VALUE"""),20.58)</f>
        <v>20.58</v>
      </c>
      <c r="D529" s="1">
        <f ca="1">IFERROR(__xludf.DUMMYFUNCTION("""COMPUTED_VALUE"""),19.51)</f>
        <v>19.510000000000002</v>
      </c>
      <c r="E529" s="1">
        <f ca="1">IFERROR(__xludf.DUMMYFUNCTION("""COMPUTED_VALUE"""),19.95)</f>
        <v>19.95</v>
      </c>
      <c r="F529" s="1">
        <f ca="1">IFERROR(__xludf.DUMMYFUNCTION("""COMPUTED_VALUE"""),19791416)</f>
        <v>19791416</v>
      </c>
      <c r="G529" s="5">
        <f t="shared" ca="1" si="24"/>
        <v>2.3057644110275732E-2</v>
      </c>
      <c r="H529" s="14">
        <f t="shared" si="25"/>
        <v>2017</v>
      </c>
      <c r="I529" s="5">
        <f t="shared" ca="1" si="26"/>
        <v>-2.9985007496253009E-3</v>
      </c>
      <c r="J529" s="16"/>
    </row>
    <row r="530" spans="1:10" x14ac:dyDescent="0.2">
      <c r="A530" s="3">
        <v>43042</v>
      </c>
      <c r="B530" s="1">
        <f ca="1">IFERROR(__xludf.DUMMYFUNCTION("""COMPUTED_VALUE"""),19.97)</f>
        <v>19.97</v>
      </c>
      <c r="C530" s="1">
        <f ca="1">IFERROR(__xludf.DUMMYFUNCTION("""COMPUTED_VALUE"""),20.42)</f>
        <v>20.420000000000002</v>
      </c>
      <c r="D530" s="1">
        <f ca="1">IFERROR(__xludf.DUMMYFUNCTION("""COMPUTED_VALUE"""),19.68)</f>
        <v>19.68</v>
      </c>
      <c r="E530" s="1">
        <f ca="1">IFERROR(__xludf.DUMMYFUNCTION("""COMPUTED_VALUE"""),20.41)</f>
        <v>20.41</v>
      </c>
      <c r="F530" s="1">
        <f ca="1">IFERROR(__xludf.DUMMYFUNCTION("""COMPUTED_VALUE"""),8893974)</f>
        <v>8893974</v>
      </c>
      <c r="G530" s="5">
        <f t="shared" ca="1" si="24"/>
        <v>-1.0779029887310086E-2</v>
      </c>
      <c r="H530" s="14">
        <f t="shared" si="25"/>
        <v>2017</v>
      </c>
      <c r="I530" s="5">
        <f t="shared" ca="1" si="26"/>
        <v>2.2033049574361606E-2</v>
      </c>
      <c r="J530" s="16"/>
    </row>
    <row r="531" spans="1:10" x14ac:dyDescent="0.2">
      <c r="A531" s="3">
        <v>43045</v>
      </c>
      <c r="B531" s="1">
        <f ca="1">IFERROR(__xludf.DUMMYFUNCTION("""COMPUTED_VALUE"""),20.47)</f>
        <v>20.47</v>
      </c>
      <c r="C531" s="1">
        <f ca="1">IFERROR(__xludf.DUMMYFUNCTION("""COMPUTED_VALUE"""),20.5)</f>
        <v>20.5</v>
      </c>
      <c r="D531" s="1">
        <f ca="1">IFERROR(__xludf.DUMMYFUNCTION("""COMPUTED_VALUE"""),19.93)</f>
        <v>19.93</v>
      </c>
      <c r="E531" s="1">
        <f ca="1">IFERROR(__xludf.DUMMYFUNCTION("""COMPUTED_VALUE"""),20.19)</f>
        <v>20.190000000000001</v>
      </c>
      <c r="F531" s="1">
        <f ca="1">IFERROR(__xludf.DUMMYFUNCTION("""COMPUTED_VALUE"""),6486009)</f>
        <v>6486009</v>
      </c>
      <c r="G531" s="5">
        <f t="shared" ca="1" si="24"/>
        <v>1.0401188707280698E-2</v>
      </c>
      <c r="H531" s="14">
        <f t="shared" si="25"/>
        <v>2017</v>
      </c>
      <c r="I531" s="5">
        <f t="shared" ca="1" si="26"/>
        <v>-1.3678553981436132E-2</v>
      </c>
      <c r="J531" s="16"/>
    </row>
    <row r="532" spans="1:10" x14ac:dyDescent="0.2">
      <c r="A532" s="3">
        <v>43046</v>
      </c>
      <c r="B532" s="1">
        <f ca="1">IFERROR(__xludf.DUMMYFUNCTION("""COMPUTED_VALUE"""),20.07)</f>
        <v>20.07</v>
      </c>
      <c r="C532" s="1">
        <f ca="1">IFERROR(__xludf.DUMMYFUNCTION("""COMPUTED_VALUE"""),20.43)</f>
        <v>20.43</v>
      </c>
      <c r="D532" s="1">
        <f ca="1">IFERROR(__xludf.DUMMYFUNCTION("""COMPUTED_VALUE"""),20)</f>
        <v>20</v>
      </c>
      <c r="E532" s="1">
        <f ca="1">IFERROR(__xludf.DUMMYFUNCTION("""COMPUTED_VALUE"""),20.4)</f>
        <v>20.399999999999999</v>
      </c>
      <c r="F532" s="1">
        <f ca="1">IFERROR(__xludf.DUMMYFUNCTION("""COMPUTED_VALUE"""),5294274)</f>
        <v>5294274</v>
      </c>
      <c r="G532" s="5">
        <f t="shared" ca="1" si="24"/>
        <v>-5.3921568627450702E-3</v>
      </c>
      <c r="H532" s="14">
        <f t="shared" si="25"/>
        <v>2017</v>
      </c>
      <c r="I532" s="5">
        <f t="shared" ca="1" si="26"/>
        <v>1.644245142002981E-2</v>
      </c>
      <c r="J532" s="16"/>
    </row>
    <row r="533" spans="1:10" x14ac:dyDescent="0.2">
      <c r="A533" s="3">
        <v>43047</v>
      </c>
      <c r="B533" s="1">
        <f ca="1">IFERROR(__xludf.DUMMYFUNCTION("""COMPUTED_VALUE"""),20.37)</f>
        <v>20.37</v>
      </c>
      <c r="C533" s="1">
        <f ca="1">IFERROR(__xludf.DUMMYFUNCTION("""COMPUTED_VALUE"""),20.46)</f>
        <v>20.46</v>
      </c>
      <c r="D533" s="1">
        <f ca="1">IFERROR(__xludf.DUMMYFUNCTION("""COMPUTED_VALUE"""),20.09)</f>
        <v>20.09</v>
      </c>
      <c r="E533" s="1">
        <f ca="1">IFERROR(__xludf.DUMMYFUNCTION("""COMPUTED_VALUE"""),20.29)</f>
        <v>20.29</v>
      </c>
      <c r="F533" s="1">
        <f ca="1">IFERROR(__xludf.DUMMYFUNCTION("""COMPUTED_VALUE"""),4725271)</f>
        <v>4725271</v>
      </c>
      <c r="G533" s="5">
        <f t="shared" ca="1" si="24"/>
        <v>-4.4356826022671197E-3</v>
      </c>
      <c r="H533" s="14">
        <f t="shared" si="25"/>
        <v>2017</v>
      </c>
      <c r="I533" s="5">
        <f t="shared" ca="1" si="26"/>
        <v>-3.9273441335297907E-3</v>
      </c>
      <c r="J533" s="16"/>
    </row>
    <row r="534" spans="1:10" x14ac:dyDescent="0.2">
      <c r="A534" s="3">
        <v>43048</v>
      </c>
      <c r="B534" s="1">
        <f ca="1">IFERROR(__xludf.DUMMYFUNCTION("""COMPUTED_VALUE"""),20.17)</f>
        <v>20.170000000000002</v>
      </c>
      <c r="C534" s="1">
        <f ca="1">IFERROR(__xludf.DUMMYFUNCTION("""COMPUTED_VALUE"""),20.3)</f>
        <v>20.3</v>
      </c>
      <c r="D534" s="1">
        <f ca="1">IFERROR(__xludf.DUMMYFUNCTION("""COMPUTED_VALUE"""),19.75)</f>
        <v>19.75</v>
      </c>
      <c r="E534" s="1">
        <f ca="1">IFERROR(__xludf.DUMMYFUNCTION("""COMPUTED_VALUE"""),20.2)</f>
        <v>20.2</v>
      </c>
      <c r="F534" s="1">
        <f ca="1">IFERROR(__xludf.DUMMYFUNCTION("""COMPUTED_VALUE"""),5447147)</f>
        <v>5447147</v>
      </c>
      <c r="G534" s="5">
        <f t="shared" ca="1" si="24"/>
        <v>0</v>
      </c>
      <c r="H534" s="14">
        <f t="shared" si="25"/>
        <v>2017</v>
      </c>
      <c r="I534" s="5">
        <f t="shared" ca="1" si="26"/>
        <v>1.487357461576479E-3</v>
      </c>
      <c r="J534" s="16"/>
    </row>
    <row r="535" spans="1:10" x14ac:dyDescent="0.2">
      <c r="A535" s="3">
        <v>43049</v>
      </c>
      <c r="B535" s="1">
        <f ca="1">IFERROR(__xludf.DUMMYFUNCTION("""COMPUTED_VALUE"""),20.17)</f>
        <v>20.170000000000002</v>
      </c>
      <c r="C535" s="1">
        <f ca="1">IFERROR(__xludf.DUMMYFUNCTION("""COMPUTED_VALUE"""),20.56)</f>
        <v>20.56</v>
      </c>
      <c r="D535" s="1">
        <f ca="1">IFERROR(__xludf.DUMMYFUNCTION("""COMPUTED_VALUE"""),20.12)</f>
        <v>20.12</v>
      </c>
      <c r="E535" s="1">
        <f ca="1">IFERROR(__xludf.DUMMYFUNCTION("""COMPUTED_VALUE"""),20.2)</f>
        <v>20.2</v>
      </c>
      <c r="F535" s="1">
        <f ca="1">IFERROR(__xludf.DUMMYFUNCTION("""COMPUTED_VALUE"""),4625429)</f>
        <v>4625429</v>
      </c>
      <c r="G535" s="5">
        <f t="shared" ca="1" si="24"/>
        <v>4.1089108910891181E-2</v>
      </c>
      <c r="H535" s="14">
        <f t="shared" si="25"/>
        <v>2017</v>
      </c>
      <c r="I535" s="5">
        <f t="shared" ca="1" si="26"/>
        <v>1.487357461576479E-3</v>
      </c>
      <c r="J535" s="16"/>
    </row>
    <row r="536" spans="1:10" x14ac:dyDescent="0.2">
      <c r="A536" s="3">
        <v>43052</v>
      </c>
      <c r="B536" s="1">
        <f ca="1">IFERROR(__xludf.DUMMYFUNCTION("""COMPUTED_VALUE"""),20.01)</f>
        <v>20.010000000000002</v>
      </c>
      <c r="C536" s="1">
        <f ca="1">IFERROR(__xludf.DUMMYFUNCTION("""COMPUTED_VALUE"""),21.12)</f>
        <v>21.12</v>
      </c>
      <c r="D536" s="1">
        <f ca="1">IFERROR(__xludf.DUMMYFUNCTION("""COMPUTED_VALUE"""),19.94)</f>
        <v>19.940000000000001</v>
      </c>
      <c r="E536" s="1">
        <f ca="1">IFERROR(__xludf.DUMMYFUNCTION("""COMPUTED_VALUE"""),21.03)</f>
        <v>21.03</v>
      </c>
      <c r="F536" s="1">
        <f ca="1">IFERROR(__xludf.DUMMYFUNCTION("""COMPUTED_VALUE"""),7584944)</f>
        <v>7584944</v>
      </c>
      <c r="G536" s="5">
        <f t="shared" ca="1" si="24"/>
        <v>-2.1398002853067182E-2</v>
      </c>
      <c r="H536" s="14">
        <f t="shared" si="25"/>
        <v>2017</v>
      </c>
      <c r="I536" s="5">
        <f t="shared" ca="1" si="26"/>
        <v>5.0974512743628159E-2</v>
      </c>
      <c r="J536" s="16"/>
    </row>
    <row r="537" spans="1:10" x14ac:dyDescent="0.2">
      <c r="A537" s="3">
        <v>43053</v>
      </c>
      <c r="B537" s="1">
        <f ca="1">IFERROR(__xludf.DUMMYFUNCTION("""COMPUTED_VALUE"""),21)</f>
        <v>21</v>
      </c>
      <c r="C537" s="1">
        <f ca="1">IFERROR(__xludf.DUMMYFUNCTION("""COMPUTED_VALUE"""),21.09)</f>
        <v>21.09</v>
      </c>
      <c r="D537" s="1">
        <f ca="1">IFERROR(__xludf.DUMMYFUNCTION("""COMPUTED_VALUE"""),20.46)</f>
        <v>20.46</v>
      </c>
      <c r="E537" s="1">
        <f ca="1">IFERROR(__xludf.DUMMYFUNCTION("""COMPUTED_VALUE"""),20.58)</f>
        <v>20.58</v>
      </c>
      <c r="F537" s="1">
        <f ca="1">IFERROR(__xludf.DUMMYFUNCTION("""COMPUTED_VALUE"""),5676076)</f>
        <v>5676076</v>
      </c>
      <c r="G537" s="5">
        <f t="shared" ca="1" si="24"/>
        <v>8.2604470359573228E-3</v>
      </c>
      <c r="H537" s="14">
        <f t="shared" si="25"/>
        <v>2017</v>
      </c>
      <c r="I537" s="5">
        <f t="shared" ca="1" si="26"/>
        <v>-2.000000000000008E-2</v>
      </c>
      <c r="J537" s="16"/>
    </row>
    <row r="538" spans="1:10" x14ac:dyDescent="0.2">
      <c r="A538" s="3">
        <v>43054</v>
      </c>
      <c r="B538" s="1">
        <f ca="1">IFERROR(__xludf.DUMMYFUNCTION("""COMPUTED_VALUE"""),20.4)</f>
        <v>20.399999999999999</v>
      </c>
      <c r="C538" s="1">
        <f ca="1">IFERROR(__xludf.DUMMYFUNCTION("""COMPUTED_VALUE"""),20.83)</f>
        <v>20.83</v>
      </c>
      <c r="D538" s="1">
        <f ca="1">IFERROR(__xludf.DUMMYFUNCTION("""COMPUTED_VALUE"""),20.1)</f>
        <v>20.100000000000001</v>
      </c>
      <c r="E538" s="1">
        <f ca="1">IFERROR(__xludf.DUMMYFUNCTION("""COMPUTED_VALUE"""),20.75)</f>
        <v>20.75</v>
      </c>
      <c r="F538" s="1">
        <f ca="1">IFERROR(__xludf.DUMMYFUNCTION("""COMPUTED_VALUE"""),5978665)</f>
        <v>5978665</v>
      </c>
      <c r="G538" s="5">
        <f t="shared" ca="1" si="24"/>
        <v>3.8554216867469058E-3</v>
      </c>
      <c r="H538" s="14">
        <f t="shared" si="25"/>
        <v>2017</v>
      </c>
      <c r="I538" s="5">
        <f t="shared" ca="1" si="26"/>
        <v>1.715686274509811E-2</v>
      </c>
      <c r="J538" s="16"/>
    </row>
    <row r="539" spans="1:10" x14ac:dyDescent="0.2">
      <c r="A539" s="3">
        <v>43055</v>
      </c>
      <c r="B539" s="1">
        <f ca="1">IFERROR(__xludf.DUMMYFUNCTION("""COMPUTED_VALUE"""),20.93)</f>
        <v>20.93</v>
      </c>
      <c r="C539" s="1">
        <f ca="1">IFERROR(__xludf.DUMMYFUNCTION("""COMPUTED_VALUE"""),21.21)</f>
        <v>21.21</v>
      </c>
      <c r="D539" s="1">
        <f ca="1">IFERROR(__xludf.DUMMYFUNCTION("""COMPUTED_VALUE"""),20.75)</f>
        <v>20.75</v>
      </c>
      <c r="E539" s="1">
        <f ca="1">IFERROR(__xludf.DUMMYFUNCTION("""COMPUTED_VALUE"""),20.83)</f>
        <v>20.83</v>
      </c>
      <c r="F539" s="1">
        <f ca="1">IFERROR(__xludf.DUMMYFUNCTION("""COMPUTED_VALUE"""),5822073)</f>
        <v>5822073</v>
      </c>
      <c r="G539" s="5">
        <f t="shared" ca="1" si="24"/>
        <v>8.1613058089295108E-3</v>
      </c>
      <c r="H539" s="14">
        <f t="shared" si="25"/>
        <v>2017</v>
      </c>
      <c r="I539" s="5">
        <f t="shared" ca="1" si="26"/>
        <v>-4.7778308647874546E-3</v>
      </c>
      <c r="J539" s="16"/>
    </row>
    <row r="540" spans="1:10" x14ac:dyDescent="0.2">
      <c r="A540" s="3">
        <v>43056</v>
      </c>
      <c r="B540" s="1">
        <f ca="1">IFERROR(__xludf.DUMMYFUNCTION("""COMPUTED_VALUE"""),21.71)</f>
        <v>21.71</v>
      </c>
      <c r="C540" s="1">
        <f ca="1">IFERROR(__xludf.DUMMYFUNCTION("""COMPUTED_VALUE"""),21.78)</f>
        <v>21.78</v>
      </c>
      <c r="D540" s="1">
        <f ca="1">IFERROR(__xludf.DUMMYFUNCTION("""COMPUTED_VALUE"""),20.88)</f>
        <v>20.88</v>
      </c>
      <c r="E540" s="1">
        <f ca="1">IFERROR(__xludf.DUMMYFUNCTION("""COMPUTED_VALUE"""),21)</f>
        <v>21</v>
      </c>
      <c r="F540" s="1">
        <f ca="1">IFERROR(__xludf.DUMMYFUNCTION("""COMPUTED_VALUE"""),13735139)</f>
        <v>13735139</v>
      </c>
      <c r="G540" s="5">
        <f t="shared" ca="1" si="24"/>
        <v>-2.000000000000008E-2</v>
      </c>
      <c r="H540" s="14">
        <f t="shared" si="25"/>
        <v>2017</v>
      </c>
      <c r="I540" s="5">
        <f t="shared" ca="1" si="26"/>
        <v>-3.2703823122984838E-2</v>
      </c>
      <c r="J540" s="16"/>
    </row>
    <row r="541" spans="1:10" x14ac:dyDescent="0.2">
      <c r="A541" s="3">
        <v>43059</v>
      </c>
      <c r="B541" s="1">
        <f ca="1">IFERROR(__xludf.DUMMYFUNCTION("""COMPUTED_VALUE"""),20.92)</f>
        <v>20.92</v>
      </c>
      <c r="C541" s="1">
        <f ca="1">IFERROR(__xludf.DUMMYFUNCTION("""COMPUTED_VALUE"""),21.03)</f>
        <v>21.03</v>
      </c>
      <c r="D541" s="1">
        <f ca="1">IFERROR(__xludf.DUMMYFUNCTION("""COMPUTED_VALUE"""),20.32)</f>
        <v>20.32</v>
      </c>
      <c r="E541" s="1">
        <f ca="1">IFERROR(__xludf.DUMMYFUNCTION("""COMPUTED_VALUE"""),20.58)</f>
        <v>20.58</v>
      </c>
      <c r="F541" s="1">
        <f ca="1">IFERROR(__xludf.DUMMYFUNCTION("""COMPUTED_VALUE"""),8247650)</f>
        <v>8247650</v>
      </c>
      <c r="G541" s="5">
        <f t="shared" ca="1" si="24"/>
        <v>2.964042759961142E-2</v>
      </c>
      <c r="H541" s="14">
        <f t="shared" si="25"/>
        <v>2017</v>
      </c>
      <c r="I541" s="5">
        <f t="shared" ca="1" si="26"/>
        <v>-1.6252390057361538E-2</v>
      </c>
      <c r="J541" s="16"/>
    </row>
    <row r="542" spans="1:10" x14ac:dyDescent="0.2">
      <c r="A542" s="3">
        <v>43060</v>
      </c>
      <c r="B542" s="1">
        <f ca="1">IFERROR(__xludf.DUMMYFUNCTION("""COMPUTED_VALUE"""),20.72)</f>
        <v>20.72</v>
      </c>
      <c r="C542" s="1">
        <f ca="1">IFERROR(__xludf.DUMMYFUNCTION("""COMPUTED_VALUE"""),21.22)</f>
        <v>21.22</v>
      </c>
      <c r="D542" s="1">
        <f ca="1">IFERROR(__xludf.DUMMYFUNCTION("""COMPUTED_VALUE"""),20.58)</f>
        <v>20.58</v>
      </c>
      <c r="E542" s="1">
        <f ca="1">IFERROR(__xludf.DUMMYFUNCTION("""COMPUTED_VALUE"""),21.19)</f>
        <v>21.19</v>
      </c>
      <c r="F542" s="1">
        <f ca="1">IFERROR(__xludf.DUMMYFUNCTION("""COMPUTED_VALUE"""),7261273)</f>
        <v>7261273</v>
      </c>
      <c r="G542" s="5">
        <f t="shared" ca="1" si="24"/>
        <v>-1.6517225106182226E-2</v>
      </c>
      <c r="H542" s="14">
        <f t="shared" si="25"/>
        <v>2017</v>
      </c>
      <c r="I542" s="5">
        <f t="shared" ca="1" si="26"/>
        <v>2.2683397683397801E-2</v>
      </c>
      <c r="J542" s="16"/>
    </row>
    <row r="543" spans="1:10" x14ac:dyDescent="0.2">
      <c r="A543" s="3">
        <v>43061</v>
      </c>
      <c r="B543" s="1">
        <f ca="1">IFERROR(__xludf.DUMMYFUNCTION("""COMPUTED_VALUE"""),21.12)</f>
        <v>21.12</v>
      </c>
      <c r="C543" s="1">
        <f ca="1">IFERROR(__xludf.DUMMYFUNCTION("""COMPUTED_VALUE"""),21.16)</f>
        <v>21.16</v>
      </c>
      <c r="D543" s="1">
        <f ca="1">IFERROR(__xludf.DUMMYFUNCTION("""COMPUTED_VALUE"""),20.79)</f>
        <v>20.79</v>
      </c>
      <c r="E543" s="1">
        <f ca="1">IFERROR(__xludf.DUMMYFUNCTION("""COMPUTED_VALUE"""),20.84)</f>
        <v>20.84</v>
      </c>
      <c r="F543" s="1">
        <f ca="1">IFERROR(__xludf.DUMMYFUNCTION("""COMPUTED_VALUE"""),4917636)</f>
        <v>4917636</v>
      </c>
      <c r="G543" s="5">
        <f t="shared" ca="1" si="24"/>
        <v>9.5969289827254941E-3</v>
      </c>
      <c r="H543" s="14">
        <f t="shared" si="25"/>
        <v>2017</v>
      </c>
      <c r="I543" s="5">
        <f t="shared" ca="1" si="26"/>
        <v>-1.325757575757581E-2</v>
      </c>
      <c r="J543" s="16"/>
    </row>
    <row r="544" spans="1:10" x14ac:dyDescent="0.2">
      <c r="A544" s="3">
        <v>43063</v>
      </c>
      <c r="B544" s="1">
        <f ca="1">IFERROR(__xludf.DUMMYFUNCTION("""COMPUTED_VALUE"""),20.92)</f>
        <v>20.92</v>
      </c>
      <c r="C544" s="1">
        <f ca="1">IFERROR(__xludf.DUMMYFUNCTION("""COMPUTED_VALUE"""),21.09)</f>
        <v>21.09</v>
      </c>
      <c r="D544" s="1">
        <f ca="1">IFERROR(__xludf.DUMMYFUNCTION("""COMPUTED_VALUE"""),20.73)</f>
        <v>20.73</v>
      </c>
      <c r="E544" s="1">
        <f ca="1">IFERROR(__xludf.DUMMYFUNCTION("""COMPUTED_VALUE"""),21.04)</f>
        <v>21.04</v>
      </c>
      <c r="F544" s="1">
        <f ca="1">IFERROR(__xludf.DUMMYFUNCTION("""COMPUTED_VALUE"""),3244065)</f>
        <v>3244065</v>
      </c>
      <c r="G544" s="5">
        <f t="shared" ca="1" si="24"/>
        <v>3.8022813688213808E-3</v>
      </c>
      <c r="H544" s="14">
        <f t="shared" si="25"/>
        <v>2017</v>
      </c>
      <c r="I544" s="5">
        <f t="shared" ca="1" si="26"/>
        <v>5.7361376673038924E-3</v>
      </c>
      <c r="J544" s="16"/>
    </row>
    <row r="545" spans="1:10" x14ac:dyDescent="0.2">
      <c r="A545" s="3">
        <v>43066</v>
      </c>
      <c r="B545" s="1">
        <f ca="1">IFERROR(__xludf.DUMMYFUNCTION("""COMPUTED_VALUE"""),20.88)</f>
        <v>20.88</v>
      </c>
      <c r="C545" s="1">
        <f ca="1">IFERROR(__xludf.DUMMYFUNCTION("""COMPUTED_VALUE"""),21.16)</f>
        <v>21.16</v>
      </c>
      <c r="D545" s="1">
        <f ca="1">IFERROR(__xludf.DUMMYFUNCTION("""COMPUTED_VALUE"""),20.63)</f>
        <v>20.63</v>
      </c>
      <c r="E545" s="1">
        <f ca="1">IFERROR(__xludf.DUMMYFUNCTION("""COMPUTED_VALUE"""),21.12)</f>
        <v>21.12</v>
      </c>
      <c r="F545" s="1">
        <f ca="1">IFERROR(__xludf.DUMMYFUNCTION("""COMPUTED_VALUE"""),4555894)</f>
        <v>4555894</v>
      </c>
      <c r="G545" s="5">
        <f t="shared" ca="1" si="24"/>
        <v>2.3674242424242759E-3</v>
      </c>
      <c r="H545" s="14">
        <f t="shared" si="25"/>
        <v>2017</v>
      </c>
      <c r="I545" s="5">
        <f t="shared" ca="1" si="26"/>
        <v>1.1494252873563314E-2</v>
      </c>
      <c r="J545" s="16"/>
    </row>
    <row r="546" spans="1:10" x14ac:dyDescent="0.2">
      <c r="A546" s="3">
        <v>43067</v>
      </c>
      <c r="B546" s="1">
        <f ca="1">IFERROR(__xludf.DUMMYFUNCTION("""COMPUTED_VALUE"""),21.09)</f>
        <v>21.09</v>
      </c>
      <c r="C546" s="1">
        <f ca="1">IFERROR(__xludf.DUMMYFUNCTION("""COMPUTED_VALUE"""),21.33)</f>
        <v>21.33</v>
      </c>
      <c r="D546" s="1">
        <f ca="1">IFERROR(__xludf.DUMMYFUNCTION("""COMPUTED_VALUE"""),20.93)</f>
        <v>20.93</v>
      </c>
      <c r="E546" s="1">
        <f ca="1">IFERROR(__xludf.DUMMYFUNCTION("""COMPUTED_VALUE"""),21.17)</f>
        <v>21.17</v>
      </c>
      <c r="F546" s="1">
        <f ca="1">IFERROR(__xludf.DUMMYFUNCTION("""COMPUTED_VALUE"""),4949491)</f>
        <v>4949491</v>
      </c>
      <c r="G546" s="5">
        <f t="shared" ca="1" si="24"/>
        <v>-3.1648559282002914E-2</v>
      </c>
      <c r="H546" s="14">
        <f t="shared" si="25"/>
        <v>2017</v>
      </c>
      <c r="I546" s="5">
        <f t="shared" ca="1" si="26"/>
        <v>3.7932669511617756E-3</v>
      </c>
      <c r="J546" s="16"/>
    </row>
    <row r="547" spans="1:10" x14ac:dyDescent="0.2">
      <c r="A547" s="3">
        <v>43068</v>
      </c>
      <c r="B547" s="1">
        <f ca="1">IFERROR(__xludf.DUMMYFUNCTION("""COMPUTED_VALUE"""),21.15)</f>
        <v>21.15</v>
      </c>
      <c r="C547" s="1">
        <f ca="1">IFERROR(__xludf.DUMMYFUNCTION("""COMPUTED_VALUE"""),21.2)</f>
        <v>21.2</v>
      </c>
      <c r="D547" s="1">
        <f ca="1">IFERROR(__xludf.DUMMYFUNCTION("""COMPUTED_VALUE"""),20.08)</f>
        <v>20.079999999999998</v>
      </c>
      <c r="E547" s="1">
        <f ca="1">IFERROR(__xludf.DUMMYFUNCTION("""COMPUTED_VALUE"""),20.5)</f>
        <v>20.5</v>
      </c>
      <c r="F547" s="1">
        <f ca="1">IFERROR(__xludf.DUMMYFUNCTION("""COMPUTED_VALUE"""),8767398)</f>
        <v>8767398</v>
      </c>
      <c r="G547" s="5">
        <f t="shared" ca="1" si="24"/>
        <v>4.3902439024390179E-3</v>
      </c>
      <c r="H547" s="14">
        <f t="shared" si="25"/>
        <v>2017</v>
      </c>
      <c r="I547" s="5">
        <f t="shared" ca="1" si="26"/>
        <v>-3.0732860520094496E-2</v>
      </c>
      <c r="J547" s="16"/>
    </row>
    <row r="548" spans="1:10" x14ac:dyDescent="0.2">
      <c r="A548" s="3">
        <v>43069</v>
      </c>
      <c r="B548" s="1">
        <f ca="1">IFERROR(__xludf.DUMMYFUNCTION("""COMPUTED_VALUE"""),20.57)</f>
        <v>20.57</v>
      </c>
      <c r="C548" s="1">
        <f ca="1">IFERROR(__xludf.DUMMYFUNCTION("""COMPUTED_VALUE"""),20.71)</f>
        <v>20.71</v>
      </c>
      <c r="D548" s="1">
        <f ca="1">IFERROR(__xludf.DUMMYFUNCTION("""COMPUTED_VALUE"""),20.3)</f>
        <v>20.3</v>
      </c>
      <c r="E548" s="1">
        <f ca="1">IFERROR(__xludf.DUMMYFUNCTION("""COMPUTED_VALUE"""),20.59)</f>
        <v>20.59</v>
      </c>
      <c r="F548" s="1">
        <f ca="1">IFERROR(__xludf.DUMMYFUNCTION("""COMPUTED_VALUE"""),4351587)</f>
        <v>4351587</v>
      </c>
      <c r="G548" s="5">
        <f t="shared" ca="1" si="24"/>
        <v>-7.2850898494414076E-3</v>
      </c>
      <c r="H548" s="14">
        <f t="shared" si="25"/>
        <v>2017</v>
      </c>
      <c r="I548" s="5">
        <f t="shared" ca="1" si="26"/>
        <v>9.7228974234319753E-4</v>
      </c>
      <c r="J548" s="16"/>
    </row>
    <row r="549" spans="1:10" x14ac:dyDescent="0.2">
      <c r="A549" s="3">
        <v>43070</v>
      </c>
      <c r="B549" s="1">
        <f ca="1">IFERROR(__xludf.DUMMYFUNCTION("""COMPUTED_VALUE"""),20.36)</f>
        <v>20.36</v>
      </c>
      <c r="C549" s="1">
        <f ca="1">IFERROR(__xludf.DUMMYFUNCTION("""COMPUTED_VALUE"""),20.69)</f>
        <v>20.69</v>
      </c>
      <c r="D549" s="1">
        <f ca="1">IFERROR(__xludf.DUMMYFUNCTION("""COMPUTED_VALUE"""),20.34)</f>
        <v>20.34</v>
      </c>
      <c r="E549" s="1">
        <f ca="1">IFERROR(__xludf.DUMMYFUNCTION("""COMPUTED_VALUE"""),20.44)</f>
        <v>20.440000000000001</v>
      </c>
      <c r="F549" s="1">
        <f ca="1">IFERROR(__xludf.DUMMYFUNCTION("""COMPUTED_VALUE"""),4292868)</f>
        <v>4292868</v>
      </c>
      <c r="G549" s="5">
        <f t="shared" ca="1" si="24"/>
        <v>-4.4031311154598754E-3</v>
      </c>
      <c r="H549" s="14">
        <f t="shared" si="25"/>
        <v>2017</v>
      </c>
      <c r="I549" s="5">
        <f t="shared" ca="1" si="26"/>
        <v>3.9292730844794621E-3</v>
      </c>
      <c r="J549" s="16"/>
    </row>
    <row r="550" spans="1:10" x14ac:dyDescent="0.2">
      <c r="A550" s="3">
        <v>43073</v>
      </c>
      <c r="B550" s="1">
        <f ca="1">IFERROR(__xludf.DUMMYFUNCTION("""COMPUTED_VALUE"""),20.43)</f>
        <v>20.43</v>
      </c>
      <c r="C550" s="1">
        <f ca="1">IFERROR(__xludf.DUMMYFUNCTION("""COMPUTED_VALUE"""),20.55)</f>
        <v>20.55</v>
      </c>
      <c r="D550" s="1">
        <f ca="1">IFERROR(__xludf.DUMMYFUNCTION("""COMPUTED_VALUE"""),20.04)</f>
        <v>20.04</v>
      </c>
      <c r="E550" s="1">
        <f ca="1">IFERROR(__xludf.DUMMYFUNCTION("""COMPUTED_VALUE"""),20.35)</f>
        <v>20.350000000000001</v>
      </c>
      <c r="F550" s="1">
        <f ca="1">IFERROR(__xludf.DUMMYFUNCTION("""COMPUTED_VALUE"""),5835140)</f>
        <v>5835140</v>
      </c>
      <c r="G550" s="5">
        <f t="shared" ca="1" si="24"/>
        <v>-4.9140049140049833E-3</v>
      </c>
      <c r="H550" s="14">
        <f t="shared" si="25"/>
        <v>2017</v>
      </c>
      <c r="I550" s="5">
        <f t="shared" ca="1" si="26"/>
        <v>-3.9158100832108805E-3</v>
      </c>
      <c r="J550" s="16"/>
    </row>
    <row r="551" spans="1:10" x14ac:dyDescent="0.2">
      <c r="A551" s="3">
        <v>43074</v>
      </c>
      <c r="B551" s="1">
        <f ca="1">IFERROR(__xludf.DUMMYFUNCTION("""COMPUTED_VALUE"""),20.13)</f>
        <v>20.13</v>
      </c>
      <c r="C551" s="1">
        <f ca="1">IFERROR(__xludf.DUMMYFUNCTION("""COMPUTED_VALUE"""),20.53)</f>
        <v>20.53</v>
      </c>
      <c r="D551" s="1">
        <f ca="1">IFERROR(__xludf.DUMMYFUNCTION("""COMPUTED_VALUE"""),20.07)</f>
        <v>20.07</v>
      </c>
      <c r="E551" s="1">
        <f ca="1">IFERROR(__xludf.DUMMYFUNCTION("""COMPUTED_VALUE"""),20.25)</f>
        <v>20.25</v>
      </c>
      <c r="F551" s="1">
        <f ca="1">IFERROR(__xludf.DUMMYFUNCTION("""COMPUTED_VALUE"""),4646520)</f>
        <v>4646520</v>
      </c>
      <c r="G551" s="5">
        <f t="shared" ca="1" si="24"/>
        <v>3.1111111111111062E-2</v>
      </c>
      <c r="H551" s="14">
        <f t="shared" si="25"/>
        <v>2017</v>
      </c>
      <c r="I551" s="5">
        <f t="shared" ca="1" si="26"/>
        <v>5.9612518628912566E-3</v>
      </c>
      <c r="J551" s="16"/>
    </row>
    <row r="552" spans="1:10" x14ac:dyDescent="0.2">
      <c r="A552" s="3">
        <v>43075</v>
      </c>
      <c r="B552" s="1">
        <f ca="1">IFERROR(__xludf.DUMMYFUNCTION("""COMPUTED_VALUE"""),20.01)</f>
        <v>20.010000000000002</v>
      </c>
      <c r="C552" s="1">
        <f ca="1">IFERROR(__xludf.DUMMYFUNCTION("""COMPUTED_VALUE"""),20.89)</f>
        <v>20.89</v>
      </c>
      <c r="D552" s="1">
        <f ca="1">IFERROR(__xludf.DUMMYFUNCTION("""COMPUTED_VALUE"""),20)</f>
        <v>20</v>
      </c>
      <c r="E552" s="1">
        <f ca="1">IFERROR(__xludf.DUMMYFUNCTION("""COMPUTED_VALUE"""),20.88)</f>
        <v>20.88</v>
      </c>
      <c r="F552" s="1">
        <f ca="1">IFERROR(__xludf.DUMMYFUNCTION("""COMPUTED_VALUE"""),7195341)</f>
        <v>7195341</v>
      </c>
      <c r="G552" s="5">
        <f t="shared" ca="1" si="24"/>
        <v>-6.2260536398466961E-3</v>
      </c>
      <c r="H552" s="14">
        <f t="shared" si="25"/>
        <v>2017</v>
      </c>
      <c r="I552" s="5">
        <f t="shared" ca="1" si="26"/>
        <v>4.3478260869565084E-2</v>
      </c>
      <c r="J552" s="16"/>
    </row>
    <row r="553" spans="1:10" x14ac:dyDescent="0.2">
      <c r="A553" s="3">
        <v>43076</v>
      </c>
      <c r="B553" s="1">
        <f ca="1">IFERROR(__xludf.DUMMYFUNCTION("""COMPUTED_VALUE"""),20.8)</f>
        <v>20.8</v>
      </c>
      <c r="C553" s="1">
        <f ca="1">IFERROR(__xludf.DUMMYFUNCTION("""COMPUTED_VALUE"""),21.24)</f>
        <v>21.24</v>
      </c>
      <c r="D553" s="1">
        <f ca="1">IFERROR(__xludf.DUMMYFUNCTION("""COMPUTED_VALUE"""),20.74)</f>
        <v>20.74</v>
      </c>
      <c r="E553" s="1">
        <f ca="1">IFERROR(__xludf.DUMMYFUNCTION("""COMPUTED_VALUE"""),20.75)</f>
        <v>20.75</v>
      </c>
      <c r="F553" s="1">
        <f ca="1">IFERROR(__xludf.DUMMYFUNCTION("""COMPUTED_VALUE"""),4780597)</f>
        <v>4780597</v>
      </c>
      <c r="G553" s="5">
        <f t="shared" ca="1" si="24"/>
        <v>1.2530120481927786E-2</v>
      </c>
      <c r="H553" s="14">
        <f t="shared" si="25"/>
        <v>2017</v>
      </c>
      <c r="I553" s="5">
        <f t="shared" ca="1" si="26"/>
        <v>-2.4038461538461878E-3</v>
      </c>
      <c r="J553" s="16"/>
    </row>
    <row r="554" spans="1:10" x14ac:dyDescent="0.2">
      <c r="A554" s="3">
        <v>43077</v>
      </c>
      <c r="B554" s="1">
        <f ca="1">IFERROR(__xludf.DUMMYFUNCTION("""COMPUTED_VALUE"""),20.97)</f>
        <v>20.97</v>
      </c>
      <c r="C554" s="1">
        <f ca="1">IFERROR(__xludf.DUMMYFUNCTION("""COMPUTED_VALUE"""),21.13)</f>
        <v>21.13</v>
      </c>
      <c r="D554" s="1">
        <f ca="1">IFERROR(__xludf.DUMMYFUNCTION("""COMPUTED_VALUE"""),20.75)</f>
        <v>20.75</v>
      </c>
      <c r="E554" s="1">
        <f ca="1">IFERROR(__xludf.DUMMYFUNCTION("""COMPUTED_VALUE"""),21.01)</f>
        <v>21.01</v>
      </c>
      <c r="F554" s="1">
        <f ca="1">IFERROR(__xludf.DUMMYFUNCTION("""COMPUTED_VALUE"""),3468458)</f>
        <v>3468458</v>
      </c>
      <c r="G554" s="5">
        <f t="shared" ca="1" si="24"/>
        <v>4.3788672060923281E-2</v>
      </c>
      <c r="H554" s="14">
        <f t="shared" si="25"/>
        <v>2017</v>
      </c>
      <c r="I554" s="5">
        <f t="shared" ca="1" si="26"/>
        <v>1.9074868860277875E-3</v>
      </c>
      <c r="J554" s="16"/>
    </row>
    <row r="555" spans="1:10" x14ac:dyDescent="0.2">
      <c r="A555" s="3">
        <v>43080</v>
      </c>
      <c r="B555" s="1">
        <f ca="1">IFERROR(__xludf.DUMMYFUNCTION("""COMPUTED_VALUE"""),20.98)</f>
        <v>20.98</v>
      </c>
      <c r="C555" s="1">
        <f ca="1">IFERROR(__xludf.DUMMYFUNCTION("""COMPUTED_VALUE"""),21.93)</f>
        <v>21.93</v>
      </c>
      <c r="D555" s="1">
        <f ca="1">IFERROR(__xludf.DUMMYFUNCTION("""COMPUTED_VALUE"""),20.92)</f>
        <v>20.92</v>
      </c>
      <c r="E555" s="1">
        <f ca="1">IFERROR(__xludf.DUMMYFUNCTION("""COMPUTED_VALUE"""),21.93)</f>
        <v>21.93</v>
      </c>
      <c r="F555" s="1">
        <f ca="1">IFERROR(__xludf.DUMMYFUNCTION("""COMPUTED_VALUE"""),7937981)</f>
        <v>7937981</v>
      </c>
      <c r="G555" s="5">
        <f t="shared" ca="1" si="24"/>
        <v>3.6935704514363829E-2</v>
      </c>
      <c r="H555" s="14">
        <f t="shared" si="25"/>
        <v>2017</v>
      </c>
      <c r="I555" s="5">
        <f t="shared" ca="1" si="26"/>
        <v>4.5281220209723513E-2</v>
      </c>
      <c r="J555" s="16"/>
    </row>
    <row r="556" spans="1:10" x14ac:dyDescent="0.2">
      <c r="A556" s="3">
        <v>43081</v>
      </c>
      <c r="B556" s="1">
        <f ca="1">IFERROR(__xludf.DUMMYFUNCTION("""COMPUTED_VALUE"""),22.03)</f>
        <v>22.03</v>
      </c>
      <c r="C556" s="1">
        <f ca="1">IFERROR(__xludf.DUMMYFUNCTION("""COMPUTED_VALUE"""),22.76)</f>
        <v>22.76</v>
      </c>
      <c r="D556" s="1">
        <f ca="1">IFERROR(__xludf.DUMMYFUNCTION("""COMPUTED_VALUE"""),22)</f>
        <v>22</v>
      </c>
      <c r="E556" s="1">
        <f ca="1">IFERROR(__xludf.DUMMYFUNCTION("""COMPUTED_VALUE"""),22.74)</f>
        <v>22.74</v>
      </c>
      <c r="F556" s="1">
        <f ca="1">IFERROR(__xludf.DUMMYFUNCTION("""COMPUTED_VALUE"""),8733199)</f>
        <v>8733199</v>
      </c>
      <c r="G556" s="5">
        <f t="shared" ca="1" si="24"/>
        <v>-6.15655233069468E-3</v>
      </c>
      <c r="H556" s="14">
        <f t="shared" si="25"/>
        <v>2017</v>
      </c>
      <c r="I556" s="5">
        <f t="shared" ca="1" si="26"/>
        <v>3.2228778937811953E-2</v>
      </c>
      <c r="J556" s="16"/>
    </row>
    <row r="557" spans="1:10" x14ac:dyDescent="0.2">
      <c r="A557" s="3">
        <v>43082</v>
      </c>
      <c r="B557" s="1">
        <f ca="1">IFERROR(__xludf.DUMMYFUNCTION("""COMPUTED_VALUE"""),22.73)</f>
        <v>22.73</v>
      </c>
      <c r="C557" s="1">
        <f ca="1">IFERROR(__xludf.DUMMYFUNCTION("""COMPUTED_VALUE"""),22.95)</f>
        <v>22.95</v>
      </c>
      <c r="D557" s="1">
        <f ca="1">IFERROR(__xludf.DUMMYFUNCTION("""COMPUTED_VALUE"""),22.43)</f>
        <v>22.43</v>
      </c>
      <c r="E557" s="1">
        <f ca="1">IFERROR(__xludf.DUMMYFUNCTION("""COMPUTED_VALUE"""),22.6)</f>
        <v>22.6</v>
      </c>
      <c r="F557" s="1">
        <f ca="1">IFERROR(__xludf.DUMMYFUNCTION("""COMPUTED_VALUE"""),6221461)</f>
        <v>6221461</v>
      </c>
      <c r="G557" s="5">
        <f t="shared" ca="1" si="24"/>
        <v>-3.0973451327433754E-3</v>
      </c>
      <c r="H557" s="14">
        <f t="shared" si="25"/>
        <v>2017</v>
      </c>
      <c r="I557" s="5">
        <f t="shared" ca="1" si="26"/>
        <v>-5.719313682358073E-3</v>
      </c>
      <c r="J557" s="16"/>
    </row>
    <row r="558" spans="1:10" x14ac:dyDescent="0.2">
      <c r="A558" s="3">
        <v>43083</v>
      </c>
      <c r="B558" s="1">
        <f ca="1">IFERROR(__xludf.DUMMYFUNCTION("""COMPUTED_VALUE"""),22.73)</f>
        <v>22.73</v>
      </c>
      <c r="C558" s="1">
        <f ca="1">IFERROR(__xludf.DUMMYFUNCTION("""COMPUTED_VALUE"""),23.16)</f>
        <v>23.16</v>
      </c>
      <c r="D558" s="1">
        <f ca="1">IFERROR(__xludf.DUMMYFUNCTION("""COMPUTED_VALUE"""),22.46)</f>
        <v>22.46</v>
      </c>
      <c r="E558" s="1">
        <f ca="1">IFERROR(__xludf.DUMMYFUNCTION("""COMPUTED_VALUE"""),22.53)</f>
        <v>22.53</v>
      </c>
      <c r="F558" s="1">
        <f ca="1">IFERROR(__xludf.DUMMYFUNCTION("""COMPUTED_VALUE"""),5799916)</f>
        <v>5799916</v>
      </c>
      <c r="G558" s="5">
        <f t="shared" ca="1" si="24"/>
        <v>1.6422547714158783E-2</v>
      </c>
      <c r="H558" s="14">
        <f t="shared" si="25"/>
        <v>2017</v>
      </c>
      <c r="I558" s="5">
        <f t="shared" ca="1" si="26"/>
        <v>-8.7989441267047643E-3</v>
      </c>
      <c r="J558" s="16"/>
    </row>
    <row r="559" spans="1:10" x14ac:dyDescent="0.2">
      <c r="A559" s="3">
        <v>43084</v>
      </c>
      <c r="B559" s="1">
        <f ca="1">IFERROR(__xludf.DUMMYFUNCTION("""COMPUTED_VALUE"""),22.8)</f>
        <v>22.8</v>
      </c>
      <c r="C559" s="1">
        <f ca="1">IFERROR(__xludf.DUMMYFUNCTION("""COMPUTED_VALUE"""),22.93)</f>
        <v>22.93</v>
      </c>
      <c r="D559" s="1">
        <f ca="1">IFERROR(__xludf.DUMMYFUNCTION("""COMPUTED_VALUE"""),22.38)</f>
        <v>22.38</v>
      </c>
      <c r="E559" s="1">
        <f ca="1">IFERROR(__xludf.DUMMYFUNCTION("""COMPUTED_VALUE"""),22.9)</f>
        <v>22.9</v>
      </c>
      <c r="F559" s="1">
        <f ca="1">IFERROR(__xludf.DUMMYFUNCTION("""COMPUTED_VALUE"""),6933199)</f>
        <v>6933199</v>
      </c>
      <c r="G559" s="5">
        <f t="shared" ca="1" si="24"/>
        <v>-1.3537117903930076E-2</v>
      </c>
      <c r="H559" s="14">
        <f t="shared" si="25"/>
        <v>2017</v>
      </c>
      <c r="I559" s="5">
        <f t="shared" ca="1" si="26"/>
        <v>4.3859649122806078E-3</v>
      </c>
      <c r="J559" s="16"/>
    </row>
    <row r="560" spans="1:10" x14ac:dyDescent="0.2">
      <c r="A560" s="3">
        <v>43087</v>
      </c>
      <c r="B560" s="1">
        <f ca="1">IFERROR(__xludf.DUMMYFUNCTION("""COMPUTED_VALUE"""),22.99)</f>
        <v>22.99</v>
      </c>
      <c r="C560" s="1">
        <f ca="1">IFERROR(__xludf.DUMMYFUNCTION("""COMPUTED_VALUE"""),23.12)</f>
        <v>23.12</v>
      </c>
      <c r="D560" s="1">
        <f ca="1">IFERROR(__xludf.DUMMYFUNCTION("""COMPUTED_VALUE"""),22.51)</f>
        <v>22.51</v>
      </c>
      <c r="E560" s="1">
        <f ca="1">IFERROR(__xludf.DUMMYFUNCTION("""COMPUTED_VALUE"""),22.59)</f>
        <v>22.59</v>
      </c>
      <c r="F560" s="1">
        <f ca="1">IFERROR(__xludf.DUMMYFUNCTION("""COMPUTED_VALUE"""),5476166)</f>
        <v>5476166</v>
      </c>
      <c r="G560" s="5">
        <f t="shared" ca="1" si="24"/>
        <v>-2.3019034971226187E-2</v>
      </c>
      <c r="H560" s="14">
        <f t="shared" si="25"/>
        <v>2017</v>
      </c>
      <c r="I560" s="5">
        <f t="shared" ca="1" si="26"/>
        <v>-1.7398869073510161E-2</v>
      </c>
      <c r="J560" s="16"/>
    </row>
    <row r="561" spans="1:10" x14ac:dyDescent="0.2">
      <c r="A561" s="3">
        <v>43088</v>
      </c>
      <c r="B561" s="1">
        <f ca="1">IFERROR(__xludf.DUMMYFUNCTION("""COMPUTED_VALUE"""),22.68)</f>
        <v>22.68</v>
      </c>
      <c r="C561" s="1">
        <f ca="1">IFERROR(__xludf.DUMMYFUNCTION("""COMPUTED_VALUE"""),22.77)</f>
        <v>22.77</v>
      </c>
      <c r="D561" s="1">
        <f ca="1">IFERROR(__xludf.DUMMYFUNCTION("""COMPUTED_VALUE"""),22.02)</f>
        <v>22.02</v>
      </c>
      <c r="E561" s="1">
        <f ca="1">IFERROR(__xludf.DUMMYFUNCTION("""COMPUTED_VALUE"""),22.07)</f>
        <v>22.07</v>
      </c>
      <c r="F561" s="1">
        <f ca="1">IFERROR(__xludf.DUMMYFUNCTION("""COMPUTED_VALUE"""),6824971)</f>
        <v>6824971</v>
      </c>
      <c r="G561" s="5">
        <f t="shared" ca="1" si="24"/>
        <v>-6.3434526506570259E-3</v>
      </c>
      <c r="H561" s="14">
        <f t="shared" si="25"/>
        <v>2017</v>
      </c>
      <c r="I561" s="5">
        <f t="shared" ca="1" si="26"/>
        <v>-2.6895943562610203E-2</v>
      </c>
      <c r="J561" s="16"/>
    </row>
    <row r="562" spans="1:10" x14ac:dyDescent="0.2">
      <c r="A562" s="3">
        <v>43089</v>
      </c>
      <c r="B562" s="1">
        <f ca="1">IFERROR(__xludf.DUMMYFUNCTION("""COMPUTED_VALUE"""),22.18)</f>
        <v>22.18</v>
      </c>
      <c r="C562" s="1">
        <f ca="1">IFERROR(__xludf.DUMMYFUNCTION("""COMPUTED_VALUE"""),22.21)</f>
        <v>22.21</v>
      </c>
      <c r="D562" s="1">
        <f ca="1">IFERROR(__xludf.DUMMYFUNCTION("""COMPUTED_VALUE"""),21.67)</f>
        <v>21.67</v>
      </c>
      <c r="E562" s="1">
        <f ca="1">IFERROR(__xludf.DUMMYFUNCTION("""COMPUTED_VALUE"""),21.93)</f>
        <v>21.93</v>
      </c>
      <c r="F562" s="1">
        <f ca="1">IFERROR(__xludf.DUMMYFUNCTION("""COMPUTED_VALUE"""),5953800)</f>
        <v>5953800</v>
      </c>
      <c r="G562" s="5">
        <f t="shared" ca="1" si="24"/>
        <v>8.2079343365252955E-3</v>
      </c>
      <c r="H562" s="14">
        <f t="shared" si="25"/>
        <v>2017</v>
      </c>
      <c r="I562" s="5">
        <f t="shared" ca="1" si="26"/>
        <v>-1.1271415689810641E-2</v>
      </c>
      <c r="J562" s="16"/>
    </row>
    <row r="563" spans="1:10" x14ac:dyDescent="0.2">
      <c r="A563" s="3">
        <v>43090</v>
      </c>
      <c r="B563" s="1">
        <f ca="1">IFERROR(__xludf.DUMMYFUNCTION("""COMPUTED_VALUE"""),21.97)</f>
        <v>21.97</v>
      </c>
      <c r="C563" s="1">
        <f ca="1">IFERROR(__xludf.DUMMYFUNCTION("""COMPUTED_VALUE"""),22.25)</f>
        <v>22.25</v>
      </c>
      <c r="D563" s="1">
        <f ca="1">IFERROR(__xludf.DUMMYFUNCTION("""COMPUTED_VALUE"""),21.81)</f>
        <v>21.81</v>
      </c>
      <c r="E563" s="1">
        <f ca="1">IFERROR(__xludf.DUMMYFUNCTION("""COMPUTED_VALUE"""),22.11)</f>
        <v>22.11</v>
      </c>
      <c r="F563" s="1">
        <f ca="1">IFERROR(__xludf.DUMMYFUNCTION("""COMPUTED_VALUE"""),4385222)</f>
        <v>4385222</v>
      </c>
      <c r="G563" s="5">
        <f t="shared" ca="1" si="24"/>
        <v>-1.9448213478064212E-2</v>
      </c>
      <c r="H563" s="14">
        <f t="shared" si="25"/>
        <v>2017</v>
      </c>
      <c r="I563" s="5">
        <f t="shared" ca="1" si="26"/>
        <v>6.3723258989531444E-3</v>
      </c>
      <c r="J563" s="16"/>
    </row>
    <row r="564" spans="1:10" x14ac:dyDescent="0.2">
      <c r="A564" s="3">
        <v>43091</v>
      </c>
      <c r="B564" s="1">
        <f ca="1">IFERROR(__xludf.DUMMYFUNCTION("""COMPUTED_VALUE"""),21.97)</f>
        <v>21.97</v>
      </c>
      <c r="C564" s="1">
        <f ca="1">IFERROR(__xludf.DUMMYFUNCTION("""COMPUTED_VALUE"""),22.06)</f>
        <v>22.06</v>
      </c>
      <c r="D564" s="1">
        <f ca="1">IFERROR(__xludf.DUMMYFUNCTION("""COMPUTED_VALUE"""),21.65)</f>
        <v>21.65</v>
      </c>
      <c r="E564" s="1">
        <f ca="1">IFERROR(__xludf.DUMMYFUNCTION("""COMPUTED_VALUE"""),21.68)</f>
        <v>21.68</v>
      </c>
      <c r="F564" s="1">
        <f ca="1">IFERROR(__xludf.DUMMYFUNCTION("""COMPUTED_VALUE"""),4215807)</f>
        <v>4215807</v>
      </c>
      <c r="G564" s="5">
        <f t="shared" ca="1" si="24"/>
        <v>-2.4446494464944703E-2</v>
      </c>
      <c r="H564" s="14">
        <f t="shared" si="25"/>
        <v>2017</v>
      </c>
      <c r="I564" s="5">
        <f t="shared" ca="1" si="26"/>
        <v>-1.3199817933545707E-2</v>
      </c>
      <c r="J564" s="16"/>
    </row>
    <row r="565" spans="1:10" x14ac:dyDescent="0.2">
      <c r="A565" s="3">
        <v>43095</v>
      </c>
      <c r="B565" s="1">
        <f ca="1">IFERROR(__xludf.DUMMYFUNCTION("""COMPUTED_VALUE"""),21.59)</f>
        <v>21.59</v>
      </c>
      <c r="C565" s="1">
        <f ca="1">IFERROR(__xludf.DUMMYFUNCTION("""COMPUTED_VALUE"""),21.6)</f>
        <v>21.6</v>
      </c>
      <c r="D565" s="1">
        <f ca="1">IFERROR(__xludf.DUMMYFUNCTION("""COMPUTED_VALUE"""),21.11)</f>
        <v>21.11</v>
      </c>
      <c r="E565" s="1">
        <f ca="1">IFERROR(__xludf.DUMMYFUNCTION("""COMPUTED_VALUE"""),21.15)</f>
        <v>21.15</v>
      </c>
      <c r="F565" s="1">
        <f ca="1">IFERROR(__xludf.DUMMYFUNCTION("""COMPUTED_VALUE"""),4378413)</f>
        <v>4378413</v>
      </c>
      <c r="G565" s="5">
        <f t="shared" ca="1" si="24"/>
        <v>-1.7494089834515246E-2</v>
      </c>
      <c r="H565" s="14">
        <f t="shared" si="25"/>
        <v>2017</v>
      </c>
      <c r="I565" s="5">
        <f t="shared" ca="1" si="26"/>
        <v>-2.0379805465493343E-2</v>
      </c>
      <c r="J565" s="16"/>
    </row>
    <row r="566" spans="1:10" x14ac:dyDescent="0.2">
      <c r="A566" s="3">
        <v>43096</v>
      </c>
      <c r="B566" s="1">
        <f ca="1">IFERROR(__xludf.DUMMYFUNCTION("""COMPUTED_VALUE"""),21.07)</f>
        <v>21.07</v>
      </c>
      <c r="C566" s="1">
        <f ca="1">IFERROR(__xludf.DUMMYFUNCTION("""COMPUTED_VALUE"""),21.18)</f>
        <v>21.18</v>
      </c>
      <c r="D566" s="1">
        <f ca="1">IFERROR(__xludf.DUMMYFUNCTION("""COMPUTED_VALUE"""),20.72)</f>
        <v>20.72</v>
      </c>
      <c r="E566" s="1">
        <f ca="1">IFERROR(__xludf.DUMMYFUNCTION("""COMPUTED_VALUE"""),20.78)</f>
        <v>20.78</v>
      </c>
      <c r="F566" s="1">
        <f ca="1">IFERROR(__xludf.DUMMYFUNCTION("""COMPUTED_VALUE"""),4712111)</f>
        <v>4712111</v>
      </c>
      <c r="G566" s="5">
        <f t="shared" ca="1" si="24"/>
        <v>1.1549566891241503E-2</v>
      </c>
      <c r="H566" s="14">
        <f t="shared" si="25"/>
        <v>2017</v>
      </c>
      <c r="I566" s="5">
        <f t="shared" ca="1" si="26"/>
        <v>-1.3763644992880833E-2</v>
      </c>
      <c r="J566" s="16"/>
    </row>
    <row r="567" spans="1:10" x14ac:dyDescent="0.2">
      <c r="A567" s="3">
        <v>43097</v>
      </c>
      <c r="B567" s="1">
        <f ca="1">IFERROR(__xludf.DUMMYFUNCTION("""COMPUTED_VALUE"""),20.78)</f>
        <v>20.78</v>
      </c>
      <c r="C567" s="1">
        <f ca="1">IFERROR(__xludf.DUMMYFUNCTION("""COMPUTED_VALUE"""),21.05)</f>
        <v>21.05</v>
      </c>
      <c r="D567" s="1">
        <f ca="1">IFERROR(__xludf.DUMMYFUNCTION("""COMPUTED_VALUE"""),20.64)</f>
        <v>20.64</v>
      </c>
      <c r="E567" s="1">
        <f ca="1">IFERROR(__xludf.DUMMYFUNCTION("""COMPUTED_VALUE"""),21.02)</f>
        <v>21.02</v>
      </c>
      <c r="F567" s="1">
        <f ca="1">IFERROR(__xludf.DUMMYFUNCTION("""COMPUTED_VALUE"""),4316347)</f>
        <v>4316347</v>
      </c>
      <c r="G567" s="5">
        <f t="shared" ca="1" si="24"/>
        <v>-1.2369172216936156E-2</v>
      </c>
      <c r="H567" s="14">
        <f t="shared" si="25"/>
        <v>2017</v>
      </c>
      <c r="I567" s="5">
        <f t="shared" ca="1" si="26"/>
        <v>1.1549566891241503E-2</v>
      </c>
      <c r="J567" s="16"/>
    </row>
    <row r="568" spans="1:10" x14ac:dyDescent="0.2">
      <c r="A568" s="3">
        <v>43098</v>
      </c>
      <c r="B568" s="1">
        <f ca="1">IFERROR(__xludf.DUMMYFUNCTION("""COMPUTED_VALUE"""),21.08)</f>
        <v>21.08</v>
      </c>
      <c r="C568" s="1">
        <f ca="1">IFERROR(__xludf.DUMMYFUNCTION("""COMPUTED_VALUE"""),21.09)</f>
        <v>21.09</v>
      </c>
      <c r="D568" s="1">
        <f ca="1">IFERROR(__xludf.DUMMYFUNCTION("""COMPUTED_VALUE"""),20.67)</f>
        <v>20.67</v>
      </c>
      <c r="E568" s="1">
        <f ca="1">IFERROR(__xludf.DUMMYFUNCTION("""COMPUTED_VALUE"""),20.76)</f>
        <v>20.76</v>
      </c>
      <c r="F568" s="1">
        <f ca="1">IFERROR(__xludf.DUMMYFUNCTION("""COMPUTED_VALUE"""),3777155)</f>
        <v>3777155</v>
      </c>
      <c r="G568" s="5">
        <f t="shared" ca="1" si="24"/>
        <v>2.9383429672446983E-2</v>
      </c>
      <c r="H568" s="14">
        <f t="shared" si="25"/>
        <v>2017</v>
      </c>
      <c r="I568" s="5">
        <f t="shared" ca="1" si="26"/>
        <v>-1.5180265654648802E-2</v>
      </c>
      <c r="J568" s="16"/>
    </row>
    <row r="569" spans="1:10" x14ac:dyDescent="0.2">
      <c r="A569" s="3">
        <v>43102</v>
      </c>
      <c r="B569" s="1">
        <f ca="1">IFERROR(__xludf.DUMMYFUNCTION("""COMPUTED_VALUE"""),20.8)</f>
        <v>20.8</v>
      </c>
      <c r="C569" s="1">
        <f ca="1">IFERROR(__xludf.DUMMYFUNCTION("""COMPUTED_VALUE"""),21.47)</f>
        <v>21.47</v>
      </c>
      <c r="D569" s="1">
        <f ca="1">IFERROR(__xludf.DUMMYFUNCTION("""COMPUTED_VALUE"""),20.73)</f>
        <v>20.73</v>
      </c>
      <c r="E569" s="1">
        <f ca="1">IFERROR(__xludf.DUMMYFUNCTION("""COMPUTED_VALUE"""),21.37)</f>
        <v>21.37</v>
      </c>
      <c r="F569" s="1">
        <f ca="1">IFERROR(__xludf.DUMMYFUNCTION("""COMPUTED_VALUE"""),4352241)</f>
        <v>4352241</v>
      </c>
      <c r="G569" s="5">
        <f t="shared" ca="1" si="24"/>
        <v>-1.0294805802527019E-2</v>
      </c>
      <c r="H569" s="14">
        <f t="shared" si="25"/>
        <v>2018</v>
      </c>
      <c r="I569" s="5">
        <f t="shared" ca="1" si="26"/>
        <v>2.7403846153846168E-2</v>
      </c>
      <c r="J569" s="16"/>
    </row>
    <row r="570" spans="1:10" x14ac:dyDescent="0.2">
      <c r="A570" s="3">
        <v>43103</v>
      </c>
      <c r="B570" s="1">
        <f ca="1">IFERROR(__xludf.DUMMYFUNCTION("""COMPUTED_VALUE"""),21.4)</f>
        <v>21.4</v>
      </c>
      <c r="C570" s="1">
        <f ca="1">IFERROR(__xludf.DUMMYFUNCTION("""COMPUTED_VALUE"""),21.68)</f>
        <v>21.68</v>
      </c>
      <c r="D570" s="1">
        <f ca="1">IFERROR(__xludf.DUMMYFUNCTION("""COMPUTED_VALUE"""),21.04)</f>
        <v>21.04</v>
      </c>
      <c r="E570" s="1">
        <f ca="1">IFERROR(__xludf.DUMMYFUNCTION("""COMPUTED_VALUE"""),21.15)</f>
        <v>21.15</v>
      </c>
      <c r="F570" s="1">
        <f ca="1">IFERROR(__xludf.DUMMYFUNCTION("""COMPUTED_VALUE"""),4521527)</f>
        <v>4521527</v>
      </c>
      <c r="G570" s="5">
        <f t="shared" ca="1" si="24"/>
        <v>-8.5106382978723284E-3</v>
      </c>
      <c r="H570" s="14">
        <f t="shared" si="25"/>
        <v>2018</v>
      </c>
      <c r="I570" s="5">
        <f t="shared" ca="1" si="26"/>
        <v>-1.1682242990654207E-2</v>
      </c>
      <c r="J570" s="16"/>
    </row>
    <row r="571" spans="1:10" x14ac:dyDescent="0.2">
      <c r="A571" s="3">
        <v>43104</v>
      </c>
      <c r="B571" s="1">
        <f ca="1">IFERROR(__xludf.DUMMYFUNCTION("""COMPUTED_VALUE"""),20.86)</f>
        <v>20.86</v>
      </c>
      <c r="C571" s="1">
        <f ca="1">IFERROR(__xludf.DUMMYFUNCTION("""COMPUTED_VALUE"""),21.24)</f>
        <v>21.24</v>
      </c>
      <c r="D571" s="1">
        <f ca="1">IFERROR(__xludf.DUMMYFUNCTION("""COMPUTED_VALUE"""),20.38)</f>
        <v>20.38</v>
      </c>
      <c r="E571" s="1">
        <f ca="1">IFERROR(__xludf.DUMMYFUNCTION("""COMPUTED_VALUE"""),20.97)</f>
        <v>20.97</v>
      </c>
      <c r="F571" s="1">
        <f ca="1">IFERROR(__xludf.DUMMYFUNCTION("""COMPUTED_VALUE"""),9946304)</f>
        <v>9946304</v>
      </c>
      <c r="G571" s="5">
        <f t="shared" ca="1" si="24"/>
        <v>6.6762041010968321E-3</v>
      </c>
      <c r="H571" s="14">
        <f t="shared" si="25"/>
        <v>2018</v>
      </c>
      <c r="I571" s="5">
        <f t="shared" ca="1" si="26"/>
        <v>5.2732502396931656E-3</v>
      </c>
      <c r="J571" s="16"/>
    </row>
    <row r="572" spans="1:10" x14ac:dyDescent="0.2">
      <c r="A572" s="3">
        <v>43105</v>
      </c>
      <c r="B572" s="1">
        <f ca="1">IFERROR(__xludf.DUMMYFUNCTION("""COMPUTED_VALUE"""),21.11)</f>
        <v>21.11</v>
      </c>
      <c r="C572" s="1">
        <f ca="1">IFERROR(__xludf.DUMMYFUNCTION("""COMPUTED_VALUE"""),21.15)</f>
        <v>21.15</v>
      </c>
      <c r="D572" s="1">
        <f ca="1">IFERROR(__xludf.DUMMYFUNCTION("""COMPUTED_VALUE"""),20.8)</f>
        <v>20.8</v>
      </c>
      <c r="E572" s="1">
        <f ca="1">IFERROR(__xludf.DUMMYFUNCTION("""COMPUTED_VALUE"""),21.11)</f>
        <v>21.11</v>
      </c>
      <c r="F572" s="1">
        <f ca="1">IFERROR(__xludf.DUMMYFUNCTION("""COMPUTED_VALUE"""),4591180)</f>
        <v>4591180</v>
      </c>
      <c r="G572" s="5">
        <f t="shared" ca="1" si="24"/>
        <v>6.2529606821411662E-2</v>
      </c>
      <c r="H572" s="14">
        <f t="shared" si="25"/>
        <v>2018</v>
      </c>
      <c r="I572" s="5">
        <f t="shared" ca="1" si="26"/>
        <v>0</v>
      </c>
      <c r="J572" s="16"/>
    </row>
    <row r="573" spans="1:10" x14ac:dyDescent="0.2">
      <c r="A573" s="3">
        <v>43108</v>
      </c>
      <c r="B573" s="1">
        <f ca="1">IFERROR(__xludf.DUMMYFUNCTION("""COMPUTED_VALUE"""),21.07)</f>
        <v>21.07</v>
      </c>
      <c r="C573" s="1">
        <f ca="1">IFERROR(__xludf.DUMMYFUNCTION("""COMPUTED_VALUE"""),22.47)</f>
        <v>22.47</v>
      </c>
      <c r="D573" s="1">
        <f ca="1">IFERROR(__xludf.DUMMYFUNCTION("""COMPUTED_VALUE"""),21.03)</f>
        <v>21.03</v>
      </c>
      <c r="E573" s="1">
        <f ca="1">IFERROR(__xludf.DUMMYFUNCTION("""COMPUTED_VALUE"""),22.43)</f>
        <v>22.43</v>
      </c>
      <c r="F573" s="1">
        <f ca="1">IFERROR(__xludf.DUMMYFUNCTION("""COMPUTED_VALUE"""),9859435)</f>
        <v>9859435</v>
      </c>
      <c r="G573" s="5">
        <f t="shared" ca="1" si="24"/>
        <v>-8.0249665626393098E-3</v>
      </c>
      <c r="H573" s="14">
        <f t="shared" si="25"/>
        <v>2018</v>
      </c>
      <c r="I573" s="5">
        <f t="shared" ca="1" si="26"/>
        <v>6.4546748932130971E-2</v>
      </c>
      <c r="J573" s="16"/>
    </row>
    <row r="574" spans="1:10" x14ac:dyDescent="0.2">
      <c r="A574" s="3">
        <v>43109</v>
      </c>
      <c r="B574" s="1">
        <f ca="1">IFERROR(__xludf.DUMMYFUNCTION("""COMPUTED_VALUE"""),22.34)</f>
        <v>22.34</v>
      </c>
      <c r="C574" s="1">
        <f ca="1">IFERROR(__xludf.DUMMYFUNCTION("""COMPUTED_VALUE"""),22.59)</f>
        <v>22.59</v>
      </c>
      <c r="D574" s="1">
        <f ca="1">IFERROR(__xludf.DUMMYFUNCTION("""COMPUTED_VALUE"""),21.83)</f>
        <v>21.83</v>
      </c>
      <c r="E574" s="1">
        <f ca="1">IFERROR(__xludf.DUMMYFUNCTION("""COMPUTED_VALUE"""),22.25)</f>
        <v>22.25</v>
      </c>
      <c r="F574" s="1">
        <f ca="1">IFERROR(__xludf.DUMMYFUNCTION("""COMPUTED_VALUE"""),7146631)</f>
        <v>7146631</v>
      </c>
      <c r="G574" s="5">
        <f t="shared" ca="1" si="24"/>
        <v>3.1460674157303497E-3</v>
      </c>
      <c r="H574" s="14">
        <f t="shared" si="25"/>
        <v>2018</v>
      </c>
      <c r="I574" s="5">
        <f t="shared" ca="1" si="26"/>
        <v>-4.0286481647269405E-3</v>
      </c>
      <c r="J574" s="16"/>
    </row>
    <row r="575" spans="1:10" x14ac:dyDescent="0.2">
      <c r="A575" s="3">
        <v>43110</v>
      </c>
      <c r="B575" s="1">
        <f ca="1">IFERROR(__xludf.DUMMYFUNCTION("""COMPUTED_VALUE"""),22.15)</f>
        <v>22.15</v>
      </c>
      <c r="C575" s="1">
        <f ca="1">IFERROR(__xludf.DUMMYFUNCTION("""COMPUTED_VALUE"""),22.47)</f>
        <v>22.47</v>
      </c>
      <c r="D575" s="1">
        <f ca="1">IFERROR(__xludf.DUMMYFUNCTION("""COMPUTED_VALUE"""),22)</f>
        <v>22</v>
      </c>
      <c r="E575" s="1">
        <f ca="1">IFERROR(__xludf.DUMMYFUNCTION("""COMPUTED_VALUE"""),22.32)</f>
        <v>22.32</v>
      </c>
      <c r="F575" s="1">
        <f ca="1">IFERROR(__xludf.DUMMYFUNCTION("""COMPUTED_VALUE"""),4309926)</f>
        <v>4309926</v>
      </c>
      <c r="G575" s="5">
        <f t="shared" ca="1" si="24"/>
        <v>9.4086021505376729E-3</v>
      </c>
      <c r="H575" s="14">
        <f t="shared" si="25"/>
        <v>2018</v>
      </c>
      <c r="I575" s="5">
        <f t="shared" ca="1" si="26"/>
        <v>7.6749435665914995E-3</v>
      </c>
      <c r="J575" s="16"/>
    </row>
    <row r="576" spans="1:10" x14ac:dyDescent="0.2">
      <c r="A576" s="3">
        <v>43111</v>
      </c>
      <c r="B576" s="1">
        <f ca="1">IFERROR(__xludf.DUMMYFUNCTION("""COMPUTED_VALUE"""),22.35)</f>
        <v>22.35</v>
      </c>
      <c r="C576" s="1">
        <f ca="1">IFERROR(__xludf.DUMMYFUNCTION("""COMPUTED_VALUE"""),22.99)</f>
        <v>22.99</v>
      </c>
      <c r="D576" s="1">
        <f ca="1">IFERROR(__xludf.DUMMYFUNCTION("""COMPUTED_VALUE"""),22.22)</f>
        <v>22.22</v>
      </c>
      <c r="E576" s="1">
        <f ca="1">IFERROR(__xludf.DUMMYFUNCTION("""COMPUTED_VALUE"""),22.53)</f>
        <v>22.53</v>
      </c>
      <c r="F576" s="1">
        <f ca="1">IFERROR(__xludf.DUMMYFUNCTION("""COMPUTED_VALUE"""),6645484)</f>
        <v>6645484</v>
      </c>
      <c r="G576" s="5">
        <f t="shared" ca="1" si="24"/>
        <v>-5.3262316910786056E-3</v>
      </c>
      <c r="H576" s="14">
        <f t="shared" si="25"/>
        <v>2018</v>
      </c>
      <c r="I576" s="5">
        <f t="shared" ca="1" si="26"/>
        <v>8.0536912751677722E-3</v>
      </c>
      <c r="J576" s="16"/>
    </row>
    <row r="577" spans="1:10" x14ac:dyDescent="0.2">
      <c r="A577" s="3">
        <v>43112</v>
      </c>
      <c r="B577" s="1">
        <f ca="1">IFERROR(__xludf.DUMMYFUNCTION("""COMPUTED_VALUE"""),22.58)</f>
        <v>22.58</v>
      </c>
      <c r="C577" s="1">
        <f ca="1">IFERROR(__xludf.DUMMYFUNCTION("""COMPUTED_VALUE"""),22.69)</f>
        <v>22.69</v>
      </c>
      <c r="D577" s="1">
        <f ca="1">IFERROR(__xludf.DUMMYFUNCTION("""COMPUTED_VALUE"""),22.24)</f>
        <v>22.24</v>
      </c>
      <c r="E577" s="1">
        <f ca="1">IFERROR(__xludf.DUMMYFUNCTION("""COMPUTED_VALUE"""),22.41)</f>
        <v>22.41</v>
      </c>
      <c r="F577" s="1">
        <f ca="1">IFERROR(__xludf.DUMMYFUNCTION("""COMPUTED_VALUE"""),4825059)</f>
        <v>4825059</v>
      </c>
      <c r="G577" s="5">
        <f t="shared" ca="1" si="24"/>
        <v>1.1601963409192395E-2</v>
      </c>
      <c r="H577" s="14">
        <f t="shared" si="25"/>
        <v>2018</v>
      </c>
      <c r="I577" s="5">
        <f t="shared" ca="1" si="26"/>
        <v>-7.5287865367581119E-3</v>
      </c>
      <c r="J577" s="16"/>
    </row>
    <row r="578" spans="1:10" x14ac:dyDescent="0.2">
      <c r="A578" s="3">
        <v>43116</v>
      </c>
      <c r="B578" s="1">
        <f ca="1">IFERROR(__xludf.DUMMYFUNCTION("""COMPUTED_VALUE"""),22.5)</f>
        <v>22.5</v>
      </c>
      <c r="C578" s="1">
        <f ca="1">IFERROR(__xludf.DUMMYFUNCTION("""COMPUTED_VALUE"""),23)</f>
        <v>23</v>
      </c>
      <c r="D578" s="1">
        <f ca="1">IFERROR(__xludf.DUMMYFUNCTION("""COMPUTED_VALUE"""),22.32)</f>
        <v>22.32</v>
      </c>
      <c r="E578" s="1">
        <f ca="1">IFERROR(__xludf.DUMMYFUNCTION("""COMPUTED_VALUE"""),22.67)</f>
        <v>22.67</v>
      </c>
      <c r="F578" s="1">
        <f ca="1">IFERROR(__xludf.DUMMYFUNCTION("""COMPUTED_VALUE"""),6474251)</f>
        <v>6474251</v>
      </c>
      <c r="G578" s="5">
        <f t="shared" ca="1" si="24"/>
        <v>2.0732245258050234E-2</v>
      </c>
      <c r="H578" s="14">
        <f t="shared" si="25"/>
        <v>2018</v>
      </c>
      <c r="I578" s="5">
        <f t="shared" ca="1" si="26"/>
        <v>7.5555555555556313E-3</v>
      </c>
      <c r="J578" s="16"/>
    </row>
    <row r="579" spans="1:10" x14ac:dyDescent="0.2">
      <c r="A579" s="3">
        <v>43117</v>
      </c>
      <c r="B579" s="1">
        <f ca="1">IFERROR(__xludf.DUMMYFUNCTION("""COMPUTED_VALUE"""),22.7)</f>
        <v>22.7</v>
      </c>
      <c r="C579" s="1">
        <f ca="1">IFERROR(__xludf.DUMMYFUNCTION("""COMPUTED_VALUE"""),23.27)</f>
        <v>23.27</v>
      </c>
      <c r="D579" s="1">
        <f ca="1">IFERROR(__xludf.DUMMYFUNCTION("""COMPUTED_VALUE"""),22.65)</f>
        <v>22.65</v>
      </c>
      <c r="E579" s="1">
        <f ca="1">IFERROR(__xludf.DUMMYFUNCTION("""COMPUTED_VALUE"""),23.14)</f>
        <v>23.14</v>
      </c>
      <c r="F579" s="1">
        <f ca="1">IFERROR(__xludf.DUMMYFUNCTION("""COMPUTED_VALUE"""),7103505)</f>
        <v>7103505</v>
      </c>
      <c r="G579" s="5">
        <f t="shared" ref="G579:G642" ca="1" si="27">(E580-E579)/E579</f>
        <v>-7.3465859982714647E-3</v>
      </c>
      <c r="H579" s="14">
        <f t="shared" ref="H579:H642" si="28">YEAR(A579)</f>
        <v>2018</v>
      </c>
      <c r="I579" s="5">
        <f t="shared" ref="I579:I642" ca="1" si="29">((E579 - B579) / B579)</f>
        <v>1.9383259911894331E-2</v>
      </c>
      <c r="J579" s="16"/>
    </row>
    <row r="580" spans="1:10" x14ac:dyDescent="0.2">
      <c r="A580" s="3">
        <v>43118</v>
      </c>
      <c r="B580" s="1">
        <f ca="1">IFERROR(__xludf.DUMMYFUNCTION("""COMPUTED_VALUE"""),23.04)</f>
        <v>23.04</v>
      </c>
      <c r="C580" s="1">
        <f ca="1">IFERROR(__xludf.DUMMYFUNCTION("""COMPUTED_VALUE"""),23.49)</f>
        <v>23.49</v>
      </c>
      <c r="D580" s="1">
        <f ca="1">IFERROR(__xludf.DUMMYFUNCTION("""COMPUTED_VALUE"""),22.92)</f>
        <v>22.92</v>
      </c>
      <c r="E580" s="1">
        <f ca="1">IFERROR(__xludf.DUMMYFUNCTION("""COMPUTED_VALUE"""),22.97)</f>
        <v>22.97</v>
      </c>
      <c r="F580" s="1">
        <f ca="1">IFERROR(__xludf.DUMMYFUNCTION("""COMPUTED_VALUE"""),5685845)</f>
        <v>5685845</v>
      </c>
      <c r="G580" s="5">
        <f t="shared" ca="1" si="27"/>
        <v>1.5672616456247256E-2</v>
      </c>
      <c r="H580" s="14">
        <f t="shared" si="28"/>
        <v>2018</v>
      </c>
      <c r="I580" s="5">
        <f t="shared" ca="1" si="29"/>
        <v>-3.0381944444444571E-3</v>
      </c>
      <c r="J580" s="16"/>
    </row>
    <row r="581" spans="1:10" x14ac:dyDescent="0.2">
      <c r="A581" s="3">
        <v>43119</v>
      </c>
      <c r="B581" s="1">
        <f ca="1">IFERROR(__xludf.DUMMYFUNCTION("""COMPUTED_VALUE"""),23)</f>
        <v>23</v>
      </c>
      <c r="C581" s="1">
        <f ca="1">IFERROR(__xludf.DUMMYFUNCTION("""COMPUTED_VALUE"""),23.37)</f>
        <v>23.37</v>
      </c>
      <c r="D581" s="1">
        <f ca="1">IFERROR(__xludf.DUMMYFUNCTION("""COMPUTED_VALUE"""),22.84)</f>
        <v>22.84</v>
      </c>
      <c r="E581" s="1">
        <f ca="1">IFERROR(__xludf.DUMMYFUNCTION("""COMPUTED_VALUE"""),23.33)</f>
        <v>23.33</v>
      </c>
      <c r="F581" s="1">
        <f ca="1">IFERROR(__xludf.DUMMYFUNCTION("""COMPUTED_VALUE"""),4888303)</f>
        <v>4888303</v>
      </c>
      <c r="G581" s="5">
        <f t="shared" ca="1" si="27"/>
        <v>4.7149592798972568E-3</v>
      </c>
      <c r="H581" s="14">
        <f t="shared" si="28"/>
        <v>2018</v>
      </c>
      <c r="I581" s="5">
        <f t="shared" ca="1" si="29"/>
        <v>1.4347826086956448E-2</v>
      </c>
      <c r="J581" s="16"/>
    </row>
    <row r="582" spans="1:10" x14ac:dyDescent="0.2">
      <c r="A582" s="3">
        <v>43122</v>
      </c>
      <c r="B582" s="1">
        <f ca="1">IFERROR(__xludf.DUMMYFUNCTION("""COMPUTED_VALUE"""),23.29)</f>
        <v>23.29</v>
      </c>
      <c r="C582" s="1">
        <f ca="1">IFERROR(__xludf.DUMMYFUNCTION("""COMPUTED_VALUE"""),23.86)</f>
        <v>23.86</v>
      </c>
      <c r="D582" s="1">
        <f ca="1">IFERROR(__xludf.DUMMYFUNCTION("""COMPUTED_VALUE"""),23.28)</f>
        <v>23.28</v>
      </c>
      <c r="E582" s="1">
        <f ca="1">IFERROR(__xludf.DUMMYFUNCTION("""COMPUTED_VALUE"""),23.44)</f>
        <v>23.44</v>
      </c>
      <c r="F582" s="1">
        <f ca="1">IFERROR(__xludf.DUMMYFUNCTION("""COMPUTED_VALUE"""),6210360)</f>
        <v>6210360</v>
      </c>
      <c r="G582" s="5">
        <f t="shared" ca="1" si="27"/>
        <v>3.4129692832763777E-3</v>
      </c>
      <c r="H582" s="14">
        <f t="shared" si="28"/>
        <v>2018</v>
      </c>
      <c r="I582" s="5">
        <f t="shared" ca="1" si="29"/>
        <v>6.4405324173465927E-3</v>
      </c>
      <c r="J582" s="16"/>
    </row>
    <row r="583" spans="1:10" x14ac:dyDescent="0.2">
      <c r="A583" s="3">
        <v>43123</v>
      </c>
      <c r="B583" s="1">
        <f ca="1">IFERROR(__xludf.DUMMYFUNCTION("""COMPUTED_VALUE"""),24)</f>
        <v>24</v>
      </c>
      <c r="C583" s="1">
        <f ca="1">IFERROR(__xludf.DUMMYFUNCTION("""COMPUTED_VALUE"""),24.03)</f>
        <v>24.03</v>
      </c>
      <c r="D583" s="1">
        <f ca="1">IFERROR(__xludf.DUMMYFUNCTION("""COMPUTED_VALUE"""),23.4)</f>
        <v>23.4</v>
      </c>
      <c r="E583" s="1">
        <f ca="1">IFERROR(__xludf.DUMMYFUNCTION("""COMPUTED_VALUE"""),23.52)</f>
        <v>23.52</v>
      </c>
      <c r="F583" s="1">
        <f ca="1">IFERROR(__xludf.DUMMYFUNCTION("""COMPUTED_VALUE"""),5465414)</f>
        <v>5465414</v>
      </c>
      <c r="G583" s="5">
        <f t="shared" ca="1" si="27"/>
        <v>-1.9557823129251736E-2</v>
      </c>
      <c r="H583" s="14">
        <f t="shared" si="28"/>
        <v>2018</v>
      </c>
      <c r="I583" s="5">
        <f t="shared" ca="1" si="29"/>
        <v>-2.0000000000000018E-2</v>
      </c>
      <c r="J583" s="16"/>
    </row>
    <row r="584" spans="1:10" x14ac:dyDescent="0.2">
      <c r="A584" s="3">
        <v>43124</v>
      </c>
      <c r="B584" s="1">
        <f ca="1">IFERROR(__xludf.DUMMYFUNCTION("""COMPUTED_VALUE"""),23.64)</f>
        <v>23.64</v>
      </c>
      <c r="C584" s="1">
        <f ca="1">IFERROR(__xludf.DUMMYFUNCTION("""COMPUTED_VALUE"""),23.65)</f>
        <v>23.65</v>
      </c>
      <c r="D584" s="1">
        <f ca="1">IFERROR(__xludf.DUMMYFUNCTION("""COMPUTED_VALUE"""),22.9)</f>
        <v>22.9</v>
      </c>
      <c r="E584" s="1">
        <f ca="1">IFERROR(__xludf.DUMMYFUNCTION("""COMPUTED_VALUE"""),23.06)</f>
        <v>23.06</v>
      </c>
      <c r="F584" s="1">
        <f ca="1">IFERROR(__xludf.DUMMYFUNCTION("""COMPUTED_VALUE"""),5287478)</f>
        <v>5287478</v>
      </c>
      <c r="G584" s="5">
        <f t="shared" ca="1" si="27"/>
        <v>-2.3850823937554083E-2</v>
      </c>
      <c r="H584" s="14">
        <f t="shared" si="28"/>
        <v>2018</v>
      </c>
      <c r="I584" s="5">
        <f t="shared" ca="1" si="29"/>
        <v>-2.4534686971235273E-2</v>
      </c>
      <c r="J584" s="16"/>
    </row>
    <row r="585" spans="1:10" x14ac:dyDescent="0.2">
      <c r="A585" s="3">
        <v>43125</v>
      </c>
      <c r="B585" s="1">
        <f ca="1">IFERROR(__xludf.DUMMYFUNCTION("""COMPUTED_VALUE"""),23.22)</f>
        <v>23.22</v>
      </c>
      <c r="C585" s="1">
        <f ca="1">IFERROR(__xludf.DUMMYFUNCTION("""COMPUTED_VALUE"""),23.28)</f>
        <v>23.28</v>
      </c>
      <c r="D585" s="1">
        <f ca="1">IFERROR(__xludf.DUMMYFUNCTION("""COMPUTED_VALUE"""),22.43)</f>
        <v>22.43</v>
      </c>
      <c r="E585" s="1">
        <f ca="1">IFERROR(__xludf.DUMMYFUNCTION("""COMPUTED_VALUE"""),22.51)</f>
        <v>22.51</v>
      </c>
      <c r="F585" s="1">
        <f ca="1">IFERROR(__xludf.DUMMYFUNCTION("""COMPUTED_VALUE"""),6740303)</f>
        <v>6740303</v>
      </c>
      <c r="G585" s="5">
        <f t="shared" ca="1" si="27"/>
        <v>1.554864504664584E-2</v>
      </c>
      <c r="H585" s="14">
        <f t="shared" si="28"/>
        <v>2018</v>
      </c>
      <c r="I585" s="5">
        <f t="shared" ca="1" si="29"/>
        <v>-3.0577088716623485E-2</v>
      </c>
      <c r="J585" s="16"/>
    </row>
    <row r="586" spans="1:10" x14ac:dyDescent="0.2">
      <c r="A586" s="3">
        <v>43126</v>
      </c>
      <c r="B586" s="1">
        <f ca="1">IFERROR(__xludf.DUMMYFUNCTION("""COMPUTED_VALUE"""),22.77)</f>
        <v>22.77</v>
      </c>
      <c r="C586" s="1">
        <f ca="1">IFERROR(__xludf.DUMMYFUNCTION("""COMPUTED_VALUE"""),22.93)</f>
        <v>22.93</v>
      </c>
      <c r="D586" s="1">
        <f ca="1">IFERROR(__xludf.DUMMYFUNCTION("""COMPUTED_VALUE"""),22.38)</f>
        <v>22.38</v>
      </c>
      <c r="E586" s="1">
        <f ca="1">IFERROR(__xludf.DUMMYFUNCTION("""COMPUTED_VALUE"""),22.86)</f>
        <v>22.86</v>
      </c>
      <c r="F586" s="1">
        <f ca="1">IFERROR(__xludf.DUMMYFUNCTION("""COMPUTED_VALUE"""),4539356)</f>
        <v>4539356</v>
      </c>
      <c r="G586" s="5">
        <f t="shared" ca="1" si="27"/>
        <v>1.9247594050743715E-2</v>
      </c>
      <c r="H586" s="14">
        <f t="shared" si="28"/>
        <v>2018</v>
      </c>
      <c r="I586" s="5">
        <f t="shared" ca="1" si="29"/>
        <v>3.952569169960468E-3</v>
      </c>
      <c r="J586" s="16"/>
    </row>
    <row r="587" spans="1:10" x14ac:dyDescent="0.2">
      <c r="A587" s="3">
        <v>43129</v>
      </c>
      <c r="B587" s="1">
        <f ca="1">IFERROR(__xludf.DUMMYFUNCTION("""COMPUTED_VALUE"""),22.66)</f>
        <v>22.66</v>
      </c>
      <c r="C587" s="1">
        <f ca="1">IFERROR(__xludf.DUMMYFUNCTION("""COMPUTED_VALUE"""),23.39)</f>
        <v>23.39</v>
      </c>
      <c r="D587" s="1">
        <f ca="1">IFERROR(__xludf.DUMMYFUNCTION("""COMPUTED_VALUE"""),22.55)</f>
        <v>22.55</v>
      </c>
      <c r="E587" s="1">
        <f ca="1">IFERROR(__xludf.DUMMYFUNCTION("""COMPUTED_VALUE"""),23.3)</f>
        <v>23.3</v>
      </c>
      <c r="F587" s="1">
        <f ca="1">IFERROR(__xludf.DUMMYFUNCTION("""COMPUTED_VALUE"""),4747149)</f>
        <v>4747149</v>
      </c>
      <c r="G587" s="5">
        <f t="shared" ca="1" si="27"/>
        <v>-1.0729613733905579E-2</v>
      </c>
      <c r="H587" s="14">
        <f t="shared" si="28"/>
        <v>2018</v>
      </c>
      <c r="I587" s="5">
        <f t="shared" ca="1" si="29"/>
        <v>2.8243601059135065E-2</v>
      </c>
      <c r="J587" s="16"/>
    </row>
    <row r="588" spans="1:10" x14ac:dyDescent="0.2">
      <c r="A588" s="3">
        <v>43130</v>
      </c>
      <c r="B588" s="1">
        <f ca="1">IFERROR(__xludf.DUMMYFUNCTION("""COMPUTED_VALUE"""),23.01)</f>
        <v>23.01</v>
      </c>
      <c r="C588" s="1">
        <f ca="1">IFERROR(__xludf.DUMMYFUNCTION("""COMPUTED_VALUE"""),23.22)</f>
        <v>23.22</v>
      </c>
      <c r="D588" s="1">
        <f ca="1">IFERROR(__xludf.DUMMYFUNCTION("""COMPUTED_VALUE"""),22.81)</f>
        <v>22.81</v>
      </c>
      <c r="E588" s="1">
        <f ca="1">IFERROR(__xludf.DUMMYFUNCTION("""COMPUTED_VALUE"""),23.05)</f>
        <v>23.05</v>
      </c>
      <c r="F588" s="1">
        <f ca="1">IFERROR(__xludf.DUMMYFUNCTION("""COMPUTED_VALUE"""),4717700)</f>
        <v>4717700</v>
      </c>
      <c r="G588" s="5">
        <f t="shared" ca="1" si="27"/>
        <v>2.4728850325379623E-2</v>
      </c>
      <c r="H588" s="14">
        <f t="shared" si="28"/>
        <v>2018</v>
      </c>
      <c r="I588" s="5">
        <f t="shared" ca="1" si="29"/>
        <v>1.7383746197305147E-3</v>
      </c>
      <c r="J588" s="16"/>
    </row>
    <row r="589" spans="1:10" x14ac:dyDescent="0.2">
      <c r="A589" s="3">
        <v>43131</v>
      </c>
      <c r="B589" s="1">
        <f ca="1">IFERROR(__xludf.DUMMYFUNCTION("""COMPUTED_VALUE"""),23.17)</f>
        <v>23.17</v>
      </c>
      <c r="C589" s="1">
        <f ca="1">IFERROR(__xludf.DUMMYFUNCTION("""COMPUTED_VALUE"""),23.75)</f>
        <v>23.75</v>
      </c>
      <c r="D589" s="1">
        <f ca="1">IFERROR(__xludf.DUMMYFUNCTION("""COMPUTED_VALUE"""),23.01)</f>
        <v>23.01</v>
      </c>
      <c r="E589" s="1">
        <f ca="1">IFERROR(__xludf.DUMMYFUNCTION("""COMPUTED_VALUE"""),23.62)</f>
        <v>23.62</v>
      </c>
      <c r="F589" s="1">
        <f ca="1">IFERROR(__xludf.DUMMYFUNCTION("""COMPUTED_VALUE"""),6214069)</f>
        <v>6214069</v>
      </c>
      <c r="G589" s="5">
        <f t="shared" ca="1" si="27"/>
        <v>-1.4394580863674846E-2</v>
      </c>
      <c r="H589" s="14">
        <f t="shared" si="28"/>
        <v>2018</v>
      </c>
      <c r="I589" s="5">
        <f t="shared" ca="1" si="29"/>
        <v>1.9421665947345675E-2</v>
      </c>
      <c r="J589" s="16"/>
    </row>
    <row r="590" spans="1:10" x14ac:dyDescent="0.2">
      <c r="A590" s="3">
        <v>43132</v>
      </c>
      <c r="B590" s="1">
        <f ca="1">IFERROR(__xludf.DUMMYFUNCTION("""COMPUTED_VALUE"""),23.4)</f>
        <v>23.4</v>
      </c>
      <c r="C590" s="1">
        <f ca="1">IFERROR(__xludf.DUMMYFUNCTION("""COMPUTED_VALUE"""),23.98)</f>
        <v>23.98</v>
      </c>
      <c r="D590" s="1">
        <f ca="1">IFERROR(__xludf.DUMMYFUNCTION("""COMPUTED_VALUE"""),23.24)</f>
        <v>23.24</v>
      </c>
      <c r="E590" s="1">
        <f ca="1">IFERROR(__xludf.DUMMYFUNCTION("""COMPUTED_VALUE"""),23.28)</f>
        <v>23.28</v>
      </c>
      <c r="F590" s="1">
        <f ca="1">IFERROR(__xludf.DUMMYFUNCTION("""COMPUTED_VALUE"""),4197687)</f>
        <v>4197687</v>
      </c>
      <c r="G590" s="5">
        <f t="shared" ca="1" si="27"/>
        <v>-1.546391752577317E-2</v>
      </c>
      <c r="H590" s="14">
        <f t="shared" si="28"/>
        <v>2018</v>
      </c>
      <c r="I590" s="5">
        <f t="shared" ca="1" si="29"/>
        <v>-5.1282051282050189E-3</v>
      </c>
      <c r="J590" s="16"/>
    </row>
    <row r="591" spans="1:10" x14ac:dyDescent="0.2">
      <c r="A591" s="3">
        <v>43133</v>
      </c>
      <c r="B591" s="1">
        <f ca="1">IFERROR(__xludf.DUMMYFUNCTION("""COMPUTED_VALUE"""),23.23)</f>
        <v>23.23</v>
      </c>
      <c r="C591" s="1">
        <f ca="1">IFERROR(__xludf.DUMMYFUNCTION("""COMPUTED_VALUE"""),23.46)</f>
        <v>23.46</v>
      </c>
      <c r="D591" s="1">
        <f ca="1">IFERROR(__xludf.DUMMYFUNCTION("""COMPUTED_VALUE"""),22.7)</f>
        <v>22.7</v>
      </c>
      <c r="E591" s="1">
        <f ca="1">IFERROR(__xludf.DUMMYFUNCTION("""COMPUTED_VALUE"""),22.92)</f>
        <v>22.92</v>
      </c>
      <c r="F591" s="1">
        <f ca="1">IFERROR(__xludf.DUMMYFUNCTION("""COMPUTED_VALUE"""),3704836)</f>
        <v>3704836</v>
      </c>
      <c r="G591" s="5">
        <f t="shared" ca="1" si="27"/>
        <v>-3.097731239092499E-2</v>
      </c>
      <c r="H591" s="14">
        <f t="shared" si="28"/>
        <v>2018</v>
      </c>
      <c r="I591" s="5">
        <f t="shared" ca="1" si="29"/>
        <v>-1.3344812742143724E-2</v>
      </c>
      <c r="J591" s="16"/>
    </row>
    <row r="592" spans="1:10" x14ac:dyDescent="0.2">
      <c r="A592" s="3">
        <v>43136</v>
      </c>
      <c r="B592" s="1">
        <f ca="1">IFERROR(__xludf.DUMMYFUNCTION("""COMPUTED_VALUE"""),22.53)</f>
        <v>22.53</v>
      </c>
      <c r="C592" s="1">
        <f ca="1">IFERROR(__xludf.DUMMYFUNCTION("""COMPUTED_VALUE"""),22.96)</f>
        <v>22.96</v>
      </c>
      <c r="D592" s="1">
        <f ca="1">IFERROR(__xludf.DUMMYFUNCTION("""COMPUTED_VALUE"""),22.2)</f>
        <v>22.2</v>
      </c>
      <c r="E592" s="1">
        <f ca="1">IFERROR(__xludf.DUMMYFUNCTION("""COMPUTED_VALUE"""),22.21)</f>
        <v>22.21</v>
      </c>
      <c r="F592" s="1">
        <f ca="1">IFERROR(__xludf.DUMMYFUNCTION("""COMPUTED_VALUE"""),4464147)</f>
        <v>4464147</v>
      </c>
      <c r="G592" s="5">
        <f t="shared" ca="1" si="27"/>
        <v>2.2512381809995817E-3</v>
      </c>
      <c r="H592" s="14">
        <f t="shared" si="28"/>
        <v>2018</v>
      </c>
      <c r="I592" s="5">
        <f t="shared" ca="1" si="29"/>
        <v>-1.4203284509542844E-2</v>
      </c>
      <c r="J592" s="16"/>
    </row>
    <row r="593" spans="1:10" x14ac:dyDescent="0.2">
      <c r="A593" s="3">
        <v>43137</v>
      </c>
      <c r="B593" s="1">
        <f ca="1">IFERROR(__xludf.DUMMYFUNCTION("""COMPUTED_VALUE"""),21.68)</f>
        <v>21.68</v>
      </c>
      <c r="C593" s="1">
        <f ca="1">IFERROR(__xludf.DUMMYFUNCTION("""COMPUTED_VALUE"""),22.41)</f>
        <v>22.41</v>
      </c>
      <c r="D593" s="1">
        <f ca="1">IFERROR(__xludf.DUMMYFUNCTION("""COMPUTED_VALUE"""),21.57)</f>
        <v>21.57</v>
      </c>
      <c r="E593" s="1">
        <f ca="1">IFERROR(__xludf.DUMMYFUNCTION("""COMPUTED_VALUE"""),22.26)</f>
        <v>22.26</v>
      </c>
      <c r="F593" s="1">
        <f ca="1">IFERROR(__xludf.DUMMYFUNCTION("""COMPUTED_VALUE"""),5088438)</f>
        <v>5088438</v>
      </c>
      <c r="G593" s="5">
        <f t="shared" ca="1" si="27"/>
        <v>3.324348607367468E-2</v>
      </c>
      <c r="H593" s="14">
        <f t="shared" si="28"/>
        <v>2018</v>
      </c>
      <c r="I593" s="5">
        <f t="shared" ca="1" si="29"/>
        <v>2.6752767527675362E-2</v>
      </c>
      <c r="J593" s="16"/>
    </row>
    <row r="594" spans="1:10" x14ac:dyDescent="0.2">
      <c r="A594" s="3">
        <v>43138</v>
      </c>
      <c r="B594" s="1">
        <f ca="1">IFERROR(__xludf.DUMMYFUNCTION("""COMPUTED_VALUE"""),22.6)</f>
        <v>22.6</v>
      </c>
      <c r="C594" s="1">
        <f ca="1">IFERROR(__xludf.DUMMYFUNCTION("""COMPUTED_VALUE"""),23.07)</f>
        <v>23.07</v>
      </c>
      <c r="D594" s="1">
        <f ca="1">IFERROR(__xludf.DUMMYFUNCTION("""COMPUTED_VALUE"""),22.38)</f>
        <v>22.38</v>
      </c>
      <c r="E594" s="1">
        <f ca="1">IFERROR(__xludf.DUMMYFUNCTION("""COMPUTED_VALUE"""),23)</f>
        <v>23</v>
      </c>
      <c r="F594" s="1">
        <f ca="1">IFERROR(__xludf.DUMMYFUNCTION("""COMPUTED_VALUE"""),6969239)</f>
        <v>6969239</v>
      </c>
      <c r="G594" s="5">
        <f t="shared" ca="1" si="27"/>
        <v>-8.6086956521739144E-2</v>
      </c>
      <c r="H594" s="14">
        <f t="shared" si="28"/>
        <v>2018</v>
      </c>
      <c r="I594" s="5">
        <f t="shared" ca="1" si="29"/>
        <v>1.7699115044247725E-2</v>
      </c>
      <c r="J594" s="16"/>
    </row>
    <row r="595" spans="1:10" x14ac:dyDescent="0.2">
      <c r="A595" s="3">
        <v>43139</v>
      </c>
      <c r="B595" s="1">
        <f ca="1">IFERROR(__xludf.DUMMYFUNCTION("""COMPUTED_VALUE"""),22.89)</f>
        <v>22.89</v>
      </c>
      <c r="C595" s="1">
        <f ca="1">IFERROR(__xludf.DUMMYFUNCTION("""COMPUTED_VALUE"""),23.24)</f>
        <v>23.24</v>
      </c>
      <c r="D595" s="1">
        <f ca="1">IFERROR(__xludf.DUMMYFUNCTION("""COMPUTED_VALUE"""),20.97)</f>
        <v>20.97</v>
      </c>
      <c r="E595" s="1">
        <f ca="1">IFERROR(__xludf.DUMMYFUNCTION("""COMPUTED_VALUE"""),21.02)</f>
        <v>21.02</v>
      </c>
      <c r="F595" s="1">
        <f ca="1">IFERROR(__xludf.DUMMYFUNCTION("""COMPUTED_VALUE"""),10314573)</f>
        <v>10314573</v>
      </c>
      <c r="G595" s="5">
        <f t="shared" ca="1" si="27"/>
        <v>-1.5699333967649776E-2</v>
      </c>
      <c r="H595" s="14">
        <f t="shared" si="28"/>
        <v>2018</v>
      </c>
      <c r="I595" s="5">
        <f t="shared" ca="1" si="29"/>
        <v>-8.1695063346439528E-2</v>
      </c>
      <c r="J595" s="16"/>
    </row>
    <row r="596" spans="1:10" x14ac:dyDescent="0.2">
      <c r="A596" s="3">
        <v>43140</v>
      </c>
      <c r="B596" s="1">
        <f ca="1">IFERROR(__xludf.DUMMYFUNCTION("""COMPUTED_VALUE"""),21.33)</f>
        <v>21.33</v>
      </c>
      <c r="C596" s="1">
        <f ca="1">IFERROR(__xludf.DUMMYFUNCTION("""COMPUTED_VALUE"""),21.4)</f>
        <v>21.4</v>
      </c>
      <c r="D596" s="1">
        <f ca="1">IFERROR(__xludf.DUMMYFUNCTION("""COMPUTED_VALUE"""),19.65)</f>
        <v>19.649999999999999</v>
      </c>
      <c r="E596" s="1">
        <f ca="1">IFERROR(__xludf.DUMMYFUNCTION("""COMPUTED_VALUE"""),20.69)</f>
        <v>20.69</v>
      </c>
      <c r="F596" s="1">
        <f ca="1">IFERROR(__xludf.DUMMYFUNCTION("""COMPUTED_VALUE"""),12933721)</f>
        <v>12933721</v>
      </c>
      <c r="G596" s="5">
        <f t="shared" ca="1" si="27"/>
        <v>1.7399710004833223E-2</v>
      </c>
      <c r="H596" s="14">
        <f t="shared" si="28"/>
        <v>2018</v>
      </c>
      <c r="I596" s="5">
        <f t="shared" ca="1" si="29"/>
        <v>-3.0004688232536197E-2</v>
      </c>
      <c r="J596" s="16"/>
    </row>
    <row r="597" spans="1:10" x14ac:dyDescent="0.2">
      <c r="A597" s="3">
        <v>43143</v>
      </c>
      <c r="B597" s="1">
        <f ca="1">IFERROR(__xludf.DUMMYFUNCTION("""COMPUTED_VALUE"""),21.08)</f>
        <v>21.08</v>
      </c>
      <c r="C597" s="1">
        <f ca="1">IFERROR(__xludf.DUMMYFUNCTION("""COMPUTED_VALUE"""),21.21)</f>
        <v>21.21</v>
      </c>
      <c r="D597" s="1">
        <f ca="1">IFERROR(__xludf.DUMMYFUNCTION("""COMPUTED_VALUE"""),20.42)</f>
        <v>20.420000000000002</v>
      </c>
      <c r="E597" s="1">
        <f ca="1">IFERROR(__xludf.DUMMYFUNCTION("""COMPUTED_VALUE"""),21.05)</f>
        <v>21.05</v>
      </c>
      <c r="F597" s="1">
        <f ca="1">IFERROR(__xludf.DUMMYFUNCTION("""COMPUTED_VALUE"""),6227822)</f>
        <v>6227822</v>
      </c>
      <c r="G597" s="5">
        <f t="shared" ca="1" si="27"/>
        <v>2.5178147268408436E-2</v>
      </c>
      <c r="H597" s="14">
        <f t="shared" si="28"/>
        <v>2018</v>
      </c>
      <c r="I597" s="5">
        <f t="shared" ca="1" si="29"/>
        <v>-1.4231499051232251E-3</v>
      </c>
      <c r="J597" s="16"/>
    </row>
    <row r="598" spans="1:10" x14ac:dyDescent="0.2">
      <c r="A598" s="3">
        <v>43144</v>
      </c>
      <c r="B598" s="1">
        <f ca="1">IFERROR(__xludf.DUMMYFUNCTION("""COMPUTED_VALUE"""),21)</f>
        <v>21</v>
      </c>
      <c r="C598" s="1">
        <f ca="1">IFERROR(__xludf.DUMMYFUNCTION("""COMPUTED_VALUE"""),21.61)</f>
        <v>21.61</v>
      </c>
      <c r="D598" s="1">
        <f ca="1">IFERROR(__xludf.DUMMYFUNCTION("""COMPUTED_VALUE"""),20.83)</f>
        <v>20.83</v>
      </c>
      <c r="E598" s="1">
        <f ca="1">IFERROR(__xludf.DUMMYFUNCTION("""COMPUTED_VALUE"""),21.58)</f>
        <v>21.58</v>
      </c>
      <c r="F598" s="1">
        <f ca="1">IFERROR(__xludf.DUMMYFUNCTION("""COMPUTED_VALUE"""),4560231)</f>
        <v>4560231</v>
      </c>
      <c r="G598" s="5">
        <f t="shared" ca="1" si="27"/>
        <v>-4.1705282669138024E-3</v>
      </c>
      <c r="H598" s="14">
        <f t="shared" si="28"/>
        <v>2018</v>
      </c>
      <c r="I598" s="5">
        <f t="shared" ca="1" si="29"/>
        <v>2.7619047619047536E-2</v>
      </c>
      <c r="J598" s="16"/>
    </row>
    <row r="599" spans="1:10" x14ac:dyDescent="0.2">
      <c r="A599" s="3">
        <v>43145</v>
      </c>
      <c r="B599" s="1">
        <f ca="1">IFERROR(__xludf.DUMMYFUNCTION("""COMPUTED_VALUE"""),21.39)</f>
        <v>21.39</v>
      </c>
      <c r="C599" s="1">
        <f ca="1">IFERROR(__xludf.DUMMYFUNCTION("""COMPUTED_VALUE"""),21.74)</f>
        <v>21.74</v>
      </c>
      <c r="D599" s="1">
        <f ca="1">IFERROR(__xludf.DUMMYFUNCTION("""COMPUTED_VALUE"""),21.23)</f>
        <v>21.23</v>
      </c>
      <c r="E599" s="1">
        <f ca="1">IFERROR(__xludf.DUMMYFUNCTION("""COMPUTED_VALUE"""),21.49)</f>
        <v>21.49</v>
      </c>
      <c r="F599" s="1">
        <f ca="1">IFERROR(__xludf.DUMMYFUNCTION("""COMPUTED_VALUE"""),3950743)</f>
        <v>3950743</v>
      </c>
      <c r="G599" s="5">
        <f t="shared" ca="1" si="27"/>
        <v>3.6295951605397912E-2</v>
      </c>
      <c r="H599" s="14">
        <f t="shared" si="28"/>
        <v>2018</v>
      </c>
      <c r="I599" s="5">
        <f t="shared" ca="1" si="29"/>
        <v>4.6750818139316436E-3</v>
      </c>
      <c r="J599" s="16"/>
    </row>
    <row r="600" spans="1:10" x14ac:dyDescent="0.2">
      <c r="A600" s="3">
        <v>43146</v>
      </c>
      <c r="B600" s="1">
        <f ca="1">IFERROR(__xludf.DUMMYFUNCTION("""COMPUTED_VALUE"""),21.63)</f>
        <v>21.63</v>
      </c>
      <c r="C600" s="1">
        <f ca="1">IFERROR(__xludf.DUMMYFUNCTION("""COMPUTED_VALUE"""),22.27)</f>
        <v>22.27</v>
      </c>
      <c r="D600" s="1">
        <f ca="1">IFERROR(__xludf.DUMMYFUNCTION("""COMPUTED_VALUE"""),21.49)</f>
        <v>21.49</v>
      </c>
      <c r="E600" s="1">
        <f ca="1">IFERROR(__xludf.DUMMYFUNCTION("""COMPUTED_VALUE"""),22.27)</f>
        <v>22.27</v>
      </c>
      <c r="F600" s="1">
        <f ca="1">IFERROR(__xludf.DUMMYFUNCTION("""COMPUTED_VALUE"""),5912917)</f>
        <v>5912917</v>
      </c>
      <c r="G600" s="5">
        <f t="shared" ca="1" si="27"/>
        <v>4.4903457566233236E-3</v>
      </c>
      <c r="H600" s="14">
        <f t="shared" si="28"/>
        <v>2018</v>
      </c>
      <c r="I600" s="5">
        <f t="shared" ca="1" si="29"/>
        <v>2.9588534442903401E-2</v>
      </c>
      <c r="J600" s="16"/>
    </row>
    <row r="601" spans="1:10" x14ac:dyDescent="0.2">
      <c r="A601" s="3">
        <v>43147</v>
      </c>
      <c r="B601" s="1">
        <f ca="1">IFERROR(__xludf.DUMMYFUNCTION("""COMPUTED_VALUE"""),22.17)</f>
        <v>22.17</v>
      </c>
      <c r="C601" s="1">
        <f ca="1">IFERROR(__xludf.DUMMYFUNCTION("""COMPUTED_VALUE"""),22.87)</f>
        <v>22.87</v>
      </c>
      <c r="D601" s="1">
        <f ca="1">IFERROR(__xludf.DUMMYFUNCTION("""COMPUTED_VALUE"""),22.11)</f>
        <v>22.11</v>
      </c>
      <c r="E601" s="1">
        <f ca="1">IFERROR(__xludf.DUMMYFUNCTION("""COMPUTED_VALUE"""),22.37)</f>
        <v>22.37</v>
      </c>
      <c r="F601" s="1">
        <f ca="1">IFERROR(__xludf.DUMMYFUNCTION("""COMPUTED_VALUE"""),5642637)</f>
        <v>5642637</v>
      </c>
      <c r="G601" s="5">
        <f t="shared" ca="1" si="27"/>
        <v>-2.2351363433169738E-3</v>
      </c>
      <c r="H601" s="14">
        <f t="shared" si="28"/>
        <v>2018</v>
      </c>
      <c r="I601" s="5">
        <f t="shared" ca="1" si="29"/>
        <v>9.0211998195759702E-3</v>
      </c>
      <c r="J601" s="16"/>
    </row>
    <row r="602" spans="1:10" x14ac:dyDescent="0.2">
      <c r="A602" s="3">
        <v>43151</v>
      </c>
      <c r="B602" s="1">
        <f ca="1">IFERROR(__xludf.DUMMYFUNCTION("""COMPUTED_VALUE"""),22.3)</f>
        <v>22.3</v>
      </c>
      <c r="C602" s="1">
        <f ca="1">IFERROR(__xludf.DUMMYFUNCTION("""COMPUTED_VALUE"""),22.72)</f>
        <v>22.72</v>
      </c>
      <c r="D602" s="1">
        <f ca="1">IFERROR(__xludf.DUMMYFUNCTION("""COMPUTED_VALUE"""),22.1)</f>
        <v>22.1</v>
      </c>
      <c r="E602" s="1">
        <f ca="1">IFERROR(__xludf.DUMMYFUNCTION("""COMPUTED_VALUE"""),22.32)</f>
        <v>22.32</v>
      </c>
      <c r="F602" s="1">
        <f ca="1">IFERROR(__xludf.DUMMYFUNCTION("""COMPUTED_VALUE"""),4009435)</f>
        <v>4009435</v>
      </c>
      <c r="G602" s="5">
        <f t="shared" ca="1" si="27"/>
        <v>-4.4802867383513184E-3</v>
      </c>
      <c r="H602" s="14">
        <f t="shared" si="28"/>
        <v>2018</v>
      </c>
      <c r="I602" s="5">
        <f t="shared" ca="1" si="29"/>
        <v>8.9686098654706602E-4</v>
      </c>
      <c r="J602" s="16"/>
    </row>
    <row r="603" spans="1:10" x14ac:dyDescent="0.2">
      <c r="A603" s="3">
        <v>43152</v>
      </c>
      <c r="B603" s="1">
        <f ca="1">IFERROR(__xludf.DUMMYFUNCTION("""COMPUTED_VALUE"""),22.4)</f>
        <v>22.4</v>
      </c>
      <c r="C603" s="1">
        <f ca="1">IFERROR(__xludf.DUMMYFUNCTION("""COMPUTED_VALUE"""),22.65)</f>
        <v>22.65</v>
      </c>
      <c r="D603" s="1">
        <f ca="1">IFERROR(__xludf.DUMMYFUNCTION("""COMPUTED_VALUE"""),22.21)</f>
        <v>22.21</v>
      </c>
      <c r="E603" s="1">
        <f ca="1">IFERROR(__xludf.DUMMYFUNCTION("""COMPUTED_VALUE"""),22.22)</f>
        <v>22.22</v>
      </c>
      <c r="F603" s="1">
        <f ca="1">IFERROR(__xludf.DUMMYFUNCTION("""COMPUTED_VALUE"""),3219649)</f>
        <v>3219649</v>
      </c>
      <c r="G603" s="5">
        <f t="shared" ca="1" si="27"/>
        <v>3.870387038703868E-2</v>
      </c>
      <c r="H603" s="14">
        <f t="shared" si="28"/>
        <v>2018</v>
      </c>
      <c r="I603" s="5">
        <f t="shared" ca="1" si="29"/>
        <v>-8.0357142857142728E-3</v>
      </c>
      <c r="J603" s="16"/>
    </row>
    <row r="604" spans="1:10" x14ac:dyDescent="0.2">
      <c r="A604" s="3">
        <v>43153</v>
      </c>
      <c r="B604" s="1">
        <f ca="1">IFERROR(__xludf.DUMMYFUNCTION("""COMPUTED_VALUE"""),22.37)</f>
        <v>22.37</v>
      </c>
      <c r="C604" s="1">
        <f ca="1">IFERROR(__xludf.DUMMYFUNCTION("""COMPUTED_VALUE"""),23.16)</f>
        <v>23.16</v>
      </c>
      <c r="D604" s="1">
        <f ca="1">IFERROR(__xludf.DUMMYFUNCTION("""COMPUTED_VALUE"""),22.32)</f>
        <v>22.32</v>
      </c>
      <c r="E604" s="1">
        <f ca="1">IFERROR(__xludf.DUMMYFUNCTION("""COMPUTED_VALUE"""),23.08)</f>
        <v>23.08</v>
      </c>
      <c r="F604" s="1">
        <f ca="1">IFERROR(__xludf.DUMMYFUNCTION("""COMPUTED_VALUE"""),6969808)</f>
        <v>6969808</v>
      </c>
      <c r="G604" s="5">
        <f t="shared" ca="1" si="27"/>
        <v>1.6897746967071085E-2</v>
      </c>
      <c r="H604" s="14">
        <f t="shared" si="28"/>
        <v>2018</v>
      </c>
      <c r="I604" s="5">
        <f t="shared" ca="1" si="29"/>
        <v>3.1738936075100456E-2</v>
      </c>
      <c r="J604" s="16"/>
    </row>
    <row r="605" spans="1:10" x14ac:dyDescent="0.2">
      <c r="A605" s="3">
        <v>43154</v>
      </c>
      <c r="B605" s="1">
        <f ca="1">IFERROR(__xludf.DUMMYFUNCTION("""COMPUTED_VALUE"""),23.19)</f>
        <v>23.19</v>
      </c>
      <c r="C605" s="1">
        <f ca="1">IFERROR(__xludf.DUMMYFUNCTION("""COMPUTED_VALUE"""),23.67)</f>
        <v>23.67</v>
      </c>
      <c r="D605" s="1">
        <f ca="1">IFERROR(__xludf.DUMMYFUNCTION("""COMPUTED_VALUE"""),23.14)</f>
        <v>23.14</v>
      </c>
      <c r="E605" s="1">
        <f ca="1">IFERROR(__xludf.DUMMYFUNCTION("""COMPUTED_VALUE"""),23.47)</f>
        <v>23.47</v>
      </c>
      <c r="F605" s="1">
        <f ca="1">IFERROR(__xludf.DUMMYFUNCTION("""COMPUTED_VALUE"""),5817387)</f>
        <v>5817387</v>
      </c>
      <c r="G605" s="5">
        <f t="shared" ca="1" si="27"/>
        <v>1.5338730293992308E-2</v>
      </c>
      <c r="H605" s="14">
        <f t="shared" si="28"/>
        <v>2018</v>
      </c>
      <c r="I605" s="5">
        <f t="shared" ca="1" si="29"/>
        <v>1.2074169900819214E-2</v>
      </c>
      <c r="J605" s="16"/>
    </row>
    <row r="606" spans="1:10" x14ac:dyDescent="0.2">
      <c r="A606" s="3">
        <v>43157</v>
      </c>
      <c r="B606" s="1">
        <f ca="1">IFERROR(__xludf.DUMMYFUNCTION("""COMPUTED_VALUE"""),23.57)</f>
        <v>23.57</v>
      </c>
      <c r="C606" s="1">
        <f ca="1">IFERROR(__xludf.DUMMYFUNCTION("""COMPUTED_VALUE"""),23.93)</f>
        <v>23.93</v>
      </c>
      <c r="D606" s="1">
        <f ca="1">IFERROR(__xludf.DUMMYFUNCTION("""COMPUTED_VALUE"""),23.49)</f>
        <v>23.49</v>
      </c>
      <c r="E606" s="1">
        <f ca="1">IFERROR(__xludf.DUMMYFUNCTION("""COMPUTED_VALUE"""),23.83)</f>
        <v>23.83</v>
      </c>
      <c r="F606" s="1">
        <f ca="1">IFERROR(__xludf.DUMMYFUNCTION("""COMPUTED_VALUE"""),4339985)</f>
        <v>4339985</v>
      </c>
      <c r="G606" s="5">
        <f t="shared" ca="1" si="27"/>
        <v>-1.8044481745698688E-2</v>
      </c>
      <c r="H606" s="14">
        <f t="shared" si="28"/>
        <v>2018</v>
      </c>
      <c r="I606" s="5">
        <f t="shared" ca="1" si="29"/>
        <v>1.1030971574034706E-2</v>
      </c>
      <c r="J606" s="16"/>
    </row>
    <row r="607" spans="1:10" x14ac:dyDescent="0.2">
      <c r="A607" s="3">
        <v>43158</v>
      </c>
      <c r="B607" s="1">
        <f ca="1">IFERROR(__xludf.DUMMYFUNCTION("""COMPUTED_VALUE"""),23.75)</f>
        <v>23.75</v>
      </c>
      <c r="C607" s="1">
        <f ca="1">IFERROR(__xludf.DUMMYFUNCTION("""COMPUTED_VALUE"""),24)</f>
        <v>24</v>
      </c>
      <c r="D607" s="1">
        <f ca="1">IFERROR(__xludf.DUMMYFUNCTION("""COMPUTED_VALUE"""),23.33)</f>
        <v>23.33</v>
      </c>
      <c r="E607" s="1">
        <f ca="1">IFERROR(__xludf.DUMMYFUNCTION("""COMPUTED_VALUE"""),23.4)</f>
        <v>23.4</v>
      </c>
      <c r="F607" s="1">
        <f ca="1">IFERROR(__xludf.DUMMYFUNCTION("""COMPUTED_VALUE"""),4797419)</f>
        <v>4797419</v>
      </c>
      <c r="G607" s="5">
        <f t="shared" ca="1" si="27"/>
        <v>-2.2649572649572548E-2</v>
      </c>
      <c r="H607" s="14">
        <f t="shared" si="28"/>
        <v>2018</v>
      </c>
      <c r="I607" s="5">
        <f t="shared" ca="1" si="29"/>
        <v>-1.4736842105263218E-2</v>
      </c>
      <c r="J607" s="16"/>
    </row>
    <row r="608" spans="1:10" x14ac:dyDescent="0.2">
      <c r="A608" s="3">
        <v>43159</v>
      </c>
      <c r="B608" s="1">
        <f ca="1">IFERROR(__xludf.DUMMYFUNCTION("""COMPUTED_VALUE"""),23.5)</f>
        <v>23.5</v>
      </c>
      <c r="C608" s="1">
        <f ca="1">IFERROR(__xludf.DUMMYFUNCTION("""COMPUTED_VALUE"""),23.68)</f>
        <v>23.68</v>
      </c>
      <c r="D608" s="1">
        <f ca="1">IFERROR(__xludf.DUMMYFUNCTION("""COMPUTED_VALUE"""),22.81)</f>
        <v>22.81</v>
      </c>
      <c r="E608" s="1">
        <f ca="1">IFERROR(__xludf.DUMMYFUNCTION("""COMPUTED_VALUE"""),22.87)</f>
        <v>22.87</v>
      </c>
      <c r="F608" s="1">
        <f ca="1">IFERROR(__xludf.DUMMYFUNCTION("""COMPUTED_VALUE"""),6069658)</f>
        <v>6069658</v>
      </c>
      <c r="G608" s="5">
        <f t="shared" ca="1" si="27"/>
        <v>-3.5417577612593017E-2</v>
      </c>
      <c r="H608" s="14">
        <f t="shared" si="28"/>
        <v>2018</v>
      </c>
      <c r="I608" s="5">
        <f t="shared" ca="1" si="29"/>
        <v>-2.6808510638297828E-2</v>
      </c>
      <c r="J608" s="16"/>
    </row>
    <row r="609" spans="1:10" x14ac:dyDescent="0.2">
      <c r="A609" s="3">
        <v>43160</v>
      </c>
      <c r="B609" s="1">
        <f ca="1">IFERROR(__xludf.DUMMYFUNCTION("""COMPUTED_VALUE"""),23)</f>
        <v>23</v>
      </c>
      <c r="C609" s="1">
        <f ca="1">IFERROR(__xludf.DUMMYFUNCTION("""COMPUTED_VALUE"""),23.24)</f>
        <v>23.24</v>
      </c>
      <c r="D609" s="1">
        <f ca="1">IFERROR(__xludf.DUMMYFUNCTION("""COMPUTED_VALUE"""),22)</f>
        <v>22</v>
      </c>
      <c r="E609" s="1">
        <f ca="1">IFERROR(__xludf.DUMMYFUNCTION("""COMPUTED_VALUE"""),22.06)</f>
        <v>22.06</v>
      </c>
      <c r="F609" s="1">
        <f ca="1">IFERROR(__xludf.DUMMYFUNCTION("""COMPUTED_VALUE"""),6885601)</f>
        <v>6885601</v>
      </c>
      <c r="G609" s="5">
        <f t="shared" ca="1" si="27"/>
        <v>1.2692656391659164E-2</v>
      </c>
      <c r="H609" s="14">
        <f t="shared" si="28"/>
        <v>2018</v>
      </c>
      <c r="I609" s="5">
        <f t="shared" ca="1" si="29"/>
        <v>-4.0869565217391358E-2</v>
      </c>
      <c r="J609" s="16"/>
    </row>
    <row r="610" spans="1:10" x14ac:dyDescent="0.2">
      <c r="A610" s="3">
        <v>43161</v>
      </c>
      <c r="B610" s="1">
        <f ca="1">IFERROR(__xludf.DUMMYFUNCTION("""COMPUTED_VALUE"""),21.8)</f>
        <v>21.8</v>
      </c>
      <c r="C610" s="1">
        <f ca="1">IFERROR(__xludf.DUMMYFUNCTION("""COMPUTED_VALUE"""),22.35)</f>
        <v>22.35</v>
      </c>
      <c r="D610" s="1">
        <f ca="1">IFERROR(__xludf.DUMMYFUNCTION("""COMPUTED_VALUE"""),21.53)</f>
        <v>21.53</v>
      </c>
      <c r="E610" s="1">
        <f ca="1">IFERROR(__xludf.DUMMYFUNCTION("""COMPUTED_VALUE"""),22.34)</f>
        <v>22.34</v>
      </c>
      <c r="F610" s="1">
        <f ca="1">IFERROR(__xludf.DUMMYFUNCTION("""COMPUTED_VALUE"""),5092829)</f>
        <v>5092829</v>
      </c>
      <c r="G610" s="5">
        <f t="shared" ca="1" si="27"/>
        <v>-5.3715308863026409E-3</v>
      </c>
      <c r="H610" s="14">
        <f t="shared" si="28"/>
        <v>2018</v>
      </c>
      <c r="I610" s="5">
        <f t="shared" ca="1" si="29"/>
        <v>2.4770642201834822E-2</v>
      </c>
      <c r="J610" s="16"/>
    </row>
    <row r="611" spans="1:10" x14ac:dyDescent="0.2">
      <c r="A611" s="3">
        <v>43164</v>
      </c>
      <c r="B611" s="1">
        <f ca="1">IFERROR(__xludf.DUMMYFUNCTION("""COMPUTED_VALUE"""),22.16)</f>
        <v>22.16</v>
      </c>
      <c r="C611" s="1">
        <f ca="1">IFERROR(__xludf.DUMMYFUNCTION("""COMPUTED_VALUE"""),22.52)</f>
        <v>22.52</v>
      </c>
      <c r="D611" s="1">
        <f ca="1">IFERROR(__xludf.DUMMYFUNCTION("""COMPUTED_VALUE"""),21.95)</f>
        <v>21.95</v>
      </c>
      <c r="E611" s="1">
        <f ca="1">IFERROR(__xludf.DUMMYFUNCTION("""COMPUTED_VALUE"""),22.22)</f>
        <v>22.22</v>
      </c>
      <c r="F611" s="1">
        <f ca="1">IFERROR(__xludf.DUMMYFUNCTION("""COMPUTED_VALUE"""),3823769)</f>
        <v>3823769</v>
      </c>
      <c r="G611" s="5">
        <f t="shared" ca="1" si="27"/>
        <v>-1.5301530153015296E-2</v>
      </c>
      <c r="H611" s="14">
        <f t="shared" si="28"/>
        <v>2018</v>
      </c>
      <c r="I611" s="5">
        <f t="shared" ca="1" si="29"/>
        <v>2.7075812274367653E-3</v>
      </c>
      <c r="J611" s="16"/>
    </row>
    <row r="612" spans="1:10" x14ac:dyDescent="0.2">
      <c r="A612" s="3">
        <v>43165</v>
      </c>
      <c r="B612" s="1">
        <f ca="1">IFERROR(__xludf.DUMMYFUNCTION("""COMPUTED_VALUE"""),22.25)</f>
        <v>22.25</v>
      </c>
      <c r="C612" s="1">
        <f ca="1">IFERROR(__xludf.DUMMYFUNCTION("""COMPUTED_VALUE"""),22.42)</f>
        <v>22.42</v>
      </c>
      <c r="D612" s="1">
        <f ca="1">IFERROR(__xludf.DUMMYFUNCTION("""COMPUTED_VALUE"""),21.8)</f>
        <v>21.8</v>
      </c>
      <c r="E612" s="1">
        <f ca="1">IFERROR(__xludf.DUMMYFUNCTION("""COMPUTED_VALUE"""),21.88)</f>
        <v>21.88</v>
      </c>
      <c r="F612" s="1">
        <f ca="1">IFERROR(__xludf.DUMMYFUNCTION("""COMPUTED_VALUE"""),4285744)</f>
        <v>4285744</v>
      </c>
      <c r="G612" s="5">
        <f t="shared" ca="1" si="27"/>
        <v>1.2340036563071279E-2</v>
      </c>
      <c r="H612" s="14">
        <f t="shared" si="28"/>
        <v>2018</v>
      </c>
      <c r="I612" s="5">
        <f t="shared" ca="1" si="29"/>
        <v>-1.6629213483146114E-2</v>
      </c>
      <c r="J612" s="16"/>
    </row>
    <row r="613" spans="1:10" x14ac:dyDescent="0.2">
      <c r="A613" s="3">
        <v>43166</v>
      </c>
      <c r="B613" s="1">
        <f ca="1">IFERROR(__xludf.DUMMYFUNCTION("""COMPUTED_VALUE"""),21.7)</f>
        <v>21.7</v>
      </c>
      <c r="C613" s="1">
        <f ca="1">IFERROR(__xludf.DUMMYFUNCTION("""COMPUTED_VALUE"""),22.17)</f>
        <v>22.17</v>
      </c>
      <c r="D613" s="1">
        <f ca="1">IFERROR(__xludf.DUMMYFUNCTION("""COMPUTED_VALUE"""),21.45)</f>
        <v>21.45</v>
      </c>
      <c r="E613" s="1">
        <f ca="1">IFERROR(__xludf.DUMMYFUNCTION("""COMPUTED_VALUE"""),22.15)</f>
        <v>22.15</v>
      </c>
      <c r="F613" s="1">
        <f ca="1">IFERROR(__xludf.DUMMYFUNCTION("""COMPUTED_VALUE"""),5007297)</f>
        <v>5007297</v>
      </c>
      <c r="G613" s="5">
        <f t="shared" ca="1" si="27"/>
        <v>-9.4808126410833998E-3</v>
      </c>
      <c r="H613" s="14">
        <f t="shared" si="28"/>
        <v>2018</v>
      </c>
      <c r="I613" s="5">
        <f t="shared" ca="1" si="29"/>
        <v>2.0737327188940061E-2</v>
      </c>
      <c r="J613" s="16"/>
    </row>
    <row r="614" spans="1:10" x14ac:dyDescent="0.2">
      <c r="A614" s="3">
        <v>43167</v>
      </c>
      <c r="B614" s="1">
        <f ca="1">IFERROR(__xludf.DUMMYFUNCTION("""COMPUTED_VALUE"""),22.19)</f>
        <v>22.19</v>
      </c>
      <c r="C614" s="1">
        <f ca="1">IFERROR(__xludf.DUMMYFUNCTION("""COMPUTED_VALUE"""),22.22)</f>
        <v>22.22</v>
      </c>
      <c r="D614" s="1">
        <f ca="1">IFERROR(__xludf.DUMMYFUNCTION("""COMPUTED_VALUE"""),21.75)</f>
        <v>21.75</v>
      </c>
      <c r="E614" s="1">
        <f ca="1">IFERROR(__xludf.DUMMYFUNCTION("""COMPUTED_VALUE"""),21.94)</f>
        <v>21.94</v>
      </c>
      <c r="F614" s="1">
        <f ca="1">IFERROR(__xludf.DUMMYFUNCTION("""COMPUTED_VALUE"""),3566244)</f>
        <v>3566244</v>
      </c>
      <c r="G614" s="5">
        <f t="shared" ca="1" si="27"/>
        <v>-5.9252506836828872E-3</v>
      </c>
      <c r="H614" s="14">
        <f t="shared" si="28"/>
        <v>2018</v>
      </c>
      <c r="I614" s="5">
        <f t="shared" ca="1" si="29"/>
        <v>-1.1266336187471833E-2</v>
      </c>
      <c r="J614" s="16"/>
    </row>
    <row r="615" spans="1:10" x14ac:dyDescent="0.2">
      <c r="A615" s="3">
        <v>43168</v>
      </c>
      <c r="B615" s="1">
        <f ca="1">IFERROR(__xludf.DUMMYFUNCTION("""COMPUTED_VALUE"""),21.61)</f>
        <v>21.61</v>
      </c>
      <c r="C615" s="1">
        <f ca="1">IFERROR(__xludf.DUMMYFUNCTION("""COMPUTED_VALUE"""),21.9)</f>
        <v>21.9</v>
      </c>
      <c r="D615" s="1">
        <f ca="1">IFERROR(__xludf.DUMMYFUNCTION("""COMPUTED_VALUE"""),21.49)</f>
        <v>21.49</v>
      </c>
      <c r="E615" s="1">
        <f ca="1">IFERROR(__xludf.DUMMYFUNCTION("""COMPUTED_VALUE"""),21.81)</f>
        <v>21.81</v>
      </c>
      <c r="F615" s="1">
        <f ca="1">IFERROR(__xludf.DUMMYFUNCTION("""COMPUTED_VALUE"""),5506764)</f>
        <v>5506764</v>
      </c>
      <c r="G615" s="5">
        <f t="shared" ca="1" si="27"/>
        <v>5.5937643282897867E-2</v>
      </c>
      <c r="H615" s="14">
        <f t="shared" si="28"/>
        <v>2018</v>
      </c>
      <c r="I615" s="5">
        <f t="shared" ca="1" si="29"/>
        <v>9.2549745488199574E-3</v>
      </c>
      <c r="J615" s="16"/>
    </row>
    <row r="616" spans="1:10" x14ac:dyDescent="0.2">
      <c r="A616" s="3">
        <v>43171</v>
      </c>
      <c r="B616" s="1">
        <f ca="1">IFERROR(__xludf.DUMMYFUNCTION("""COMPUTED_VALUE"""),21.91)</f>
        <v>21.91</v>
      </c>
      <c r="C616" s="1">
        <f ca="1">IFERROR(__xludf.DUMMYFUNCTION("""COMPUTED_VALUE"""),23.15)</f>
        <v>23.15</v>
      </c>
      <c r="D616" s="1">
        <f ca="1">IFERROR(__xludf.DUMMYFUNCTION("""COMPUTED_VALUE"""),21.77)</f>
        <v>21.77</v>
      </c>
      <c r="E616" s="1">
        <f ca="1">IFERROR(__xludf.DUMMYFUNCTION("""COMPUTED_VALUE"""),23.03)</f>
        <v>23.03</v>
      </c>
      <c r="F616" s="1">
        <f ca="1">IFERROR(__xludf.DUMMYFUNCTION("""COMPUTED_VALUE"""),8264035)</f>
        <v>8264035</v>
      </c>
      <c r="G616" s="5">
        <f t="shared" ca="1" si="27"/>
        <v>-1.042118975249683E-2</v>
      </c>
      <c r="H616" s="14">
        <f t="shared" si="28"/>
        <v>2018</v>
      </c>
      <c r="I616" s="5">
        <f t="shared" ca="1" si="29"/>
        <v>5.1118210862619855E-2</v>
      </c>
      <c r="J616" s="16"/>
    </row>
    <row r="617" spans="1:10" x14ac:dyDescent="0.2">
      <c r="A617" s="3">
        <v>43172</v>
      </c>
      <c r="B617" s="1">
        <f ca="1">IFERROR(__xludf.DUMMYFUNCTION("""COMPUTED_VALUE"""),22.99)</f>
        <v>22.99</v>
      </c>
      <c r="C617" s="1">
        <f ca="1">IFERROR(__xludf.DUMMYFUNCTION("""COMPUTED_VALUE"""),23.01)</f>
        <v>23.01</v>
      </c>
      <c r="D617" s="1">
        <f ca="1">IFERROR(__xludf.DUMMYFUNCTION("""COMPUTED_VALUE"""),22.42)</f>
        <v>22.42</v>
      </c>
      <c r="E617" s="1">
        <f ca="1">IFERROR(__xludf.DUMMYFUNCTION("""COMPUTED_VALUE"""),22.79)</f>
        <v>22.79</v>
      </c>
      <c r="F617" s="1">
        <f ca="1">IFERROR(__xludf.DUMMYFUNCTION("""COMPUTED_VALUE"""),5965805)</f>
        <v>5965805</v>
      </c>
      <c r="G617" s="5">
        <f t="shared" ca="1" si="27"/>
        <v>-4.4317683194383416E-2</v>
      </c>
      <c r="H617" s="14">
        <f t="shared" si="28"/>
        <v>2018</v>
      </c>
      <c r="I617" s="5">
        <f t="shared" ca="1" si="29"/>
        <v>-8.6994345367550803E-3</v>
      </c>
      <c r="J617" s="16"/>
    </row>
    <row r="618" spans="1:10" x14ac:dyDescent="0.2">
      <c r="A618" s="3">
        <v>43173</v>
      </c>
      <c r="B618" s="1">
        <f ca="1">IFERROR(__xludf.DUMMYFUNCTION("""COMPUTED_VALUE"""),22.45)</f>
        <v>22.45</v>
      </c>
      <c r="C618" s="1">
        <f ca="1">IFERROR(__xludf.DUMMYFUNCTION("""COMPUTED_VALUE"""),22.65)</f>
        <v>22.65</v>
      </c>
      <c r="D618" s="1">
        <f ca="1">IFERROR(__xludf.DUMMYFUNCTION("""COMPUTED_VALUE"""),21.6)</f>
        <v>21.6</v>
      </c>
      <c r="E618" s="1">
        <f ca="1">IFERROR(__xludf.DUMMYFUNCTION("""COMPUTED_VALUE"""),21.78)</f>
        <v>21.78</v>
      </c>
      <c r="F618" s="1">
        <f ca="1">IFERROR(__xludf.DUMMYFUNCTION("""COMPUTED_VALUE"""),7967370)</f>
        <v>7967370</v>
      </c>
      <c r="G618" s="5">
        <f t="shared" ca="1" si="27"/>
        <v>-3.2139577594123177E-3</v>
      </c>
      <c r="H618" s="14">
        <f t="shared" si="28"/>
        <v>2018</v>
      </c>
      <c r="I618" s="5">
        <f t="shared" ca="1" si="29"/>
        <v>-2.9844097995545577E-2</v>
      </c>
      <c r="J618" s="16"/>
    </row>
    <row r="619" spans="1:10" x14ac:dyDescent="0.2">
      <c r="A619" s="3">
        <v>43174</v>
      </c>
      <c r="B619" s="1">
        <f ca="1">IFERROR(__xludf.DUMMYFUNCTION("""COMPUTED_VALUE"""),21.96)</f>
        <v>21.96</v>
      </c>
      <c r="C619" s="1">
        <f ca="1">IFERROR(__xludf.DUMMYFUNCTION("""COMPUTED_VALUE"""),22.19)</f>
        <v>22.19</v>
      </c>
      <c r="D619" s="1">
        <f ca="1">IFERROR(__xludf.DUMMYFUNCTION("""COMPUTED_VALUE"""),21.41)</f>
        <v>21.41</v>
      </c>
      <c r="E619" s="1">
        <f ca="1">IFERROR(__xludf.DUMMYFUNCTION("""COMPUTED_VALUE"""),21.71)</f>
        <v>21.71</v>
      </c>
      <c r="F619" s="1">
        <f ca="1">IFERROR(__xludf.DUMMYFUNCTION("""COMPUTED_VALUE"""),6564801)</f>
        <v>6564801</v>
      </c>
      <c r="G619" s="5">
        <f t="shared" ca="1" si="27"/>
        <v>-1.3357899585444456E-2</v>
      </c>
      <c r="H619" s="14">
        <f t="shared" si="28"/>
        <v>2018</v>
      </c>
      <c r="I619" s="5">
        <f t="shared" ca="1" si="29"/>
        <v>-1.1384335154826957E-2</v>
      </c>
      <c r="J619" s="16"/>
    </row>
    <row r="620" spans="1:10" x14ac:dyDescent="0.2">
      <c r="A620" s="3">
        <v>43175</v>
      </c>
      <c r="B620" s="1">
        <f ca="1">IFERROR(__xludf.DUMMYFUNCTION("""COMPUTED_VALUE"""),21.73)</f>
        <v>21.73</v>
      </c>
      <c r="C620" s="1">
        <f ca="1">IFERROR(__xludf.DUMMYFUNCTION("""COMPUTED_VALUE"""),21.83)</f>
        <v>21.83</v>
      </c>
      <c r="D620" s="1">
        <f ca="1">IFERROR(__xludf.DUMMYFUNCTION("""COMPUTED_VALUE"""),21.27)</f>
        <v>21.27</v>
      </c>
      <c r="E620" s="1">
        <f ca="1">IFERROR(__xludf.DUMMYFUNCTION("""COMPUTED_VALUE"""),21.42)</f>
        <v>21.42</v>
      </c>
      <c r="F620" s="1">
        <f ca="1">IFERROR(__xludf.DUMMYFUNCTION("""COMPUTED_VALUE"""),6117279)</f>
        <v>6117279</v>
      </c>
      <c r="G620" s="5">
        <f t="shared" ca="1" si="27"/>
        <v>-2.4276377217553831E-2</v>
      </c>
      <c r="H620" s="14">
        <f t="shared" si="28"/>
        <v>2018</v>
      </c>
      <c r="I620" s="5">
        <f t="shared" ca="1" si="29"/>
        <v>-1.426599171652088E-2</v>
      </c>
      <c r="J620" s="16"/>
    </row>
    <row r="621" spans="1:10" x14ac:dyDescent="0.2">
      <c r="A621" s="3">
        <v>43178</v>
      </c>
      <c r="B621" s="1">
        <f ca="1">IFERROR(__xludf.DUMMYFUNCTION("""COMPUTED_VALUE"""),21.1)</f>
        <v>21.1</v>
      </c>
      <c r="C621" s="1">
        <f ca="1">IFERROR(__xludf.DUMMYFUNCTION("""COMPUTED_VALUE"""),21.38)</f>
        <v>21.38</v>
      </c>
      <c r="D621" s="1">
        <f ca="1">IFERROR(__xludf.DUMMYFUNCTION("""COMPUTED_VALUE"""),20.64)</f>
        <v>20.64</v>
      </c>
      <c r="E621" s="1">
        <f ca="1">IFERROR(__xludf.DUMMYFUNCTION("""COMPUTED_VALUE"""),20.9)</f>
        <v>20.9</v>
      </c>
      <c r="F621" s="1">
        <f ca="1">IFERROR(__xludf.DUMMYFUNCTION("""COMPUTED_VALUE"""),7484294)</f>
        <v>7484294</v>
      </c>
      <c r="G621" s="5">
        <f t="shared" ca="1" si="27"/>
        <v>-9.5693779904305887E-3</v>
      </c>
      <c r="H621" s="14">
        <f t="shared" si="28"/>
        <v>2018</v>
      </c>
      <c r="I621" s="5">
        <f t="shared" ca="1" si="29"/>
        <v>-9.4786729857821248E-3</v>
      </c>
      <c r="J621" s="16"/>
    </row>
    <row r="622" spans="1:10" x14ac:dyDescent="0.2">
      <c r="A622" s="3">
        <v>43179</v>
      </c>
      <c r="B622" s="1">
        <f ca="1">IFERROR(__xludf.DUMMYFUNCTION("""COMPUTED_VALUE"""),20.99)</f>
        <v>20.99</v>
      </c>
      <c r="C622" s="1">
        <f ca="1">IFERROR(__xludf.DUMMYFUNCTION("""COMPUTED_VALUE"""),21.08)</f>
        <v>21.08</v>
      </c>
      <c r="D622" s="1">
        <f ca="1">IFERROR(__xludf.DUMMYFUNCTION("""COMPUTED_VALUE"""),20.58)</f>
        <v>20.58</v>
      </c>
      <c r="E622" s="1">
        <f ca="1">IFERROR(__xludf.DUMMYFUNCTION("""COMPUTED_VALUE"""),20.7)</f>
        <v>20.7</v>
      </c>
      <c r="F622" s="1">
        <f ca="1">IFERROR(__xludf.DUMMYFUNCTION("""COMPUTED_VALUE"""),4764293)</f>
        <v>4764293</v>
      </c>
      <c r="G622" s="5">
        <f t="shared" ca="1" si="27"/>
        <v>1.9323671497584644E-2</v>
      </c>
      <c r="H622" s="14">
        <f t="shared" si="28"/>
        <v>2018</v>
      </c>
      <c r="I622" s="5">
        <f t="shared" ca="1" si="29"/>
        <v>-1.3816102906145744E-2</v>
      </c>
      <c r="J622" s="16"/>
    </row>
    <row r="623" spans="1:10" x14ac:dyDescent="0.2">
      <c r="A623" s="3">
        <v>43180</v>
      </c>
      <c r="B623" s="1">
        <f ca="1">IFERROR(__xludf.DUMMYFUNCTION("""COMPUTED_VALUE"""),20.68)</f>
        <v>20.68</v>
      </c>
      <c r="C623" s="1">
        <f ca="1">IFERROR(__xludf.DUMMYFUNCTION("""COMPUTED_VALUE"""),21.5)</f>
        <v>21.5</v>
      </c>
      <c r="D623" s="1">
        <f ca="1">IFERROR(__xludf.DUMMYFUNCTION("""COMPUTED_VALUE"""),20.68)</f>
        <v>20.68</v>
      </c>
      <c r="E623" s="1">
        <f ca="1">IFERROR(__xludf.DUMMYFUNCTION("""COMPUTED_VALUE"""),21.1)</f>
        <v>21.1</v>
      </c>
      <c r="F623" s="1">
        <f ca="1">IFERROR(__xludf.DUMMYFUNCTION("""COMPUTED_VALUE"""),5958411)</f>
        <v>5958411</v>
      </c>
      <c r="G623" s="5">
        <f t="shared" ca="1" si="27"/>
        <v>-2.3222748815165971E-2</v>
      </c>
      <c r="H623" s="14">
        <f t="shared" si="28"/>
        <v>2018</v>
      </c>
      <c r="I623" s="5">
        <f t="shared" ca="1" si="29"/>
        <v>2.0309477756286349E-2</v>
      </c>
      <c r="J623" s="16"/>
    </row>
    <row r="624" spans="1:10" x14ac:dyDescent="0.2">
      <c r="A624" s="3">
        <v>43181</v>
      </c>
      <c r="B624" s="1">
        <f ca="1">IFERROR(__xludf.DUMMYFUNCTION("""COMPUTED_VALUE"""),20.93)</f>
        <v>20.93</v>
      </c>
      <c r="C624" s="1">
        <f ca="1">IFERROR(__xludf.DUMMYFUNCTION("""COMPUTED_VALUE"""),21.25)</f>
        <v>21.25</v>
      </c>
      <c r="D624" s="1">
        <f ca="1">IFERROR(__xludf.DUMMYFUNCTION("""COMPUTED_VALUE"""),20.55)</f>
        <v>20.55</v>
      </c>
      <c r="E624" s="1">
        <f ca="1">IFERROR(__xludf.DUMMYFUNCTION("""COMPUTED_VALUE"""),20.61)</f>
        <v>20.61</v>
      </c>
      <c r="F624" s="1">
        <f ca="1">IFERROR(__xludf.DUMMYFUNCTION("""COMPUTED_VALUE"""),4939771)</f>
        <v>4939771</v>
      </c>
      <c r="G624" s="5">
        <f t="shared" ca="1" si="27"/>
        <v>-2.4745269286753906E-2</v>
      </c>
      <c r="H624" s="14">
        <f t="shared" si="28"/>
        <v>2018</v>
      </c>
      <c r="I624" s="5">
        <f t="shared" ca="1" si="29"/>
        <v>-1.528905876731965E-2</v>
      </c>
      <c r="J624" s="16"/>
    </row>
    <row r="625" spans="1:10" x14ac:dyDescent="0.2">
      <c r="A625" s="3">
        <v>43182</v>
      </c>
      <c r="B625" s="1">
        <f ca="1">IFERROR(__xludf.DUMMYFUNCTION("""COMPUTED_VALUE"""),20.75)</f>
        <v>20.75</v>
      </c>
      <c r="C625" s="1">
        <f ca="1">IFERROR(__xludf.DUMMYFUNCTION("""COMPUTED_VALUE"""),20.77)</f>
        <v>20.77</v>
      </c>
      <c r="D625" s="1">
        <f ca="1">IFERROR(__xludf.DUMMYFUNCTION("""COMPUTED_VALUE"""),20.03)</f>
        <v>20.03</v>
      </c>
      <c r="E625" s="1">
        <f ca="1">IFERROR(__xludf.DUMMYFUNCTION("""COMPUTED_VALUE"""),20.1)</f>
        <v>20.100000000000001</v>
      </c>
      <c r="F625" s="1">
        <f ca="1">IFERROR(__xludf.DUMMYFUNCTION("""COMPUTED_VALUE"""),6654899)</f>
        <v>6654899</v>
      </c>
      <c r="G625" s="5">
        <f t="shared" ca="1" si="27"/>
        <v>8.9552238805969998E-3</v>
      </c>
      <c r="H625" s="14">
        <f t="shared" si="28"/>
        <v>2018</v>
      </c>
      <c r="I625" s="5">
        <f t="shared" ca="1" si="29"/>
        <v>-3.132530120481921E-2</v>
      </c>
      <c r="J625" s="16"/>
    </row>
    <row r="626" spans="1:10" x14ac:dyDescent="0.2">
      <c r="A626" s="3">
        <v>43185</v>
      </c>
      <c r="B626" s="1">
        <f ca="1">IFERROR(__xludf.DUMMYFUNCTION("""COMPUTED_VALUE"""),20.49)</f>
        <v>20.49</v>
      </c>
      <c r="C626" s="1">
        <f ca="1">IFERROR(__xludf.DUMMYFUNCTION("""COMPUTED_VALUE"""),20.51)</f>
        <v>20.51</v>
      </c>
      <c r="D626" s="1">
        <f ca="1">IFERROR(__xludf.DUMMYFUNCTION("""COMPUTED_VALUE"""),19.42)</f>
        <v>19.420000000000002</v>
      </c>
      <c r="E626" s="1">
        <f ca="1">IFERROR(__xludf.DUMMYFUNCTION("""COMPUTED_VALUE"""),20.28)</f>
        <v>20.28</v>
      </c>
      <c r="F626" s="1">
        <f ca="1">IFERROR(__xludf.DUMMYFUNCTION("""COMPUTED_VALUE"""),8375175)</f>
        <v>8375175</v>
      </c>
      <c r="G626" s="5">
        <f t="shared" ca="1" si="27"/>
        <v>-8.2347140039447805E-2</v>
      </c>
      <c r="H626" s="14">
        <f t="shared" si="28"/>
        <v>2018</v>
      </c>
      <c r="I626" s="5">
        <f t="shared" ca="1" si="29"/>
        <v>-1.0248901903367365E-2</v>
      </c>
      <c r="J626" s="16"/>
    </row>
    <row r="627" spans="1:10" x14ac:dyDescent="0.2">
      <c r="A627" s="3">
        <v>43186</v>
      </c>
      <c r="B627" s="1">
        <f ca="1">IFERROR(__xludf.DUMMYFUNCTION("""COMPUTED_VALUE"""),20.27)</f>
        <v>20.27</v>
      </c>
      <c r="C627" s="1">
        <f ca="1">IFERROR(__xludf.DUMMYFUNCTION("""COMPUTED_VALUE"""),20.28)</f>
        <v>20.28</v>
      </c>
      <c r="D627" s="1">
        <f ca="1">IFERROR(__xludf.DUMMYFUNCTION("""COMPUTED_VALUE"""),18.48)</f>
        <v>18.48</v>
      </c>
      <c r="E627" s="1">
        <f ca="1">IFERROR(__xludf.DUMMYFUNCTION("""COMPUTED_VALUE"""),18.61)</f>
        <v>18.61</v>
      </c>
      <c r="F627" s="1">
        <f ca="1">IFERROR(__xludf.DUMMYFUNCTION("""COMPUTED_VALUE"""),13872029)</f>
        <v>13872029</v>
      </c>
      <c r="G627" s="5">
        <f t="shared" ca="1" si="27"/>
        <v>-7.630306286942494E-2</v>
      </c>
      <c r="H627" s="14">
        <f t="shared" si="28"/>
        <v>2018</v>
      </c>
      <c r="I627" s="5">
        <f t="shared" ca="1" si="29"/>
        <v>-8.1894425259003464E-2</v>
      </c>
      <c r="J627" s="16"/>
    </row>
    <row r="628" spans="1:10" x14ac:dyDescent="0.2">
      <c r="A628" s="3">
        <v>43187</v>
      </c>
      <c r="B628" s="1">
        <f ca="1">IFERROR(__xludf.DUMMYFUNCTION("""COMPUTED_VALUE"""),17.64)</f>
        <v>17.64</v>
      </c>
      <c r="C628" s="1">
        <f ca="1">IFERROR(__xludf.DUMMYFUNCTION("""COMPUTED_VALUE"""),17.91)</f>
        <v>17.91</v>
      </c>
      <c r="D628" s="1">
        <f ca="1">IFERROR(__xludf.DUMMYFUNCTION("""COMPUTED_VALUE"""),16.81)</f>
        <v>16.809999999999999</v>
      </c>
      <c r="E628" s="1">
        <f ca="1">IFERROR(__xludf.DUMMYFUNCTION("""COMPUTED_VALUE"""),17.19)</f>
        <v>17.190000000000001</v>
      </c>
      <c r="F628" s="1">
        <f ca="1">IFERROR(__xludf.DUMMYFUNCTION("""COMPUTED_VALUE"""),21001437)</f>
        <v>21001437</v>
      </c>
      <c r="G628" s="5">
        <f t="shared" ca="1" si="27"/>
        <v>3.1995346131471619E-2</v>
      </c>
      <c r="H628" s="14">
        <f t="shared" si="28"/>
        <v>2018</v>
      </c>
      <c r="I628" s="5">
        <f t="shared" ca="1" si="29"/>
        <v>-2.5510204081632612E-2</v>
      </c>
      <c r="J628" s="16"/>
    </row>
    <row r="629" spans="1:10" x14ac:dyDescent="0.2">
      <c r="A629" s="3">
        <v>43188</v>
      </c>
      <c r="B629" s="1">
        <f ca="1">IFERROR(__xludf.DUMMYFUNCTION("""COMPUTED_VALUE"""),17.1)</f>
        <v>17.100000000000001</v>
      </c>
      <c r="C629" s="1">
        <f ca="1">IFERROR(__xludf.DUMMYFUNCTION("""COMPUTED_VALUE"""),18.06)</f>
        <v>18.059999999999999</v>
      </c>
      <c r="D629" s="1">
        <f ca="1">IFERROR(__xludf.DUMMYFUNCTION("""COMPUTED_VALUE"""),16.55)</f>
        <v>16.55</v>
      </c>
      <c r="E629" s="1">
        <f ca="1">IFERROR(__xludf.DUMMYFUNCTION("""COMPUTED_VALUE"""),17.74)</f>
        <v>17.739999999999998</v>
      </c>
      <c r="F629" s="1">
        <f ca="1">IFERROR(__xludf.DUMMYFUNCTION("""COMPUTED_VALUE"""),15170749)</f>
        <v>15170749</v>
      </c>
      <c r="G629" s="5">
        <f t="shared" ca="1" si="27"/>
        <v>-5.1296505073280735E-2</v>
      </c>
      <c r="H629" s="14">
        <f t="shared" si="28"/>
        <v>2018</v>
      </c>
      <c r="I629" s="5">
        <f t="shared" ca="1" si="29"/>
        <v>3.7426900584795142E-2</v>
      </c>
      <c r="J629" s="16"/>
    </row>
    <row r="630" spans="1:10" x14ac:dyDescent="0.2">
      <c r="A630" s="3">
        <v>43192</v>
      </c>
      <c r="B630" s="1">
        <f ca="1">IFERROR(__xludf.DUMMYFUNCTION("""COMPUTED_VALUE"""),17.08)</f>
        <v>17.079999999999998</v>
      </c>
      <c r="C630" s="1">
        <f ca="1">IFERROR(__xludf.DUMMYFUNCTION("""COMPUTED_VALUE"""),17.36)</f>
        <v>17.36</v>
      </c>
      <c r="D630" s="1">
        <f ca="1">IFERROR(__xludf.DUMMYFUNCTION("""COMPUTED_VALUE"""),16.31)</f>
        <v>16.309999999999999</v>
      </c>
      <c r="E630" s="1">
        <f ca="1">IFERROR(__xludf.DUMMYFUNCTION("""COMPUTED_VALUE"""),16.83)</f>
        <v>16.829999999999998</v>
      </c>
      <c r="F630" s="1">
        <f ca="1">IFERROR(__xludf.DUMMYFUNCTION("""COMPUTED_VALUE"""),16113968)</f>
        <v>16113968</v>
      </c>
      <c r="G630" s="5">
        <f t="shared" ca="1" si="27"/>
        <v>6.0011883541295406E-2</v>
      </c>
      <c r="H630" s="14">
        <f t="shared" si="28"/>
        <v>2018</v>
      </c>
      <c r="I630" s="5">
        <f t="shared" ca="1" si="29"/>
        <v>-1.4637002341920375E-2</v>
      </c>
      <c r="J630" s="16"/>
    </row>
    <row r="631" spans="1:10" x14ac:dyDescent="0.2">
      <c r="A631" s="3">
        <v>43193</v>
      </c>
      <c r="B631" s="1">
        <f ca="1">IFERROR(__xludf.DUMMYFUNCTION("""COMPUTED_VALUE"""),17.99)</f>
        <v>17.989999999999998</v>
      </c>
      <c r="C631" s="1">
        <f ca="1">IFERROR(__xludf.DUMMYFUNCTION("""COMPUTED_VALUE"""),18.22)</f>
        <v>18.22</v>
      </c>
      <c r="D631" s="1">
        <f ca="1">IFERROR(__xludf.DUMMYFUNCTION("""COMPUTED_VALUE"""),16.97)</f>
        <v>16.97</v>
      </c>
      <c r="E631" s="1">
        <f ca="1">IFERROR(__xludf.DUMMYFUNCTION("""COMPUTED_VALUE"""),17.84)</f>
        <v>17.84</v>
      </c>
      <c r="F631" s="1">
        <f ca="1">IFERROR(__xludf.DUMMYFUNCTION("""COMPUTED_VALUE"""),18844384)</f>
        <v>18844384</v>
      </c>
      <c r="G631" s="5">
        <f t="shared" ca="1" si="27"/>
        <v>7.2309417040358703E-2</v>
      </c>
      <c r="H631" s="14">
        <f t="shared" si="28"/>
        <v>2018</v>
      </c>
      <c r="I631" s="5">
        <f t="shared" ca="1" si="29"/>
        <v>-8.337965536409038E-3</v>
      </c>
      <c r="J631" s="16"/>
    </row>
    <row r="632" spans="1:10" x14ac:dyDescent="0.2">
      <c r="A632" s="3">
        <v>43194</v>
      </c>
      <c r="B632" s="1">
        <f ca="1">IFERROR(__xludf.DUMMYFUNCTION("""COMPUTED_VALUE"""),16.85)</f>
        <v>16.850000000000001</v>
      </c>
      <c r="C632" s="1">
        <f ca="1">IFERROR(__xludf.DUMMYFUNCTION("""COMPUTED_VALUE"""),19.22)</f>
        <v>19.22</v>
      </c>
      <c r="D632" s="1">
        <f ca="1">IFERROR(__xludf.DUMMYFUNCTION("""COMPUTED_VALUE"""),16.8)</f>
        <v>16.8</v>
      </c>
      <c r="E632" s="1">
        <f ca="1">IFERROR(__xludf.DUMMYFUNCTION("""COMPUTED_VALUE"""),19.13)</f>
        <v>19.13</v>
      </c>
      <c r="F632" s="1">
        <f ca="1">IFERROR(__xludf.DUMMYFUNCTION("""COMPUTED_VALUE"""),19896746)</f>
        <v>19896746</v>
      </c>
      <c r="G632" s="5">
        <f t="shared" ca="1" si="27"/>
        <v>6.5342394145321489E-2</v>
      </c>
      <c r="H632" s="14">
        <f t="shared" si="28"/>
        <v>2018</v>
      </c>
      <c r="I632" s="5">
        <f t="shared" ca="1" si="29"/>
        <v>0.13531157270029659</v>
      </c>
      <c r="J632" s="16"/>
    </row>
    <row r="633" spans="1:10" x14ac:dyDescent="0.2">
      <c r="A633" s="3">
        <v>43195</v>
      </c>
      <c r="B633" s="1">
        <f ca="1">IFERROR(__xludf.DUMMYFUNCTION("""COMPUTED_VALUE"""),19.29)</f>
        <v>19.29</v>
      </c>
      <c r="C633" s="1">
        <f ca="1">IFERROR(__xludf.DUMMYFUNCTION("""COMPUTED_VALUE"""),20.42)</f>
        <v>20.420000000000002</v>
      </c>
      <c r="D633" s="1">
        <f ca="1">IFERROR(__xludf.DUMMYFUNCTION("""COMPUTED_VALUE"""),19.21)</f>
        <v>19.21</v>
      </c>
      <c r="E633" s="1">
        <f ca="1">IFERROR(__xludf.DUMMYFUNCTION("""COMPUTED_VALUE"""),20.38)</f>
        <v>20.38</v>
      </c>
      <c r="F633" s="1">
        <f ca="1">IFERROR(__xludf.DUMMYFUNCTION("""COMPUTED_VALUE"""),19121101)</f>
        <v>19121101</v>
      </c>
      <c r="G633" s="5">
        <f t="shared" ca="1" si="27"/>
        <v>-2.1099116781157987E-2</v>
      </c>
      <c r="H633" s="14">
        <f t="shared" si="28"/>
        <v>2018</v>
      </c>
      <c r="I633" s="5">
        <f t="shared" ca="1" si="29"/>
        <v>5.6505961638154481E-2</v>
      </c>
      <c r="J633" s="16"/>
    </row>
    <row r="634" spans="1:10" x14ac:dyDescent="0.2">
      <c r="A634" s="3">
        <v>43196</v>
      </c>
      <c r="B634" s="1">
        <f ca="1">IFERROR(__xludf.DUMMYFUNCTION("""COMPUTED_VALUE"""),20.07)</f>
        <v>20.07</v>
      </c>
      <c r="C634" s="1">
        <f ca="1">IFERROR(__xludf.DUMMYFUNCTION("""COMPUTED_VALUE"""),20.62)</f>
        <v>20.62</v>
      </c>
      <c r="D634" s="1">
        <f ca="1">IFERROR(__xludf.DUMMYFUNCTION("""COMPUTED_VALUE"""),19.7)</f>
        <v>19.7</v>
      </c>
      <c r="E634" s="1">
        <f ca="1">IFERROR(__xludf.DUMMYFUNCTION("""COMPUTED_VALUE"""),19.95)</f>
        <v>19.95</v>
      </c>
      <c r="F634" s="1">
        <f ca="1">IFERROR(__xludf.DUMMYFUNCTION("""COMPUTED_VALUE"""),13520286)</f>
        <v>13520286</v>
      </c>
      <c r="G634" s="5">
        <f t="shared" ca="1" si="27"/>
        <v>-3.208020050125316E-2</v>
      </c>
      <c r="H634" s="14">
        <f t="shared" si="28"/>
        <v>2018</v>
      </c>
      <c r="I634" s="5">
        <f t="shared" ca="1" si="29"/>
        <v>-5.9790732436472843E-3</v>
      </c>
      <c r="J634" s="16"/>
    </row>
    <row r="635" spans="1:10" x14ac:dyDescent="0.2">
      <c r="A635" s="3">
        <v>43199</v>
      </c>
      <c r="B635" s="1">
        <f ca="1">IFERROR(__xludf.DUMMYFUNCTION("""COMPUTED_VALUE"""),20.02)</f>
        <v>20.02</v>
      </c>
      <c r="C635" s="1">
        <f ca="1">IFERROR(__xludf.DUMMYFUNCTION("""COMPUTED_VALUE"""),20.63)</f>
        <v>20.63</v>
      </c>
      <c r="D635" s="1">
        <f ca="1">IFERROR(__xludf.DUMMYFUNCTION("""COMPUTED_VALUE"""),19.28)</f>
        <v>19.28</v>
      </c>
      <c r="E635" s="1">
        <f ca="1">IFERROR(__xludf.DUMMYFUNCTION("""COMPUTED_VALUE"""),19.31)</f>
        <v>19.309999999999999</v>
      </c>
      <c r="F635" s="1">
        <f ca="1">IFERROR(__xludf.DUMMYFUNCTION("""COMPUTED_VALUE"""),10249805)</f>
        <v>10249805</v>
      </c>
      <c r="G635" s="5">
        <f t="shared" ca="1" si="27"/>
        <v>5.1786639047125847E-2</v>
      </c>
      <c r="H635" s="14">
        <f t="shared" si="28"/>
        <v>2018</v>
      </c>
      <c r="I635" s="5">
        <f t="shared" ca="1" si="29"/>
        <v>-3.5464535464535506E-2</v>
      </c>
      <c r="J635" s="16"/>
    </row>
    <row r="636" spans="1:10" x14ac:dyDescent="0.2">
      <c r="A636" s="3">
        <v>43200</v>
      </c>
      <c r="B636" s="1">
        <f ca="1">IFERROR(__xludf.DUMMYFUNCTION("""COMPUTED_VALUE"""),19.93)</f>
        <v>19.93</v>
      </c>
      <c r="C636" s="1">
        <f ca="1">IFERROR(__xludf.DUMMYFUNCTION("""COMPUTED_VALUE"""),20.47)</f>
        <v>20.47</v>
      </c>
      <c r="D636" s="1">
        <f ca="1">IFERROR(__xludf.DUMMYFUNCTION("""COMPUTED_VALUE"""),19.58)</f>
        <v>19.579999999999998</v>
      </c>
      <c r="E636" s="1">
        <f ca="1">IFERROR(__xludf.DUMMYFUNCTION("""COMPUTED_VALUE"""),20.31)</f>
        <v>20.309999999999999</v>
      </c>
      <c r="F636" s="1">
        <f ca="1">IFERROR(__xludf.DUMMYFUNCTION("""COMPUTED_VALUE"""),11024259)</f>
        <v>11024259</v>
      </c>
      <c r="G636" s="5">
        <f t="shared" ca="1" si="27"/>
        <v>-1.2309207287050714E-2</v>
      </c>
      <c r="H636" s="14">
        <f t="shared" si="28"/>
        <v>2018</v>
      </c>
      <c r="I636" s="5">
        <f t="shared" ca="1" si="29"/>
        <v>1.9066733567486151E-2</v>
      </c>
      <c r="J636" s="16"/>
    </row>
    <row r="637" spans="1:10" x14ac:dyDescent="0.2">
      <c r="A637" s="3">
        <v>43201</v>
      </c>
      <c r="B637" s="1">
        <f ca="1">IFERROR(__xludf.DUMMYFUNCTION("""COMPUTED_VALUE"""),20.05)</f>
        <v>20.05</v>
      </c>
      <c r="C637" s="1">
        <f ca="1">IFERROR(__xludf.DUMMYFUNCTION("""COMPUTED_VALUE"""),20.6)</f>
        <v>20.6</v>
      </c>
      <c r="D637" s="1">
        <f ca="1">IFERROR(__xludf.DUMMYFUNCTION("""COMPUTED_VALUE"""),19.98)</f>
        <v>19.98</v>
      </c>
      <c r="E637" s="1">
        <f ca="1">IFERROR(__xludf.DUMMYFUNCTION("""COMPUTED_VALUE"""),20.06)</f>
        <v>20.059999999999999</v>
      </c>
      <c r="F637" s="1">
        <f ca="1">IFERROR(__xludf.DUMMYFUNCTION("""COMPUTED_VALUE"""),7482945)</f>
        <v>7482945</v>
      </c>
      <c r="G637" s="5">
        <f t="shared" ca="1" si="27"/>
        <v>-2.2432701894317016E-2</v>
      </c>
      <c r="H637" s="14">
        <f t="shared" si="28"/>
        <v>2018</v>
      </c>
      <c r="I637" s="5">
        <f t="shared" ca="1" si="29"/>
        <v>4.987531172068833E-4</v>
      </c>
      <c r="J637" s="16"/>
    </row>
    <row r="638" spans="1:10" x14ac:dyDescent="0.2">
      <c r="A638" s="3">
        <v>43202</v>
      </c>
      <c r="B638" s="1">
        <f ca="1">IFERROR(__xludf.DUMMYFUNCTION("""COMPUTED_VALUE"""),20.15)</f>
        <v>20.149999999999999</v>
      </c>
      <c r="C638" s="1">
        <f ca="1">IFERROR(__xludf.DUMMYFUNCTION("""COMPUTED_VALUE"""),20.26)</f>
        <v>20.260000000000002</v>
      </c>
      <c r="D638" s="1">
        <f ca="1">IFERROR(__xludf.DUMMYFUNCTION("""COMPUTED_VALUE"""),19.58)</f>
        <v>19.579999999999998</v>
      </c>
      <c r="E638" s="1">
        <f ca="1">IFERROR(__xludf.DUMMYFUNCTION("""COMPUTED_VALUE"""),19.61)</f>
        <v>19.61</v>
      </c>
      <c r="F638" s="1">
        <f ca="1">IFERROR(__xludf.DUMMYFUNCTION("""COMPUTED_VALUE"""),7608769)</f>
        <v>7608769</v>
      </c>
      <c r="G638" s="5">
        <f t="shared" ca="1" si="27"/>
        <v>2.0907700152983179E-2</v>
      </c>
      <c r="H638" s="14">
        <f t="shared" si="28"/>
        <v>2018</v>
      </c>
      <c r="I638" s="5">
        <f t="shared" ca="1" si="29"/>
        <v>-2.6799007444168695E-2</v>
      </c>
      <c r="J638" s="16"/>
    </row>
    <row r="639" spans="1:10" x14ac:dyDescent="0.2">
      <c r="A639" s="3">
        <v>43203</v>
      </c>
      <c r="B639" s="1">
        <f ca="1">IFERROR(__xludf.DUMMYFUNCTION("""COMPUTED_VALUE"""),20.24)</f>
        <v>20.239999999999998</v>
      </c>
      <c r="C639" s="1">
        <f ca="1">IFERROR(__xludf.DUMMYFUNCTION("""COMPUTED_VALUE"""),20.26)</f>
        <v>20.260000000000002</v>
      </c>
      <c r="D639" s="1">
        <f ca="1">IFERROR(__xludf.DUMMYFUNCTION("""COMPUTED_VALUE"""),19.73)</f>
        <v>19.73</v>
      </c>
      <c r="E639" s="1">
        <f ca="1">IFERROR(__xludf.DUMMYFUNCTION("""COMPUTED_VALUE"""),20.02)</f>
        <v>20.02</v>
      </c>
      <c r="F639" s="1">
        <f ca="1">IFERROR(__xludf.DUMMYFUNCTION("""COMPUTED_VALUE"""),7327223)</f>
        <v>7327223</v>
      </c>
      <c r="G639" s="5">
        <f t="shared" ca="1" si="27"/>
        <v>-3.046953046953044E-2</v>
      </c>
      <c r="H639" s="14">
        <f t="shared" si="28"/>
        <v>2018</v>
      </c>
      <c r="I639" s="5">
        <f t="shared" ca="1" si="29"/>
        <v>-1.0869565217391249E-2</v>
      </c>
      <c r="J639" s="16"/>
    </row>
    <row r="640" spans="1:10" x14ac:dyDescent="0.2">
      <c r="A640" s="3">
        <v>43206</v>
      </c>
      <c r="B640" s="1">
        <f ca="1">IFERROR(__xludf.DUMMYFUNCTION("""COMPUTED_VALUE"""),19.93)</f>
        <v>19.93</v>
      </c>
      <c r="C640" s="1">
        <f ca="1">IFERROR(__xludf.DUMMYFUNCTION("""COMPUTED_VALUE"""),19.98)</f>
        <v>19.98</v>
      </c>
      <c r="D640" s="1">
        <f ca="1">IFERROR(__xludf.DUMMYFUNCTION("""COMPUTED_VALUE"""),19.27)</f>
        <v>19.27</v>
      </c>
      <c r="E640" s="1">
        <f ca="1">IFERROR(__xludf.DUMMYFUNCTION("""COMPUTED_VALUE"""),19.41)</f>
        <v>19.41</v>
      </c>
      <c r="F640" s="1">
        <f ca="1">IFERROR(__xludf.DUMMYFUNCTION("""COMPUTED_VALUE"""),6338488)</f>
        <v>6338488</v>
      </c>
      <c r="G640" s="5">
        <f t="shared" ca="1" si="27"/>
        <v>-1.1849562081401361E-2</v>
      </c>
      <c r="H640" s="14">
        <f t="shared" si="28"/>
        <v>2018</v>
      </c>
      <c r="I640" s="5">
        <f t="shared" ca="1" si="29"/>
        <v>-2.6091319618665308E-2</v>
      </c>
      <c r="J640" s="16"/>
    </row>
    <row r="641" spans="1:10" x14ac:dyDescent="0.2">
      <c r="A641" s="3">
        <v>43207</v>
      </c>
      <c r="B641" s="1">
        <f ca="1">IFERROR(__xludf.DUMMYFUNCTION("""COMPUTED_VALUE"""),19.26)</f>
        <v>19.260000000000002</v>
      </c>
      <c r="C641" s="1">
        <f ca="1">IFERROR(__xludf.DUMMYFUNCTION("""COMPUTED_VALUE"""),19.48)</f>
        <v>19.48</v>
      </c>
      <c r="D641" s="1">
        <f ca="1">IFERROR(__xludf.DUMMYFUNCTION("""COMPUTED_VALUE"""),18.83)</f>
        <v>18.829999999999998</v>
      </c>
      <c r="E641" s="1">
        <f ca="1">IFERROR(__xludf.DUMMYFUNCTION("""COMPUTED_VALUE"""),19.18)</f>
        <v>19.18</v>
      </c>
      <c r="F641" s="1">
        <f ca="1">IFERROR(__xludf.DUMMYFUNCTION("""COMPUTED_VALUE"""),7000023)</f>
        <v>7000023</v>
      </c>
      <c r="G641" s="5">
        <f t="shared" ca="1" si="27"/>
        <v>1.9812304483837279E-2</v>
      </c>
      <c r="H641" s="14">
        <f t="shared" si="28"/>
        <v>2018</v>
      </c>
      <c r="I641" s="5">
        <f t="shared" ca="1" si="29"/>
        <v>-4.1536863966771462E-3</v>
      </c>
      <c r="J641" s="16"/>
    </row>
    <row r="642" spans="1:10" x14ac:dyDescent="0.2">
      <c r="A642" s="3">
        <v>43208</v>
      </c>
      <c r="B642" s="1">
        <f ca="1">IFERROR(__xludf.DUMMYFUNCTION("""COMPUTED_VALUE"""),19.41)</f>
        <v>19.41</v>
      </c>
      <c r="C642" s="1">
        <f ca="1">IFERROR(__xludf.DUMMYFUNCTION("""COMPUTED_VALUE"""),20.02)</f>
        <v>20.02</v>
      </c>
      <c r="D642" s="1">
        <f ca="1">IFERROR(__xludf.DUMMYFUNCTION("""COMPUTED_VALUE"""),19.21)</f>
        <v>19.21</v>
      </c>
      <c r="E642" s="1">
        <f ca="1">IFERROR(__xludf.DUMMYFUNCTION("""COMPUTED_VALUE"""),19.56)</f>
        <v>19.559999999999999</v>
      </c>
      <c r="F642" s="1">
        <f ca="1">IFERROR(__xludf.DUMMYFUNCTION("""COMPUTED_VALUE"""),6557700)</f>
        <v>6557700</v>
      </c>
      <c r="G642" s="5">
        <f t="shared" ca="1" si="27"/>
        <v>2.3006134969325302E-2</v>
      </c>
      <c r="H642" s="14">
        <f t="shared" si="28"/>
        <v>2018</v>
      </c>
      <c r="I642" s="5">
        <f t="shared" ca="1" si="29"/>
        <v>7.7279752704790608E-3</v>
      </c>
      <c r="J642" s="16"/>
    </row>
    <row r="643" spans="1:10" x14ac:dyDescent="0.2">
      <c r="A643" s="3">
        <v>43209</v>
      </c>
      <c r="B643" s="1">
        <f ca="1">IFERROR(__xludf.DUMMYFUNCTION("""COMPUTED_VALUE"""),19.41)</f>
        <v>19.41</v>
      </c>
      <c r="C643" s="1">
        <f ca="1">IFERROR(__xludf.DUMMYFUNCTION("""COMPUTED_VALUE"""),20.07)</f>
        <v>20.07</v>
      </c>
      <c r="D643" s="1">
        <f ca="1">IFERROR(__xludf.DUMMYFUNCTION("""COMPUTED_VALUE"""),19.24)</f>
        <v>19.239999999999998</v>
      </c>
      <c r="E643" s="1">
        <f ca="1">IFERROR(__xludf.DUMMYFUNCTION("""COMPUTED_VALUE"""),20.01)</f>
        <v>20.010000000000002</v>
      </c>
      <c r="F643" s="1">
        <f ca="1">IFERROR(__xludf.DUMMYFUNCTION("""COMPUTED_VALUE"""),6090599)</f>
        <v>6090599</v>
      </c>
      <c r="G643" s="5">
        <f t="shared" ref="G643:G706" ca="1" si="30">(E644-E643)/E643</f>
        <v>-3.2983508245877063E-2</v>
      </c>
      <c r="H643" s="14">
        <f t="shared" ref="H643:H706" si="31">YEAR(A643)</f>
        <v>2018</v>
      </c>
      <c r="I643" s="5">
        <f t="shared" ref="I643:I706" ca="1" si="32">((E643 - B643) / B643)</f>
        <v>3.0911901081916611E-2</v>
      </c>
      <c r="J643" s="16"/>
    </row>
    <row r="644" spans="1:10" x14ac:dyDescent="0.2">
      <c r="A644" s="3">
        <v>43210</v>
      </c>
      <c r="B644" s="1">
        <f ca="1">IFERROR(__xludf.DUMMYFUNCTION("""COMPUTED_VALUE"""),19.68)</f>
        <v>19.68</v>
      </c>
      <c r="C644" s="1">
        <f ca="1">IFERROR(__xludf.DUMMYFUNCTION("""COMPUTED_VALUE"""),20)</f>
        <v>20</v>
      </c>
      <c r="D644" s="1">
        <f ca="1">IFERROR(__xludf.DUMMYFUNCTION("""COMPUTED_VALUE"""),19.32)</f>
        <v>19.32</v>
      </c>
      <c r="E644" s="1">
        <f ca="1">IFERROR(__xludf.DUMMYFUNCTION("""COMPUTED_VALUE"""),19.35)</f>
        <v>19.350000000000001</v>
      </c>
      <c r="F644" s="1">
        <f ca="1">IFERROR(__xludf.DUMMYFUNCTION("""COMPUTED_VALUE"""),5627928)</f>
        <v>5627928</v>
      </c>
      <c r="G644" s="5">
        <f t="shared" ca="1" si="30"/>
        <v>-2.3772609819121489E-2</v>
      </c>
      <c r="H644" s="14">
        <f t="shared" si="31"/>
        <v>2018</v>
      </c>
      <c r="I644" s="5">
        <f t="shared" ca="1" si="32"/>
        <v>-1.6768292682926744E-2</v>
      </c>
      <c r="J644" s="16"/>
    </row>
    <row r="645" spans="1:10" x14ac:dyDescent="0.2">
      <c r="A645" s="3">
        <v>43213</v>
      </c>
      <c r="B645" s="1">
        <f ca="1">IFERROR(__xludf.DUMMYFUNCTION("""COMPUTED_VALUE"""),19.42)</f>
        <v>19.420000000000002</v>
      </c>
      <c r="C645" s="1">
        <f ca="1">IFERROR(__xludf.DUMMYFUNCTION("""COMPUTED_VALUE"""),19.44)</f>
        <v>19.440000000000001</v>
      </c>
      <c r="D645" s="1">
        <f ca="1">IFERROR(__xludf.DUMMYFUNCTION("""COMPUTED_VALUE"""),18.82)</f>
        <v>18.82</v>
      </c>
      <c r="E645" s="1">
        <f ca="1">IFERROR(__xludf.DUMMYFUNCTION("""COMPUTED_VALUE"""),18.89)</f>
        <v>18.89</v>
      </c>
      <c r="F645" s="1">
        <f ca="1">IFERROR(__xludf.DUMMYFUNCTION("""COMPUTED_VALUE"""),4893378)</f>
        <v>4893378</v>
      </c>
      <c r="G645" s="5">
        <f t="shared" ca="1" si="30"/>
        <v>5.2938062466903176E-4</v>
      </c>
      <c r="H645" s="14">
        <f t="shared" si="31"/>
        <v>2018</v>
      </c>
      <c r="I645" s="5">
        <f t="shared" ca="1" si="32"/>
        <v>-2.7291452111225595E-2</v>
      </c>
      <c r="J645" s="16"/>
    </row>
    <row r="646" spans="1:10" x14ac:dyDescent="0.2">
      <c r="A646" s="3">
        <v>43214</v>
      </c>
      <c r="B646" s="1">
        <f ca="1">IFERROR(__xludf.DUMMYFUNCTION("""COMPUTED_VALUE"""),19)</f>
        <v>19</v>
      </c>
      <c r="C646" s="1">
        <f ca="1">IFERROR(__xludf.DUMMYFUNCTION("""COMPUTED_VALUE"""),19.14)</f>
        <v>19.14</v>
      </c>
      <c r="D646" s="1">
        <f ca="1">IFERROR(__xludf.DUMMYFUNCTION("""COMPUTED_VALUE"""),18.56)</f>
        <v>18.559999999999999</v>
      </c>
      <c r="E646" s="1">
        <f ca="1">IFERROR(__xludf.DUMMYFUNCTION("""COMPUTED_VALUE"""),18.9)</f>
        <v>18.899999999999999</v>
      </c>
      <c r="F646" s="1">
        <f ca="1">IFERROR(__xludf.DUMMYFUNCTION("""COMPUTED_VALUE"""),5685308)</f>
        <v>5685308</v>
      </c>
      <c r="G646" s="5">
        <f t="shared" ca="1" si="30"/>
        <v>-1.0052910052909933E-2</v>
      </c>
      <c r="H646" s="14">
        <f t="shared" si="31"/>
        <v>2018</v>
      </c>
      <c r="I646" s="5">
        <f t="shared" ca="1" si="32"/>
        <v>-5.2631578947369166E-3</v>
      </c>
      <c r="J646" s="16"/>
    </row>
    <row r="647" spans="1:10" x14ac:dyDescent="0.2">
      <c r="A647" s="3">
        <v>43215</v>
      </c>
      <c r="B647" s="1">
        <f ca="1">IFERROR(__xludf.DUMMYFUNCTION("""COMPUTED_VALUE"""),18.9)</f>
        <v>18.899999999999999</v>
      </c>
      <c r="C647" s="1">
        <f ca="1">IFERROR(__xludf.DUMMYFUNCTION("""COMPUTED_VALUE"""),19.01)</f>
        <v>19.010000000000002</v>
      </c>
      <c r="D647" s="1">
        <f ca="1">IFERROR(__xludf.DUMMYFUNCTION("""COMPUTED_VALUE"""),18.48)</f>
        <v>18.48</v>
      </c>
      <c r="E647" s="1">
        <f ca="1">IFERROR(__xludf.DUMMYFUNCTION("""COMPUTED_VALUE"""),18.71)</f>
        <v>18.71</v>
      </c>
      <c r="F647" s="1">
        <f ca="1">IFERROR(__xludf.DUMMYFUNCTION("""COMPUTED_VALUE"""),4013574)</f>
        <v>4013574</v>
      </c>
      <c r="G647" s="5">
        <f t="shared" ca="1" si="30"/>
        <v>1.7103153393907018E-2</v>
      </c>
      <c r="H647" s="14">
        <f t="shared" si="31"/>
        <v>2018</v>
      </c>
      <c r="I647" s="5">
        <f t="shared" ca="1" si="32"/>
        <v>-1.0052910052909933E-2</v>
      </c>
      <c r="J647" s="16"/>
    </row>
    <row r="648" spans="1:10" x14ac:dyDescent="0.2">
      <c r="A648" s="3">
        <v>43216</v>
      </c>
      <c r="B648" s="1">
        <f ca="1">IFERROR(__xludf.DUMMYFUNCTION("""COMPUTED_VALUE"""),18.58)</f>
        <v>18.579999999999998</v>
      </c>
      <c r="C648" s="1">
        <f ca="1">IFERROR(__xludf.DUMMYFUNCTION("""COMPUTED_VALUE"""),19.05)</f>
        <v>19.05</v>
      </c>
      <c r="D648" s="1">
        <f ca="1">IFERROR(__xludf.DUMMYFUNCTION("""COMPUTED_VALUE"""),18.43)</f>
        <v>18.43</v>
      </c>
      <c r="E648" s="1">
        <f ca="1">IFERROR(__xludf.DUMMYFUNCTION("""COMPUTED_VALUE"""),19.03)</f>
        <v>19.03</v>
      </c>
      <c r="F648" s="1">
        <f ca="1">IFERROR(__xludf.DUMMYFUNCTION("""COMPUTED_VALUE"""),4356013)</f>
        <v>4356013</v>
      </c>
      <c r="G648" s="5">
        <f t="shared" ca="1" si="30"/>
        <v>3.047819232790322E-2</v>
      </c>
      <c r="H648" s="14">
        <f t="shared" si="31"/>
        <v>2018</v>
      </c>
      <c r="I648" s="5">
        <f t="shared" ca="1" si="32"/>
        <v>2.4219590958019531E-2</v>
      </c>
      <c r="J648" s="16"/>
    </row>
    <row r="649" spans="1:10" x14ac:dyDescent="0.2">
      <c r="A649" s="3">
        <v>43217</v>
      </c>
      <c r="B649" s="1">
        <f ca="1">IFERROR(__xludf.DUMMYFUNCTION("""COMPUTED_VALUE"""),19.02)</f>
        <v>19.02</v>
      </c>
      <c r="C649" s="1">
        <f ca="1">IFERROR(__xludf.DUMMYFUNCTION("""COMPUTED_VALUE"""),19.63)</f>
        <v>19.63</v>
      </c>
      <c r="D649" s="1">
        <f ca="1">IFERROR(__xludf.DUMMYFUNCTION("""COMPUTED_VALUE"""),18.92)</f>
        <v>18.920000000000002</v>
      </c>
      <c r="E649" s="1">
        <f ca="1">IFERROR(__xludf.DUMMYFUNCTION("""COMPUTED_VALUE"""),19.61)</f>
        <v>19.61</v>
      </c>
      <c r="F649" s="1">
        <f ca="1">IFERROR(__xludf.DUMMYFUNCTION("""COMPUTED_VALUE"""),4364626)</f>
        <v>4364626</v>
      </c>
      <c r="G649" s="5">
        <f t="shared" ca="1" si="30"/>
        <v>-1.0198878123406209E-3</v>
      </c>
      <c r="H649" s="14">
        <f t="shared" si="31"/>
        <v>2018</v>
      </c>
      <c r="I649" s="5">
        <f t="shared" ca="1" si="32"/>
        <v>3.1019978969505778E-2</v>
      </c>
      <c r="J649" s="16"/>
    </row>
    <row r="650" spans="1:10" x14ac:dyDescent="0.2">
      <c r="A650" s="3">
        <v>43220</v>
      </c>
      <c r="B650" s="1">
        <f ca="1">IFERROR(__xludf.DUMMYFUNCTION("""COMPUTED_VALUE"""),19.57)</f>
        <v>19.57</v>
      </c>
      <c r="C650" s="1">
        <f ca="1">IFERROR(__xludf.DUMMYFUNCTION("""COMPUTED_VALUE"""),19.92)</f>
        <v>19.920000000000002</v>
      </c>
      <c r="D650" s="1">
        <f ca="1">IFERROR(__xludf.DUMMYFUNCTION("""COMPUTED_VALUE"""),19.5)</f>
        <v>19.5</v>
      </c>
      <c r="E650" s="1">
        <f ca="1">IFERROR(__xludf.DUMMYFUNCTION("""COMPUTED_VALUE"""),19.59)</f>
        <v>19.59</v>
      </c>
      <c r="F650" s="1">
        <f ca="1">IFERROR(__xludf.DUMMYFUNCTION("""COMPUTED_VALUE"""),4228172)</f>
        <v>4228172</v>
      </c>
      <c r="G650" s="5">
        <f t="shared" ca="1" si="30"/>
        <v>2.0418580908626777E-2</v>
      </c>
      <c r="H650" s="14">
        <f t="shared" si="31"/>
        <v>2018</v>
      </c>
      <c r="I650" s="5">
        <f t="shared" ca="1" si="32"/>
        <v>1.0219724067449961E-3</v>
      </c>
      <c r="J650" s="16"/>
    </row>
    <row r="651" spans="1:10" x14ac:dyDescent="0.2">
      <c r="A651" s="3">
        <v>43221</v>
      </c>
      <c r="B651" s="1">
        <f ca="1">IFERROR(__xludf.DUMMYFUNCTION("""COMPUTED_VALUE"""),19.57)</f>
        <v>19.57</v>
      </c>
      <c r="C651" s="1">
        <f ca="1">IFERROR(__xludf.DUMMYFUNCTION("""COMPUTED_VALUE"""),20.05)</f>
        <v>20.05</v>
      </c>
      <c r="D651" s="1">
        <f ca="1">IFERROR(__xludf.DUMMYFUNCTION("""COMPUTED_VALUE"""),19.55)</f>
        <v>19.55</v>
      </c>
      <c r="E651" s="1">
        <f ca="1">IFERROR(__xludf.DUMMYFUNCTION("""COMPUTED_VALUE"""),19.99)</f>
        <v>19.989999999999998</v>
      </c>
      <c r="F651" s="1">
        <f ca="1">IFERROR(__xludf.DUMMYFUNCTION("""COMPUTED_VALUE"""),4625603)</f>
        <v>4625603</v>
      </c>
      <c r="G651" s="5">
        <f t="shared" ca="1" si="30"/>
        <v>4.5022511255627742E-3</v>
      </c>
      <c r="H651" s="14">
        <f t="shared" si="31"/>
        <v>2018</v>
      </c>
      <c r="I651" s="5">
        <f t="shared" ca="1" si="32"/>
        <v>2.1461420541645283E-2</v>
      </c>
      <c r="J651" s="16"/>
    </row>
    <row r="652" spans="1:10" x14ac:dyDescent="0.2">
      <c r="A652" s="3">
        <v>43222</v>
      </c>
      <c r="B652" s="1">
        <f ca="1">IFERROR(__xludf.DUMMYFUNCTION("""COMPUTED_VALUE"""),19.9)</f>
        <v>19.899999999999999</v>
      </c>
      <c r="C652" s="1">
        <f ca="1">IFERROR(__xludf.DUMMYFUNCTION("""COMPUTED_VALUE"""),20.46)</f>
        <v>20.46</v>
      </c>
      <c r="D652" s="1">
        <f ca="1">IFERROR(__xludf.DUMMYFUNCTION("""COMPUTED_VALUE"""),19.85)</f>
        <v>19.850000000000001</v>
      </c>
      <c r="E652" s="1">
        <f ca="1">IFERROR(__xludf.DUMMYFUNCTION("""COMPUTED_VALUE"""),20.08)</f>
        <v>20.079999999999998</v>
      </c>
      <c r="F652" s="1">
        <f ca="1">IFERROR(__xludf.DUMMYFUNCTION("""COMPUTED_VALUE"""),8970370)</f>
        <v>8970370</v>
      </c>
      <c r="G652" s="5">
        <f t="shared" ca="1" si="30"/>
        <v>-5.5776892430278759E-2</v>
      </c>
      <c r="H652" s="14">
        <f t="shared" si="31"/>
        <v>2018</v>
      </c>
      <c r="I652" s="5">
        <f t="shared" ca="1" si="32"/>
        <v>9.0452261306532521E-3</v>
      </c>
      <c r="J652" s="16"/>
    </row>
    <row r="653" spans="1:10" x14ac:dyDescent="0.2">
      <c r="A653" s="3">
        <v>43223</v>
      </c>
      <c r="B653" s="1">
        <f ca="1">IFERROR(__xludf.DUMMYFUNCTION("""COMPUTED_VALUE"""),18.59)</f>
        <v>18.59</v>
      </c>
      <c r="C653" s="1">
        <f ca="1">IFERROR(__xludf.DUMMYFUNCTION("""COMPUTED_VALUE"""),19.2)</f>
        <v>19.2</v>
      </c>
      <c r="D653" s="1">
        <f ca="1">IFERROR(__xludf.DUMMYFUNCTION("""COMPUTED_VALUE"""),18.35)</f>
        <v>18.350000000000001</v>
      </c>
      <c r="E653" s="1">
        <f ca="1">IFERROR(__xludf.DUMMYFUNCTION("""COMPUTED_VALUE"""),18.96)</f>
        <v>18.96</v>
      </c>
      <c r="F653" s="1">
        <f ca="1">IFERROR(__xludf.DUMMYFUNCTION("""COMPUTED_VALUE"""),17352130)</f>
        <v>17352130</v>
      </c>
      <c r="G653" s="5">
        <f t="shared" ca="1" si="30"/>
        <v>3.428270042194085E-2</v>
      </c>
      <c r="H653" s="14">
        <f t="shared" si="31"/>
        <v>2018</v>
      </c>
      <c r="I653" s="5">
        <f t="shared" ca="1" si="32"/>
        <v>1.9903173749327648E-2</v>
      </c>
      <c r="J653" s="16"/>
    </row>
    <row r="654" spans="1:10" x14ac:dyDescent="0.2">
      <c r="A654" s="3">
        <v>43224</v>
      </c>
      <c r="B654" s="1">
        <f ca="1">IFERROR(__xludf.DUMMYFUNCTION("""COMPUTED_VALUE"""),18.87)</f>
        <v>18.87</v>
      </c>
      <c r="C654" s="1">
        <f ca="1">IFERROR(__xludf.DUMMYFUNCTION("""COMPUTED_VALUE"""),19.79)</f>
        <v>19.79</v>
      </c>
      <c r="D654" s="1">
        <f ca="1">IFERROR(__xludf.DUMMYFUNCTION("""COMPUTED_VALUE"""),18.63)</f>
        <v>18.63</v>
      </c>
      <c r="E654" s="1">
        <f ca="1">IFERROR(__xludf.DUMMYFUNCTION("""COMPUTED_VALUE"""),19.61)</f>
        <v>19.61</v>
      </c>
      <c r="F654" s="1">
        <f ca="1">IFERROR(__xludf.DUMMYFUNCTION("""COMPUTED_VALUE"""),8569354)</f>
        <v>8569354</v>
      </c>
      <c r="G654" s="5">
        <f t="shared" ca="1" si="30"/>
        <v>2.9066802651708329E-2</v>
      </c>
      <c r="H654" s="14">
        <f t="shared" si="31"/>
        <v>2018</v>
      </c>
      <c r="I654" s="5">
        <f t="shared" ca="1" si="32"/>
        <v>3.921568627450972E-2</v>
      </c>
      <c r="J654" s="16"/>
    </row>
    <row r="655" spans="1:10" x14ac:dyDescent="0.2">
      <c r="A655" s="3">
        <v>43227</v>
      </c>
      <c r="B655" s="1">
        <f ca="1">IFERROR(__xludf.DUMMYFUNCTION("""COMPUTED_VALUE"""),19.83)</f>
        <v>19.829999999999998</v>
      </c>
      <c r="C655" s="1">
        <f ca="1">IFERROR(__xludf.DUMMYFUNCTION("""COMPUTED_VALUE"""),20.4)</f>
        <v>20.399999999999999</v>
      </c>
      <c r="D655" s="1">
        <f ca="1">IFERROR(__xludf.DUMMYFUNCTION("""COMPUTED_VALUE"""),19.68)</f>
        <v>19.68</v>
      </c>
      <c r="E655" s="1">
        <f ca="1">IFERROR(__xludf.DUMMYFUNCTION("""COMPUTED_VALUE"""),20.18)</f>
        <v>20.18</v>
      </c>
      <c r="F655" s="1">
        <f ca="1">IFERROR(__xludf.DUMMYFUNCTION("""COMPUTED_VALUE"""),8678224)</f>
        <v>8678224</v>
      </c>
      <c r="G655" s="5">
        <f t="shared" ca="1" si="30"/>
        <v>-2.4777006937562293E-3</v>
      </c>
      <c r="H655" s="14">
        <f t="shared" si="31"/>
        <v>2018</v>
      </c>
      <c r="I655" s="5">
        <f t="shared" ca="1" si="32"/>
        <v>1.7650025214321807E-2</v>
      </c>
      <c r="J655" s="16"/>
    </row>
    <row r="656" spans="1:10" x14ac:dyDescent="0.2">
      <c r="A656" s="3">
        <v>43228</v>
      </c>
      <c r="B656" s="1">
        <f ca="1">IFERROR(__xludf.DUMMYFUNCTION("""COMPUTED_VALUE"""),20.05)</f>
        <v>20.05</v>
      </c>
      <c r="C656" s="1">
        <f ca="1">IFERROR(__xludf.DUMMYFUNCTION("""COMPUTED_VALUE"""),20.52)</f>
        <v>20.52</v>
      </c>
      <c r="D656" s="1">
        <f ca="1">IFERROR(__xludf.DUMMYFUNCTION("""COMPUTED_VALUE"""),19.93)</f>
        <v>19.93</v>
      </c>
      <c r="E656" s="1">
        <f ca="1">IFERROR(__xludf.DUMMYFUNCTION("""COMPUTED_VALUE"""),20.13)</f>
        <v>20.13</v>
      </c>
      <c r="F656" s="1">
        <f ca="1">IFERROR(__xludf.DUMMYFUNCTION("""COMPUTED_VALUE"""),5930000)</f>
        <v>5930000</v>
      </c>
      <c r="G656" s="5">
        <f t="shared" ca="1" si="30"/>
        <v>1.6393442622950911E-2</v>
      </c>
      <c r="H656" s="14">
        <f t="shared" si="31"/>
        <v>2018</v>
      </c>
      <c r="I656" s="5">
        <f t="shared" ca="1" si="32"/>
        <v>3.9900249376557751E-3</v>
      </c>
      <c r="J656" s="16"/>
    </row>
    <row r="657" spans="1:10" x14ac:dyDescent="0.2">
      <c r="A657" s="3">
        <v>43229</v>
      </c>
      <c r="B657" s="1">
        <f ca="1">IFERROR(__xludf.DUMMYFUNCTION("""COMPUTED_VALUE"""),20.03)</f>
        <v>20.03</v>
      </c>
      <c r="C657" s="1">
        <f ca="1">IFERROR(__xludf.DUMMYFUNCTION("""COMPUTED_VALUE"""),20.47)</f>
        <v>20.47</v>
      </c>
      <c r="D657" s="1">
        <f ca="1">IFERROR(__xludf.DUMMYFUNCTION("""COMPUTED_VALUE"""),20)</f>
        <v>20</v>
      </c>
      <c r="E657" s="1">
        <f ca="1">IFERROR(__xludf.DUMMYFUNCTION("""COMPUTED_VALUE"""),20.46)</f>
        <v>20.46</v>
      </c>
      <c r="F657" s="1">
        <f ca="1">IFERROR(__xludf.DUMMYFUNCTION("""COMPUTED_VALUE"""),5727365)</f>
        <v>5727365</v>
      </c>
      <c r="G657" s="5">
        <f t="shared" ca="1" si="30"/>
        <v>-6.3538611925709945E-3</v>
      </c>
      <c r="H657" s="14">
        <f t="shared" si="31"/>
        <v>2018</v>
      </c>
      <c r="I657" s="5">
        <f t="shared" ca="1" si="32"/>
        <v>2.1467798302546165E-2</v>
      </c>
      <c r="J657" s="16"/>
    </row>
    <row r="658" spans="1:10" x14ac:dyDescent="0.2">
      <c r="A658" s="3">
        <v>43230</v>
      </c>
      <c r="B658" s="1">
        <f ca="1">IFERROR(__xludf.DUMMYFUNCTION("""COMPUTED_VALUE"""),20.5)</f>
        <v>20.5</v>
      </c>
      <c r="C658" s="1">
        <f ca="1">IFERROR(__xludf.DUMMYFUNCTION("""COMPUTED_VALUE"""),20.87)</f>
        <v>20.87</v>
      </c>
      <c r="D658" s="1">
        <f ca="1">IFERROR(__xludf.DUMMYFUNCTION("""COMPUTED_VALUE"""),20.27)</f>
        <v>20.27</v>
      </c>
      <c r="E658" s="1">
        <f ca="1">IFERROR(__xludf.DUMMYFUNCTION("""COMPUTED_VALUE"""),20.33)</f>
        <v>20.329999999999998</v>
      </c>
      <c r="F658" s="1">
        <f ca="1">IFERROR(__xludf.DUMMYFUNCTION("""COMPUTED_VALUE"""),5651561)</f>
        <v>5651561</v>
      </c>
      <c r="G658" s="5">
        <f t="shared" ca="1" si="30"/>
        <v>-1.2788981800295033E-2</v>
      </c>
      <c r="H658" s="14">
        <f t="shared" si="31"/>
        <v>2018</v>
      </c>
      <c r="I658" s="5">
        <f t="shared" ca="1" si="32"/>
        <v>-8.292682926829352E-3</v>
      </c>
      <c r="J658" s="16"/>
    </row>
    <row r="659" spans="1:10" x14ac:dyDescent="0.2">
      <c r="A659" s="3">
        <v>43231</v>
      </c>
      <c r="B659" s="1">
        <f ca="1">IFERROR(__xludf.DUMMYFUNCTION("""COMPUTED_VALUE"""),20.51)</f>
        <v>20.51</v>
      </c>
      <c r="C659" s="1">
        <f ca="1">IFERROR(__xludf.DUMMYFUNCTION("""COMPUTED_VALUE"""),20.59)</f>
        <v>20.59</v>
      </c>
      <c r="D659" s="1">
        <f ca="1">IFERROR(__xludf.DUMMYFUNCTION("""COMPUTED_VALUE"""),19.94)</f>
        <v>19.940000000000001</v>
      </c>
      <c r="E659" s="1">
        <f ca="1">IFERROR(__xludf.DUMMYFUNCTION("""COMPUTED_VALUE"""),20.07)</f>
        <v>20.07</v>
      </c>
      <c r="F659" s="1">
        <f ca="1">IFERROR(__xludf.DUMMYFUNCTION("""COMPUTED_VALUE"""),4679649)</f>
        <v>4679649</v>
      </c>
      <c r="G659" s="5">
        <f t="shared" ca="1" si="30"/>
        <v>-3.0393622321873415E-2</v>
      </c>
      <c r="H659" s="14">
        <f t="shared" si="31"/>
        <v>2018</v>
      </c>
      <c r="I659" s="5">
        <f t="shared" ca="1" si="32"/>
        <v>-2.1452949780594893E-2</v>
      </c>
      <c r="J659" s="16"/>
    </row>
    <row r="660" spans="1:10" x14ac:dyDescent="0.2">
      <c r="A660" s="3">
        <v>43234</v>
      </c>
      <c r="B660" s="1">
        <f ca="1">IFERROR(__xludf.DUMMYFUNCTION("""COMPUTED_VALUE"""),20.22)</f>
        <v>20.22</v>
      </c>
      <c r="C660" s="1">
        <f ca="1">IFERROR(__xludf.DUMMYFUNCTION("""COMPUTED_VALUE"""),20.33)</f>
        <v>20.329999999999998</v>
      </c>
      <c r="D660" s="1">
        <f ca="1">IFERROR(__xludf.DUMMYFUNCTION("""COMPUTED_VALUE"""),19.44)</f>
        <v>19.440000000000001</v>
      </c>
      <c r="E660" s="1">
        <f ca="1">IFERROR(__xludf.DUMMYFUNCTION("""COMPUTED_VALUE"""),19.46)</f>
        <v>19.46</v>
      </c>
      <c r="F660" s="1">
        <f ca="1">IFERROR(__xludf.DUMMYFUNCTION("""COMPUTED_VALUE"""),7286804)</f>
        <v>7286804</v>
      </c>
      <c r="G660" s="5">
        <f t="shared" ca="1" si="30"/>
        <v>-2.6207605344296073E-2</v>
      </c>
      <c r="H660" s="14">
        <f t="shared" si="31"/>
        <v>2018</v>
      </c>
      <c r="I660" s="5">
        <f t="shared" ca="1" si="32"/>
        <v>-3.7586547972304554E-2</v>
      </c>
      <c r="J660" s="16"/>
    </row>
    <row r="661" spans="1:10" x14ac:dyDescent="0.2">
      <c r="A661" s="3">
        <v>43235</v>
      </c>
      <c r="B661" s="1">
        <f ca="1">IFERROR(__xludf.DUMMYFUNCTION("""COMPUTED_VALUE"""),19)</f>
        <v>19</v>
      </c>
      <c r="C661" s="1">
        <f ca="1">IFERROR(__xludf.DUMMYFUNCTION("""COMPUTED_VALUE"""),19.13)</f>
        <v>19.13</v>
      </c>
      <c r="D661" s="1">
        <f ca="1">IFERROR(__xludf.DUMMYFUNCTION("""COMPUTED_VALUE"""),18.7)</f>
        <v>18.7</v>
      </c>
      <c r="E661" s="1">
        <f ca="1">IFERROR(__xludf.DUMMYFUNCTION("""COMPUTED_VALUE"""),18.95)</f>
        <v>18.95</v>
      </c>
      <c r="F661" s="1">
        <f ca="1">IFERROR(__xludf.DUMMYFUNCTION("""COMPUTED_VALUE"""),9519173)</f>
        <v>9519173</v>
      </c>
      <c r="G661" s="5">
        <f t="shared" ca="1" si="30"/>
        <v>7.9155672823220131E-3</v>
      </c>
      <c r="H661" s="14">
        <f t="shared" si="31"/>
        <v>2018</v>
      </c>
      <c r="I661" s="5">
        <f t="shared" ca="1" si="32"/>
        <v>-2.6315789473684583E-3</v>
      </c>
      <c r="J661" s="16"/>
    </row>
    <row r="662" spans="1:10" x14ac:dyDescent="0.2">
      <c r="A662" s="3">
        <v>43236</v>
      </c>
      <c r="B662" s="1">
        <f ca="1">IFERROR(__xludf.DUMMYFUNCTION("""COMPUTED_VALUE"""),18.92)</f>
        <v>18.920000000000002</v>
      </c>
      <c r="C662" s="1">
        <f ca="1">IFERROR(__xludf.DUMMYFUNCTION("""COMPUTED_VALUE"""),19.25)</f>
        <v>19.25</v>
      </c>
      <c r="D662" s="1">
        <f ca="1">IFERROR(__xludf.DUMMYFUNCTION("""COMPUTED_VALUE"""),18.77)</f>
        <v>18.77</v>
      </c>
      <c r="E662" s="1">
        <f ca="1">IFERROR(__xludf.DUMMYFUNCTION("""COMPUTED_VALUE"""),19.1)</f>
        <v>19.100000000000001</v>
      </c>
      <c r="F662" s="1">
        <f ca="1">IFERROR(__xludf.DUMMYFUNCTION("""COMPUTED_VALUE"""),5674019)</f>
        <v>5674019</v>
      </c>
      <c r="G662" s="5">
        <f t="shared" ca="1" si="30"/>
        <v>-6.8062827225132223E-3</v>
      </c>
      <c r="H662" s="14">
        <f t="shared" si="31"/>
        <v>2018</v>
      </c>
      <c r="I662" s="5">
        <f t="shared" ca="1" si="32"/>
        <v>9.5137420718815913E-3</v>
      </c>
      <c r="J662" s="16"/>
    </row>
    <row r="663" spans="1:10" x14ac:dyDescent="0.2">
      <c r="A663" s="3">
        <v>43237</v>
      </c>
      <c r="B663" s="1">
        <f ca="1">IFERROR(__xludf.DUMMYFUNCTION("""COMPUTED_VALUE"""),19.06)</f>
        <v>19.059999999999999</v>
      </c>
      <c r="C663" s="1">
        <f ca="1">IFERROR(__xludf.DUMMYFUNCTION("""COMPUTED_VALUE"""),19.28)</f>
        <v>19.28</v>
      </c>
      <c r="D663" s="1">
        <f ca="1">IFERROR(__xludf.DUMMYFUNCTION("""COMPUTED_VALUE"""),18.93)</f>
        <v>18.93</v>
      </c>
      <c r="E663" s="1">
        <f ca="1">IFERROR(__xludf.DUMMYFUNCTION("""COMPUTED_VALUE"""),18.97)</f>
        <v>18.97</v>
      </c>
      <c r="F663" s="1">
        <f ca="1">IFERROR(__xludf.DUMMYFUNCTION("""COMPUTED_VALUE"""),4420612)</f>
        <v>4420612</v>
      </c>
      <c r="G663" s="5">
        <f t="shared" ca="1" si="30"/>
        <v>0</v>
      </c>
      <c r="H663" s="14">
        <f t="shared" si="31"/>
        <v>2018</v>
      </c>
      <c r="I663" s="5">
        <f t="shared" ca="1" si="32"/>
        <v>-4.7219307450157323E-3</v>
      </c>
      <c r="J663" s="16"/>
    </row>
    <row r="664" spans="1:10" x14ac:dyDescent="0.2">
      <c r="A664" s="3">
        <v>43238</v>
      </c>
      <c r="B664" s="1">
        <f ca="1">IFERROR(__xludf.DUMMYFUNCTION("""COMPUTED_VALUE"""),19.06)</f>
        <v>19.059999999999999</v>
      </c>
      <c r="C664" s="1">
        <f ca="1">IFERROR(__xludf.DUMMYFUNCTION("""COMPUTED_VALUE"""),19.28)</f>
        <v>19.28</v>
      </c>
      <c r="D664" s="1">
        <f ca="1">IFERROR(__xludf.DUMMYFUNCTION("""COMPUTED_VALUE"""),18.93)</f>
        <v>18.93</v>
      </c>
      <c r="E664" s="1">
        <f ca="1">IFERROR(__xludf.DUMMYFUNCTION("""COMPUTED_VALUE"""),18.97)</f>
        <v>18.97</v>
      </c>
      <c r="F664" s="1">
        <f ca="1">IFERROR(__xludf.DUMMYFUNCTION("""COMPUTED_VALUE"""),27062)</f>
        <v>27062</v>
      </c>
      <c r="G664" s="5">
        <f t="shared" ca="1" si="30"/>
        <v>0</v>
      </c>
      <c r="H664" s="14">
        <f t="shared" si="31"/>
        <v>2018</v>
      </c>
      <c r="I664" s="5">
        <f t="shared" ca="1" si="32"/>
        <v>-4.7219307450157323E-3</v>
      </c>
      <c r="J664" s="16"/>
    </row>
    <row r="665" spans="1:10" x14ac:dyDescent="0.2">
      <c r="A665" s="3">
        <v>43241</v>
      </c>
      <c r="B665" s="1">
        <f ca="1">IFERROR(__xludf.DUMMYFUNCTION("""COMPUTED_VALUE"""),18.76)</f>
        <v>18.760000000000002</v>
      </c>
      <c r="C665" s="1">
        <f ca="1">IFERROR(__xludf.DUMMYFUNCTION("""COMPUTED_VALUE"""),19.43)</f>
        <v>19.43</v>
      </c>
      <c r="D665" s="1">
        <f ca="1">IFERROR(__xludf.DUMMYFUNCTION("""COMPUTED_VALUE"""),18.75)</f>
        <v>18.75</v>
      </c>
      <c r="E665" s="1">
        <f ca="1">IFERROR(__xludf.DUMMYFUNCTION("""COMPUTED_VALUE"""),18.97)</f>
        <v>18.97</v>
      </c>
      <c r="F665" s="1">
        <f ca="1">IFERROR(__xludf.DUMMYFUNCTION("""COMPUTED_VALUE"""),9182571)</f>
        <v>9182571</v>
      </c>
      <c r="G665" s="5">
        <f t="shared" ca="1" si="30"/>
        <v>-3.3737480231945206E-2</v>
      </c>
      <c r="H665" s="14">
        <f t="shared" si="31"/>
        <v>2018</v>
      </c>
      <c r="I665" s="5">
        <f t="shared" ca="1" si="32"/>
        <v>1.1194029850746124E-2</v>
      </c>
      <c r="J665" s="16"/>
    </row>
    <row r="666" spans="1:10" x14ac:dyDescent="0.2">
      <c r="A666" s="3">
        <v>43242</v>
      </c>
      <c r="B666" s="1">
        <f ca="1">IFERROR(__xludf.DUMMYFUNCTION("""COMPUTED_VALUE"""),19.18)</f>
        <v>19.18</v>
      </c>
      <c r="C666" s="1">
        <f ca="1">IFERROR(__xludf.DUMMYFUNCTION("""COMPUTED_VALUE"""),19.2)</f>
        <v>19.2</v>
      </c>
      <c r="D666" s="1">
        <f ca="1">IFERROR(__xludf.DUMMYFUNCTION("""COMPUTED_VALUE"""),18.23)</f>
        <v>18.23</v>
      </c>
      <c r="E666" s="1">
        <f ca="1">IFERROR(__xludf.DUMMYFUNCTION("""COMPUTED_VALUE"""),18.33)</f>
        <v>18.329999999999998</v>
      </c>
      <c r="F666" s="1">
        <f ca="1">IFERROR(__xludf.DUMMYFUNCTION("""COMPUTED_VALUE"""),8945756)</f>
        <v>8945756</v>
      </c>
      <c r="G666" s="5">
        <f t="shared" ca="1" si="30"/>
        <v>1.4729950900163838E-2</v>
      </c>
      <c r="H666" s="14">
        <f t="shared" si="31"/>
        <v>2018</v>
      </c>
      <c r="I666" s="5">
        <f t="shared" ca="1" si="32"/>
        <v>-4.4316996871741475E-2</v>
      </c>
      <c r="J666" s="16"/>
    </row>
    <row r="667" spans="1:10" x14ac:dyDescent="0.2">
      <c r="A667" s="3">
        <v>43243</v>
      </c>
      <c r="B667" s="1">
        <f ca="1">IFERROR(__xludf.DUMMYFUNCTION("""COMPUTED_VALUE"""),18.52)</f>
        <v>18.52</v>
      </c>
      <c r="C667" s="1">
        <f ca="1">IFERROR(__xludf.DUMMYFUNCTION("""COMPUTED_VALUE"""),18.66)</f>
        <v>18.66</v>
      </c>
      <c r="D667" s="1">
        <f ca="1">IFERROR(__xludf.DUMMYFUNCTION("""COMPUTED_VALUE"""),18.27)</f>
        <v>18.27</v>
      </c>
      <c r="E667" s="1">
        <f ca="1">IFERROR(__xludf.DUMMYFUNCTION("""COMPUTED_VALUE"""),18.6)</f>
        <v>18.600000000000001</v>
      </c>
      <c r="F667" s="1">
        <f ca="1">IFERROR(__xludf.DUMMYFUNCTION("""COMPUTED_VALUE"""),5985053)</f>
        <v>5985053</v>
      </c>
      <c r="G667" s="5">
        <f t="shared" ca="1" si="30"/>
        <v>-4.3010752688173032E-3</v>
      </c>
      <c r="H667" s="14">
        <f t="shared" si="31"/>
        <v>2018</v>
      </c>
      <c r="I667" s="5">
        <f t="shared" ca="1" si="32"/>
        <v>4.3196544276458883E-3</v>
      </c>
      <c r="J667" s="16"/>
    </row>
    <row r="668" spans="1:10" x14ac:dyDescent="0.2">
      <c r="A668" s="3">
        <v>43244</v>
      </c>
      <c r="B668" s="1">
        <f ca="1">IFERROR(__xludf.DUMMYFUNCTION("""COMPUTED_VALUE"""),18.56)</f>
        <v>18.559999999999999</v>
      </c>
      <c r="C668" s="1">
        <f ca="1">IFERROR(__xludf.DUMMYFUNCTION("""COMPUTED_VALUE"""),18.74)</f>
        <v>18.739999999999998</v>
      </c>
      <c r="D668" s="1">
        <f ca="1">IFERROR(__xludf.DUMMYFUNCTION("""COMPUTED_VALUE"""),18.33)</f>
        <v>18.329999999999998</v>
      </c>
      <c r="E668" s="1">
        <f ca="1">IFERROR(__xludf.DUMMYFUNCTION("""COMPUTED_VALUE"""),18.52)</f>
        <v>18.52</v>
      </c>
      <c r="F668" s="1">
        <f ca="1">IFERROR(__xludf.DUMMYFUNCTION("""COMPUTED_VALUE"""),4176708)</f>
        <v>4176708</v>
      </c>
      <c r="G668" s="5">
        <f t="shared" ca="1" si="30"/>
        <v>3.7796976241900801E-3</v>
      </c>
      <c r="H668" s="14">
        <f t="shared" si="31"/>
        <v>2018</v>
      </c>
      <c r="I668" s="5">
        <f t="shared" ca="1" si="32"/>
        <v>-2.1551724137930574E-3</v>
      </c>
      <c r="J668" s="16"/>
    </row>
    <row r="669" spans="1:10" x14ac:dyDescent="0.2">
      <c r="A669" s="3">
        <v>43245</v>
      </c>
      <c r="B669" s="1">
        <f ca="1">IFERROR(__xludf.DUMMYFUNCTION("""COMPUTED_VALUE"""),18.51)</f>
        <v>18.510000000000002</v>
      </c>
      <c r="C669" s="1">
        <f ca="1">IFERROR(__xludf.DUMMYFUNCTION("""COMPUTED_VALUE"""),18.64)</f>
        <v>18.64</v>
      </c>
      <c r="D669" s="1">
        <f ca="1">IFERROR(__xludf.DUMMYFUNCTION("""COMPUTED_VALUE"""),18.37)</f>
        <v>18.37</v>
      </c>
      <c r="E669" s="1">
        <f ca="1">IFERROR(__xludf.DUMMYFUNCTION("""COMPUTED_VALUE"""),18.59)</f>
        <v>18.59</v>
      </c>
      <c r="F669" s="1">
        <f ca="1">IFERROR(__xludf.DUMMYFUNCTION("""COMPUTED_VALUE"""),3875082)</f>
        <v>3875082</v>
      </c>
      <c r="G669" s="5">
        <f t="shared" ca="1" si="30"/>
        <v>1.7751479289940929E-2</v>
      </c>
      <c r="H669" s="14">
        <f t="shared" si="31"/>
        <v>2018</v>
      </c>
      <c r="I669" s="5">
        <f t="shared" ca="1" si="32"/>
        <v>4.3219881145325923E-3</v>
      </c>
      <c r="J669" s="16"/>
    </row>
    <row r="670" spans="1:10" x14ac:dyDescent="0.2">
      <c r="A670" s="3">
        <v>43249</v>
      </c>
      <c r="B670" s="1">
        <f ca="1">IFERROR(__xludf.DUMMYFUNCTION("""COMPUTED_VALUE"""),18.57)</f>
        <v>18.57</v>
      </c>
      <c r="C670" s="1">
        <f ca="1">IFERROR(__xludf.DUMMYFUNCTION("""COMPUTED_VALUE"""),19.1)</f>
        <v>19.100000000000001</v>
      </c>
      <c r="D670" s="1">
        <f ca="1">IFERROR(__xludf.DUMMYFUNCTION("""COMPUTED_VALUE"""),18.41)</f>
        <v>18.41</v>
      </c>
      <c r="E670" s="1">
        <f ca="1">IFERROR(__xludf.DUMMYFUNCTION("""COMPUTED_VALUE"""),18.92)</f>
        <v>18.920000000000002</v>
      </c>
      <c r="F670" s="1">
        <f ca="1">IFERROR(__xludf.DUMMYFUNCTION("""COMPUTED_VALUE"""),5666640)</f>
        <v>5666640</v>
      </c>
      <c r="G670" s="5">
        <f t="shared" ca="1" si="30"/>
        <v>2.8012684989429045E-2</v>
      </c>
      <c r="H670" s="14">
        <f t="shared" si="31"/>
        <v>2018</v>
      </c>
      <c r="I670" s="5">
        <f t="shared" ca="1" si="32"/>
        <v>1.8847603661820218E-2</v>
      </c>
      <c r="J670" s="16"/>
    </row>
    <row r="671" spans="1:10" x14ac:dyDescent="0.2">
      <c r="A671" s="3">
        <v>43250</v>
      </c>
      <c r="B671" s="1">
        <f ca="1">IFERROR(__xludf.DUMMYFUNCTION("""COMPUTED_VALUE"""),18.89)</f>
        <v>18.89</v>
      </c>
      <c r="C671" s="1">
        <f ca="1">IFERROR(__xludf.DUMMYFUNCTION("""COMPUTED_VALUE"""),19.67)</f>
        <v>19.670000000000002</v>
      </c>
      <c r="D671" s="1">
        <f ca="1">IFERROR(__xludf.DUMMYFUNCTION("""COMPUTED_VALUE"""),18.77)</f>
        <v>18.77</v>
      </c>
      <c r="E671" s="1">
        <f ca="1">IFERROR(__xludf.DUMMYFUNCTION("""COMPUTED_VALUE"""),19.45)</f>
        <v>19.45</v>
      </c>
      <c r="F671" s="1">
        <f ca="1">IFERROR(__xludf.DUMMYFUNCTION("""COMPUTED_VALUE"""),7489686)</f>
        <v>7489686</v>
      </c>
      <c r="G671" s="5">
        <f t="shared" ca="1" si="30"/>
        <v>-2.4164524421593774E-2</v>
      </c>
      <c r="H671" s="14">
        <f t="shared" si="31"/>
        <v>2018</v>
      </c>
      <c r="I671" s="5">
        <f t="shared" ca="1" si="32"/>
        <v>2.9645314981471608E-2</v>
      </c>
      <c r="J671" s="16"/>
    </row>
    <row r="672" spans="1:10" x14ac:dyDescent="0.2">
      <c r="A672" s="3">
        <v>43251</v>
      </c>
      <c r="B672" s="1">
        <f ca="1">IFERROR(__xludf.DUMMYFUNCTION("""COMPUTED_VALUE"""),19.15)</f>
        <v>19.149999999999999</v>
      </c>
      <c r="C672" s="1">
        <f ca="1">IFERROR(__xludf.DUMMYFUNCTION("""COMPUTED_VALUE"""),19.36)</f>
        <v>19.36</v>
      </c>
      <c r="D672" s="1">
        <f ca="1">IFERROR(__xludf.DUMMYFUNCTION("""COMPUTED_VALUE"""),18.86)</f>
        <v>18.86</v>
      </c>
      <c r="E672" s="1">
        <f ca="1">IFERROR(__xludf.DUMMYFUNCTION("""COMPUTED_VALUE"""),18.98)</f>
        <v>18.98</v>
      </c>
      <c r="F672" s="1">
        <f ca="1">IFERROR(__xludf.DUMMYFUNCTION("""COMPUTED_VALUE"""),5919721)</f>
        <v>5919721</v>
      </c>
      <c r="G672" s="5">
        <f t="shared" ca="1" si="30"/>
        <v>2.4762908324552101E-2</v>
      </c>
      <c r="H672" s="14">
        <f t="shared" si="31"/>
        <v>2018</v>
      </c>
      <c r="I672" s="5">
        <f t="shared" ca="1" si="32"/>
        <v>-8.877284595300166E-3</v>
      </c>
      <c r="J672" s="16"/>
    </row>
    <row r="673" spans="1:10" x14ac:dyDescent="0.2">
      <c r="A673" s="3">
        <v>43252</v>
      </c>
      <c r="B673" s="1">
        <f ca="1">IFERROR(__xludf.DUMMYFUNCTION("""COMPUTED_VALUE"""),19.06)</f>
        <v>19.059999999999999</v>
      </c>
      <c r="C673" s="1">
        <f ca="1">IFERROR(__xludf.DUMMYFUNCTION("""COMPUTED_VALUE"""),19.46)</f>
        <v>19.46</v>
      </c>
      <c r="D673" s="1">
        <f ca="1">IFERROR(__xludf.DUMMYFUNCTION("""COMPUTED_VALUE"""),18.92)</f>
        <v>18.920000000000002</v>
      </c>
      <c r="E673" s="1">
        <f ca="1">IFERROR(__xludf.DUMMYFUNCTION("""COMPUTED_VALUE"""),19.45)</f>
        <v>19.45</v>
      </c>
      <c r="F673" s="1">
        <f ca="1">IFERROR(__xludf.DUMMYFUNCTION("""COMPUTED_VALUE"""),5424386)</f>
        <v>5424386</v>
      </c>
      <c r="G673" s="5">
        <f t="shared" ca="1" si="30"/>
        <v>1.6966580976863849E-2</v>
      </c>
      <c r="H673" s="14">
        <f t="shared" si="31"/>
        <v>2018</v>
      </c>
      <c r="I673" s="5">
        <f t="shared" ca="1" si="32"/>
        <v>2.0461699895068238E-2</v>
      </c>
      <c r="J673" s="16"/>
    </row>
    <row r="674" spans="1:10" x14ac:dyDescent="0.2">
      <c r="A674" s="3">
        <v>43255</v>
      </c>
      <c r="B674" s="1">
        <f ca="1">IFERROR(__xludf.DUMMYFUNCTION("""COMPUTED_VALUE"""),19.62)</f>
        <v>19.62</v>
      </c>
      <c r="C674" s="1">
        <f ca="1">IFERROR(__xludf.DUMMYFUNCTION("""COMPUTED_VALUE"""),19.93)</f>
        <v>19.93</v>
      </c>
      <c r="D674" s="1">
        <f ca="1">IFERROR(__xludf.DUMMYFUNCTION("""COMPUTED_VALUE"""),19.57)</f>
        <v>19.57</v>
      </c>
      <c r="E674" s="1">
        <f ca="1">IFERROR(__xludf.DUMMYFUNCTION("""COMPUTED_VALUE"""),19.78)</f>
        <v>19.78</v>
      </c>
      <c r="F674" s="1">
        <f ca="1">IFERROR(__xludf.DUMMYFUNCTION("""COMPUTED_VALUE"""),4797810)</f>
        <v>4797810</v>
      </c>
      <c r="G674" s="5">
        <f t="shared" ca="1" si="30"/>
        <v>-1.8705763397371133E-2</v>
      </c>
      <c r="H674" s="14">
        <f t="shared" si="31"/>
        <v>2018</v>
      </c>
      <c r="I674" s="5">
        <f t="shared" ca="1" si="32"/>
        <v>8.1549439347604561E-3</v>
      </c>
      <c r="J674" s="16"/>
    </row>
    <row r="675" spans="1:10" x14ac:dyDescent="0.2">
      <c r="A675" s="3">
        <v>43256</v>
      </c>
      <c r="B675" s="1">
        <f ca="1">IFERROR(__xludf.DUMMYFUNCTION("""COMPUTED_VALUE"""),19.85)</f>
        <v>19.850000000000001</v>
      </c>
      <c r="C675" s="1">
        <f ca="1">IFERROR(__xludf.DUMMYFUNCTION("""COMPUTED_VALUE"""),19.85)</f>
        <v>19.850000000000001</v>
      </c>
      <c r="D675" s="1">
        <f ca="1">IFERROR(__xludf.DUMMYFUNCTION("""COMPUTED_VALUE"""),19.12)</f>
        <v>19.12</v>
      </c>
      <c r="E675" s="1">
        <f ca="1">IFERROR(__xludf.DUMMYFUNCTION("""COMPUTED_VALUE"""),19.41)</f>
        <v>19.41</v>
      </c>
      <c r="F675" s="1">
        <f ca="1">IFERROR(__xludf.DUMMYFUNCTION("""COMPUTED_VALUE"""),5995157)</f>
        <v>5995157</v>
      </c>
      <c r="G675" s="5">
        <f t="shared" ca="1" si="30"/>
        <v>9.7372488408037125E-2</v>
      </c>
      <c r="H675" s="14">
        <f t="shared" si="31"/>
        <v>2018</v>
      </c>
      <c r="I675" s="5">
        <f t="shared" ca="1" si="32"/>
        <v>-2.2166246851385452E-2</v>
      </c>
      <c r="J675" s="16"/>
    </row>
    <row r="676" spans="1:10" x14ac:dyDescent="0.2">
      <c r="A676" s="3">
        <v>43257</v>
      </c>
      <c r="B676" s="1">
        <f ca="1">IFERROR(__xludf.DUMMYFUNCTION("""COMPUTED_VALUE"""),20.03)</f>
        <v>20.03</v>
      </c>
      <c r="C676" s="1">
        <f ca="1">IFERROR(__xludf.DUMMYFUNCTION("""COMPUTED_VALUE"""),21.48)</f>
        <v>21.48</v>
      </c>
      <c r="D676" s="1">
        <f ca="1">IFERROR(__xludf.DUMMYFUNCTION("""COMPUTED_VALUE"""),19.83)</f>
        <v>19.829999999999998</v>
      </c>
      <c r="E676" s="1">
        <f ca="1">IFERROR(__xludf.DUMMYFUNCTION("""COMPUTED_VALUE"""),21.3)</f>
        <v>21.3</v>
      </c>
      <c r="F676" s="1">
        <f ca="1">IFERROR(__xludf.DUMMYFUNCTION("""COMPUTED_VALUE"""),18767269)</f>
        <v>18767269</v>
      </c>
      <c r="G676" s="5">
        <f t="shared" ca="1" si="30"/>
        <v>-1.0798122065727719E-2</v>
      </c>
      <c r="H676" s="14">
        <f t="shared" si="31"/>
        <v>2018</v>
      </c>
      <c r="I676" s="5">
        <f t="shared" ca="1" si="32"/>
        <v>6.3404892661008461E-2</v>
      </c>
      <c r="J676" s="16"/>
    </row>
    <row r="677" spans="1:10" x14ac:dyDescent="0.2">
      <c r="A677" s="3">
        <v>43258</v>
      </c>
      <c r="B677" s="1">
        <f ca="1">IFERROR(__xludf.DUMMYFUNCTION("""COMPUTED_VALUE"""),21.08)</f>
        <v>21.08</v>
      </c>
      <c r="C677" s="1">
        <f ca="1">IFERROR(__xludf.DUMMYFUNCTION("""COMPUTED_VALUE"""),22)</f>
        <v>22</v>
      </c>
      <c r="D677" s="1">
        <f ca="1">IFERROR(__xludf.DUMMYFUNCTION("""COMPUTED_VALUE"""),20.91)</f>
        <v>20.91</v>
      </c>
      <c r="E677" s="1">
        <f ca="1">IFERROR(__xludf.DUMMYFUNCTION("""COMPUTED_VALUE"""),21.07)</f>
        <v>21.07</v>
      </c>
      <c r="F677" s="1">
        <f ca="1">IFERROR(__xludf.DUMMYFUNCTION("""COMPUTED_VALUE"""),14345271)</f>
        <v>14345271</v>
      </c>
      <c r="G677" s="5">
        <f t="shared" ca="1" si="30"/>
        <v>5.220692928334097E-3</v>
      </c>
      <c r="H677" s="14">
        <f t="shared" si="31"/>
        <v>2018</v>
      </c>
      <c r="I677" s="5">
        <f t="shared" ca="1" si="32"/>
        <v>-4.7438330170768557E-4</v>
      </c>
      <c r="J677" s="16"/>
    </row>
    <row r="678" spans="1:10" x14ac:dyDescent="0.2">
      <c r="A678" s="3">
        <v>43259</v>
      </c>
      <c r="B678" s="1">
        <f ca="1">IFERROR(__xludf.DUMMYFUNCTION("""COMPUTED_VALUE"""),21.27)</f>
        <v>21.27</v>
      </c>
      <c r="C678" s="1">
        <f ca="1">IFERROR(__xludf.DUMMYFUNCTION("""COMPUTED_VALUE"""),21.63)</f>
        <v>21.63</v>
      </c>
      <c r="D678" s="1">
        <f ca="1">IFERROR(__xludf.DUMMYFUNCTION("""COMPUTED_VALUE"""),21.14)</f>
        <v>21.14</v>
      </c>
      <c r="E678" s="1">
        <f ca="1">IFERROR(__xludf.DUMMYFUNCTION("""COMPUTED_VALUE"""),21.18)</f>
        <v>21.18</v>
      </c>
      <c r="F678" s="1">
        <f ca="1">IFERROR(__xludf.DUMMYFUNCTION("""COMPUTED_VALUE"""),8205202)</f>
        <v>8205202</v>
      </c>
      <c r="G678" s="5">
        <f t="shared" ca="1" si="30"/>
        <v>4.5325779036827239E-2</v>
      </c>
      <c r="H678" s="14">
        <f t="shared" si="31"/>
        <v>2018</v>
      </c>
      <c r="I678" s="5">
        <f t="shared" ca="1" si="32"/>
        <v>-4.2313117066290484E-3</v>
      </c>
      <c r="J678" s="16"/>
    </row>
    <row r="679" spans="1:10" x14ac:dyDescent="0.2">
      <c r="A679" s="3">
        <v>43262</v>
      </c>
      <c r="B679" s="1">
        <f ca="1">IFERROR(__xludf.DUMMYFUNCTION("""COMPUTED_VALUE"""),21.5)</f>
        <v>21.5</v>
      </c>
      <c r="C679" s="1">
        <f ca="1">IFERROR(__xludf.DUMMYFUNCTION("""COMPUTED_VALUE"""),22.31)</f>
        <v>22.31</v>
      </c>
      <c r="D679" s="1">
        <f ca="1">IFERROR(__xludf.DUMMYFUNCTION("""COMPUTED_VALUE"""),21.5)</f>
        <v>21.5</v>
      </c>
      <c r="E679" s="1">
        <f ca="1">IFERROR(__xludf.DUMMYFUNCTION("""COMPUTED_VALUE"""),22.14)</f>
        <v>22.14</v>
      </c>
      <c r="F679" s="1">
        <f ca="1">IFERROR(__xludf.DUMMYFUNCTION("""COMPUTED_VALUE"""),13183473)</f>
        <v>13183473</v>
      </c>
      <c r="G679" s="5">
        <f t="shared" ca="1" si="30"/>
        <v>3.206865401987357E-2</v>
      </c>
      <c r="H679" s="14">
        <f t="shared" si="31"/>
        <v>2018</v>
      </c>
      <c r="I679" s="5">
        <f t="shared" ca="1" si="32"/>
        <v>2.9767441860465142E-2</v>
      </c>
      <c r="J679" s="16"/>
    </row>
    <row r="680" spans="1:10" x14ac:dyDescent="0.2">
      <c r="A680" s="3">
        <v>43263</v>
      </c>
      <c r="B680" s="1">
        <f ca="1">IFERROR(__xludf.DUMMYFUNCTION("""COMPUTED_VALUE"""),22.98)</f>
        <v>22.98</v>
      </c>
      <c r="C680" s="1">
        <f ca="1">IFERROR(__xludf.DUMMYFUNCTION("""COMPUTED_VALUE"""),23.66)</f>
        <v>23.66</v>
      </c>
      <c r="D680" s="1">
        <f ca="1">IFERROR(__xludf.DUMMYFUNCTION("""COMPUTED_VALUE"""),22.53)</f>
        <v>22.53</v>
      </c>
      <c r="E680" s="1">
        <f ca="1">IFERROR(__xludf.DUMMYFUNCTION("""COMPUTED_VALUE"""),22.85)</f>
        <v>22.85</v>
      </c>
      <c r="F680" s="1">
        <f ca="1">IFERROR(__xludf.DUMMYFUNCTION("""COMPUTED_VALUE"""),22347403)</f>
        <v>22347403</v>
      </c>
      <c r="G680" s="5">
        <f t="shared" ca="1" si="30"/>
        <v>6.126914660831379E-3</v>
      </c>
      <c r="H680" s="14">
        <f t="shared" si="31"/>
        <v>2018</v>
      </c>
      <c r="I680" s="5">
        <f t="shared" ca="1" si="32"/>
        <v>-5.6570931244560056E-3</v>
      </c>
      <c r="J680" s="16"/>
    </row>
    <row r="681" spans="1:10" x14ac:dyDescent="0.2">
      <c r="A681" s="3">
        <v>43264</v>
      </c>
      <c r="B681" s="1">
        <f ca="1">IFERROR(__xludf.DUMMYFUNCTION("""COMPUTED_VALUE"""),23.11)</f>
        <v>23.11</v>
      </c>
      <c r="C681" s="1">
        <f ca="1">IFERROR(__xludf.DUMMYFUNCTION("""COMPUTED_VALUE"""),23.15)</f>
        <v>23.15</v>
      </c>
      <c r="D681" s="1">
        <f ca="1">IFERROR(__xludf.DUMMYFUNCTION("""COMPUTED_VALUE"""),22.65)</f>
        <v>22.65</v>
      </c>
      <c r="E681" s="1">
        <f ca="1">IFERROR(__xludf.DUMMYFUNCTION("""COMPUTED_VALUE"""),22.99)</f>
        <v>22.99</v>
      </c>
      <c r="F681" s="1">
        <f ca="1">IFERROR(__xludf.DUMMYFUNCTION("""COMPUTED_VALUE"""),9469804)</f>
        <v>9469804</v>
      </c>
      <c r="G681" s="5">
        <f t="shared" ca="1" si="30"/>
        <v>3.7407568508047107E-2</v>
      </c>
      <c r="H681" s="14">
        <f t="shared" si="31"/>
        <v>2018</v>
      </c>
      <c r="I681" s="5">
        <f t="shared" ca="1" si="32"/>
        <v>-5.1925573344872777E-3</v>
      </c>
      <c r="J681" s="16"/>
    </row>
    <row r="682" spans="1:10" x14ac:dyDescent="0.2">
      <c r="A682" s="3">
        <v>43265</v>
      </c>
      <c r="B682" s="1">
        <f ca="1">IFERROR(__xludf.DUMMYFUNCTION("""COMPUTED_VALUE"""),23.18)</f>
        <v>23.18</v>
      </c>
      <c r="C682" s="1">
        <f ca="1">IFERROR(__xludf.DUMMYFUNCTION("""COMPUTED_VALUE"""),23.92)</f>
        <v>23.92</v>
      </c>
      <c r="D682" s="1">
        <f ca="1">IFERROR(__xludf.DUMMYFUNCTION("""COMPUTED_VALUE"""),23.11)</f>
        <v>23.11</v>
      </c>
      <c r="E682" s="1">
        <f ca="1">IFERROR(__xludf.DUMMYFUNCTION("""COMPUTED_VALUE"""),23.85)</f>
        <v>23.85</v>
      </c>
      <c r="F682" s="1">
        <f ca="1">IFERROR(__xludf.DUMMYFUNCTION("""COMPUTED_VALUE"""),10981023)</f>
        <v>10981023</v>
      </c>
      <c r="G682" s="5">
        <f t="shared" ca="1" si="30"/>
        <v>1.2578616352200245E-3</v>
      </c>
      <c r="H682" s="14">
        <f t="shared" si="31"/>
        <v>2018</v>
      </c>
      <c r="I682" s="5">
        <f t="shared" ca="1" si="32"/>
        <v>2.8904227782571255E-2</v>
      </c>
      <c r="J682" s="16"/>
    </row>
    <row r="683" spans="1:10" x14ac:dyDescent="0.2">
      <c r="A683" s="3">
        <v>43266</v>
      </c>
      <c r="B683" s="1">
        <f ca="1">IFERROR(__xludf.DUMMYFUNCTION("""COMPUTED_VALUE"""),23.59)</f>
        <v>23.59</v>
      </c>
      <c r="C683" s="1">
        <f ca="1">IFERROR(__xludf.DUMMYFUNCTION("""COMPUTED_VALUE"""),24.31)</f>
        <v>24.31</v>
      </c>
      <c r="D683" s="1">
        <f ca="1">IFERROR(__xludf.DUMMYFUNCTION("""COMPUTED_VALUE"""),23.42)</f>
        <v>23.42</v>
      </c>
      <c r="E683" s="1">
        <f ca="1">IFERROR(__xludf.DUMMYFUNCTION("""COMPUTED_VALUE"""),23.88)</f>
        <v>23.88</v>
      </c>
      <c r="F683" s="1">
        <f ca="1">IFERROR(__xludf.DUMMYFUNCTION("""COMPUTED_VALUE"""),10848254)</f>
        <v>10848254</v>
      </c>
      <c r="G683" s="5">
        <f t="shared" ca="1" si="30"/>
        <v>3.5175879396984917E-2</v>
      </c>
      <c r="H683" s="14">
        <f t="shared" si="31"/>
        <v>2018</v>
      </c>
      <c r="I683" s="5">
        <f t="shared" ca="1" si="32"/>
        <v>1.2293344637558252E-2</v>
      </c>
      <c r="J683" s="16"/>
    </row>
    <row r="684" spans="1:10" x14ac:dyDescent="0.2">
      <c r="A684" s="3">
        <v>43269</v>
      </c>
      <c r="B684" s="1">
        <f ca="1">IFERROR(__xludf.DUMMYFUNCTION("""COMPUTED_VALUE"""),23.69)</f>
        <v>23.69</v>
      </c>
      <c r="C684" s="1">
        <f ca="1">IFERROR(__xludf.DUMMYFUNCTION("""COMPUTED_VALUE"""),24.92)</f>
        <v>24.92</v>
      </c>
      <c r="D684" s="1">
        <f ca="1">IFERROR(__xludf.DUMMYFUNCTION("""COMPUTED_VALUE"""),23.63)</f>
        <v>23.63</v>
      </c>
      <c r="E684" s="1">
        <f ca="1">IFERROR(__xludf.DUMMYFUNCTION("""COMPUTED_VALUE"""),24.72)</f>
        <v>24.72</v>
      </c>
      <c r="F684" s="1">
        <f ca="1">IFERROR(__xludf.DUMMYFUNCTION("""COMPUTED_VALUE"""),12073226)</f>
        <v>12073226</v>
      </c>
      <c r="G684" s="5">
        <f t="shared" ca="1" si="30"/>
        <v>-4.9352750809061444E-2</v>
      </c>
      <c r="H684" s="14">
        <f t="shared" si="31"/>
        <v>2018</v>
      </c>
      <c r="I684" s="5">
        <f t="shared" ca="1" si="32"/>
        <v>4.3478260869565112E-2</v>
      </c>
      <c r="J684" s="16"/>
    </row>
    <row r="685" spans="1:10" x14ac:dyDescent="0.2">
      <c r="A685" s="3">
        <v>43270</v>
      </c>
      <c r="B685" s="1">
        <f ca="1">IFERROR(__xludf.DUMMYFUNCTION("""COMPUTED_VALUE"""),24.34)</f>
        <v>24.34</v>
      </c>
      <c r="C685" s="1">
        <f ca="1">IFERROR(__xludf.DUMMYFUNCTION("""COMPUTED_VALUE"""),24.67)</f>
        <v>24.67</v>
      </c>
      <c r="D685" s="1">
        <f ca="1">IFERROR(__xludf.DUMMYFUNCTION("""COMPUTED_VALUE"""),23.08)</f>
        <v>23.08</v>
      </c>
      <c r="E685" s="1">
        <f ca="1">IFERROR(__xludf.DUMMYFUNCTION("""COMPUTED_VALUE"""),23.5)</f>
        <v>23.5</v>
      </c>
      <c r="F685" s="1">
        <f ca="1">IFERROR(__xludf.DUMMYFUNCTION("""COMPUTED_VALUE"""),12761903)</f>
        <v>12761903</v>
      </c>
      <c r="G685" s="5">
        <f t="shared" ca="1" si="30"/>
        <v>2.7659574468085046E-2</v>
      </c>
      <c r="H685" s="14">
        <f t="shared" si="31"/>
        <v>2018</v>
      </c>
      <c r="I685" s="5">
        <f t="shared" ca="1" si="32"/>
        <v>-3.4511092851273621E-2</v>
      </c>
      <c r="J685" s="16"/>
    </row>
    <row r="686" spans="1:10" x14ac:dyDescent="0.2">
      <c r="A686" s="3">
        <v>43271</v>
      </c>
      <c r="B686" s="1">
        <f ca="1">IFERROR(__xludf.DUMMYFUNCTION("""COMPUTED_VALUE"""),23.87)</f>
        <v>23.87</v>
      </c>
      <c r="C686" s="1">
        <f ca="1">IFERROR(__xludf.DUMMYFUNCTION("""COMPUTED_VALUE"""),24.29)</f>
        <v>24.29</v>
      </c>
      <c r="D686" s="1">
        <f ca="1">IFERROR(__xludf.DUMMYFUNCTION("""COMPUTED_VALUE"""),23.47)</f>
        <v>23.47</v>
      </c>
      <c r="E686" s="1">
        <f ca="1">IFERROR(__xludf.DUMMYFUNCTION("""COMPUTED_VALUE"""),24.15)</f>
        <v>24.15</v>
      </c>
      <c r="F686" s="1">
        <f ca="1">IFERROR(__xludf.DUMMYFUNCTION("""COMPUTED_VALUE"""),8383656)</f>
        <v>8383656</v>
      </c>
      <c r="G686" s="5">
        <f t="shared" ca="1" si="30"/>
        <v>-4.0579710144927408E-2</v>
      </c>
      <c r="H686" s="14">
        <f t="shared" si="31"/>
        <v>2018</v>
      </c>
      <c r="I686" s="5">
        <f t="shared" ca="1" si="32"/>
        <v>1.1730205278592273E-2</v>
      </c>
      <c r="J686" s="16"/>
    </row>
    <row r="687" spans="1:10" x14ac:dyDescent="0.2">
      <c r="A687" s="3">
        <v>43272</v>
      </c>
      <c r="B687" s="1">
        <f ca="1">IFERROR(__xludf.DUMMYFUNCTION("""COMPUTED_VALUE"""),24.13)</f>
        <v>24.13</v>
      </c>
      <c r="C687" s="1">
        <f ca="1">IFERROR(__xludf.DUMMYFUNCTION("""COMPUTED_VALUE"""),24.41)</f>
        <v>24.41</v>
      </c>
      <c r="D687" s="1">
        <f ca="1">IFERROR(__xludf.DUMMYFUNCTION("""COMPUTED_VALUE"""),23.08)</f>
        <v>23.08</v>
      </c>
      <c r="E687" s="1">
        <f ca="1">IFERROR(__xludf.DUMMYFUNCTION("""COMPUTED_VALUE"""),23.17)</f>
        <v>23.17</v>
      </c>
      <c r="F687" s="1">
        <f ca="1">IFERROR(__xludf.DUMMYFUNCTION("""COMPUTED_VALUE"""),7967145)</f>
        <v>7967145</v>
      </c>
      <c r="G687" s="5">
        <f t="shared" ca="1" si="30"/>
        <v>-4.0138109624514598E-2</v>
      </c>
      <c r="H687" s="14">
        <f t="shared" si="31"/>
        <v>2018</v>
      </c>
      <c r="I687" s="5">
        <f t="shared" ca="1" si="32"/>
        <v>-3.9784500621632711E-2</v>
      </c>
      <c r="J687" s="16"/>
    </row>
    <row r="688" spans="1:10" x14ac:dyDescent="0.2">
      <c r="A688" s="3">
        <v>43273</v>
      </c>
      <c r="B688" s="1">
        <f ca="1">IFERROR(__xludf.DUMMYFUNCTION("""COMPUTED_VALUE"""),23.44)</f>
        <v>23.44</v>
      </c>
      <c r="C688" s="1">
        <f ca="1">IFERROR(__xludf.DUMMYFUNCTION("""COMPUTED_VALUE"""),23.48)</f>
        <v>23.48</v>
      </c>
      <c r="D688" s="1">
        <f ca="1">IFERROR(__xludf.DUMMYFUNCTION("""COMPUTED_VALUE"""),22.13)</f>
        <v>22.13</v>
      </c>
      <c r="E688" s="1">
        <f ca="1">IFERROR(__xludf.DUMMYFUNCTION("""COMPUTED_VALUE"""),22.24)</f>
        <v>22.24</v>
      </c>
      <c r="F688" s="1">
        <f ca="1">IFERROR(__xludf.DUMMYFUNCTION("""COMPUTED_VALUE"""),10266059)</f>
        <v>10266059</v>
      </c>
      <c r="G688" s="5">
        <f t="shared" ca="1" si="30"/>
        <v>-1.7985611510790984E-3</v>
      </c>
      <c r="H688" s="14">
        <f t="shared" si="31"/>
        <v>2018</v>
      </c>
      <c r="I688" s="5">
        <f t="shared" ca="1" si="32"/>
        <v>-5.1194539249146874E-2</v>
      </c>
      <c r="J688" s="16"/>
    </row>
    <row r="689" spans="1:10" x14ac:dyDescent="0.2">
      <c r="A689" s="3">
        <v>43276</v>
      </c>
      <c r="B689" s="1">
        <f ca="1">IFERROR(__xludf.DUMMYFUNCTION("""COMPUTED_VALUE"""),22.01)</f>
        <v>22.01</v>
      </c>
      <c r="C689" s="1">
        <f ca="1">IFERROR(__xludf.DUMMYFUNCTION("""COMPUTED_VALUE"""),22.56)</f>
        <v>22.56</v>
      </c>
      <c r="D689" s="1">
        <f ca="1">IFERROR(__xludf.DUMMYFUNCTION("""COMPUTED_VALUE"""),21.83)</f>
        <v>21.83</v>
      </c>
      <c r="E689" s="1">
        <f ca="1">IFERROR(__xludf.DUMMYFUNCTION("""COMPUTED_VALUE"""),22.2)</f>
        <v>22.2</v>
      </c>
      <c r="F689" s="1">
        <f ca="1">IFERROR(__xludf.DUMMYFUNCTION("""COMPUTED_VALUE"""),6931304)</f>
        <v>6931304</v>
      </c>
      <c r="G689" s="5">
        <f t="shared" ca="1" si="30"/>
        <v>2.7027027027027091E-2</v>
      </c>
      <c r="H689" s="14">
        <f t="shared" si="31"/>
        <v>2018</v>
      </c>
      <c r="I689" s="5">
        <f t="shared" ca="1" si="32"/>
        <v>8.6324398000907632E-3</v>
      </c>
      <c r="J689" s="16"/>
    </row>
    <row r="690" spans="1:10" x14ac:dyDescent="0.2">
      <c r="A690" s="3">
        <v>43277</v>
      </c>
      <c r="B690" s="1">
        <f ca="1">IFERROR(__xludf.DUMMYFUNCTION("""COMPUTED_VALUE"""),22.4)</f>
        <v>22.4</v>
      </c>
      <c r="C690" s="1">
        <f ca="1">IFERROR(__xludf.DUMMYFUNCTION("""COMPUTED_VALUE"""),22.9)</f>
        <v>22.9</v>
      </c>
      <c r="D690" s="1">
        <f ca="1">IFERROR(__xludf.DUMMYFUNCTION("""COMPUTED_VALUE"""),21.72)</f>
        <v>21.72</v>
      </c>
      <c r="E690" s="1">
        <f ca="1">IFERROR(__xludf.DUMMYFUNCTION("""COMPUTED_VALUE"""),22.8)</f>
        <v>22.8</v>
      </c>
      <c r="F690" s="1">
        <f ca="1">IFERROR(__xludf.DUMMYFUNCTION("""COMPUTED_VALUE"""),7452487)</f>
        <v>7452487</v>
      </c>
      <c r="G690" s="5">
        <f t="shared" ca="1" si="30"/>
        <v>7.4561403508771121E-3</v>
      </c>
      <c r="H690" s="14">
        <f t="shared" si="31"/>
        <v>2018</v>
      </c>
      <c r="I690" s="5">
        <f t="shared" ca="1" si="32"/>
        <v>1.7857142857142953E-2</v>
      </c>
      <c r="J690" s="16"/>
    </row>
    <row r="691" spans="1:10" x14ac:dyDescent="0.2">
      <c r="A691" s="3">
        <v>43278</v>
      </c>
      <c r="B691" s="1">
        <f ca="1">IFERROR(__xludf.DUMMYFUNCTION("""COMPUTED_VALUE"""),23)</f>
        <v>23</v>
      </c>
      <c r="C691" s="1">
        <f ca="1">IFERROR(__xludf.DUMMYFUNCTION("""COMPUTED_VALUE"""),23.39)</f>
        <v>23.39</v>
      </c>
      <c r="D691" s="1">
        <f ca="1">IFERROR(__xludf.DUMMYFUNCTION("""COMPUTED_VALUE"""),22.63)</f>
        <v>22.63</v>
      </c>
      <c r="E691" s="1">
        <f ca="1">IFERROR(__xludf.DUMMYFUNCTION("""COMPUTED_VALUE"""),22.97)</f>
        <v>22.97</v>
      </c>
      <c r="F691" s="1">
        <f ca="1">IFERROR(__xludf.DUMMYFUNCTION("""COMPUTED_VALUE"""),8333727)</f>
        <v>8333727</v>
      </c>
      <c r="G691" s="5">
        <f t="shared" ca="1" si="30"/>
        <v>1.5672616456247256E-2</v>
      </c>
      <c r="H691" s="14">
        <f t="shared" si="31"/>
        <v>2018</v>
      </c>
      <c r="I691" s="5">
        <f t="shared" ca="1" si="32"/>
        <v>-1.3043478260870058E-3</v>
      </c>
      <c r="J691" s="16"/>
    </row>
    <row r="692" spans="1:10" x14ac:dyDescent="0.2">
      <c r="A692" s="3">
        <v>43279</v>
      </c>
      <c r="B692" s="1">
        <f ca="1">IFERROR(__xludf.DUMMYFUNCTION("""COMPUTED_VALUE"""),23.24)</f>
        <v>23.24</v>
      </c>
      <c r="C692" s="1">
        <f ca="1">IFERROR(__xludf.DUMMYFUNCTION("""COMPUTED_VALUE"""),23.8)</f>
        <v>23.8</v>
      </c>
      <c r="D692" s="1">
        <f ca="1">IFERROR(__xludf.DUMMYFUNCTION("""COMPUTED_VALUE"""),23.07)</f>
        <v>23.07</v>
      </c>
      <c r="E692" s="1">
        <f ca="1">IFERROR(__xludf.DUMMYFUNCTION("""COMPUTED_VALUE"""),23.33)</f>
        <v>23.33</v>
      </c>
      <c r="F692" s="1">
        <f ca="1">IFERROR(__xludf.DUMMYFUNCTION("""COMPUTED_VALUE"""),8398005)</f>
        <v>8398005</v>
      </c>
      <c r="G692" s="5">
        <f t="shared" ca="1" si="30"/>
        <v>-2.0145735105014956E-2</v>
      </c>
      <c r="H692" s="14">
        <f t="shared" si="31"/>
        <v>2018</v>
      </c>
      <c r="I692" s="5">
        <f t="shared" ca="1" si="32"/>
        <v>3.8726333907056739E-3</v>
      </c>
      <c r="J692" s="16"/>
    </row>
    <row r="693" spans="1:10" x14ac:dyDescent="0.2">
      <c r="A693" s="3">
        <v>43280</v>
      </c>
      <c r="B693" s="1">
        <f ca="1">IFERROR(__xludf.DUMMYFUNCTION("""COMPUTED_VALUE"""),23.56)</f>
        <v>23.56</v>
      </c>
      <c r="C693" s="1">
        <f ca="1">IFERROR(__xludf.DUMMYFUNCTION("""COMPUTED_VALUE"""),23.59)</f>
        <v>23.59</v>
      </c>
      <c r="D693" s="1">
        <f ca="1">IFERROR(__xludf.DUMMYFUNCTION("""COMPUTED_VALUE"""),22.83)</f>
        <v>22.83</v>
      </c>
      <c r="E693" s="1">
        <f ca="1">IFERROR(__xludf.DUMMYFUNCTION("""COMPUTED_VALUE"""),22.86)</f>
        <v>22.86</v>
      </c>
      <c r="F693" s="1">
        <f ca="1">IFERROR(__xludf.DUMMYFUNCTION("""COMPUTED_VALUE"""),6492396)</f>
        <v>6492396</v>
      </c>
      <c r="G693" s="5">
        <f t="shared" ca="1" si="30"/>
        <v>-2.2747156605424305E-2</v>
      </c>
      <c r="H693" s="14">
        <f t="shared" si="31"/>
        <v>2018</v>
      </c>
      <c r="I693" s="5">
        <f t="shared" ca="1" si="32"/>
        <v>-2.971137521222408E-2</v>
      </c>
      <c r="J693" s="16"/>
    </row>
    <row r="694" spans="1:10" x14ac:dyDescent="0.2">
      <c r="A694" s="3">
        <v>43283</v>
      </c>
      <c r="B694" s="1">
        <f ca="1">IFERROR(__xludf.DUMMYFUNCTION("""COMPUTED_VALUE"""),24)</f>
        <v>24</v>
      </c>
      <c r="C694" s="1">
        <f ca="1">IFERROR(__xludf.DUMMYFUNCTION("""COMPUTED_VALUE"""),24.32)</f>
        <v>24.32</v>
      </c>
      <c r="D694" s="1">
        <f ca="1">IFERROR(__xludf.DUMMYFUNCTION("""COMPUTED_VALUE"""),21.99)</f>
        <v>21.99</v>
      </c>
      <c r="E694" s="1">
        <f ca="1">IFERROR(__xludf.DUMMYFUNCTION("""COMPUTED_VALUE"""),22.34)</f>
        <v>22.34</v>
      </c>
      <c r="F694" s="1">
        <f ca="1">IFERROR(__xludf.DUMMYFUNCTION("""COMPUTED_VALUE"""),18759765)</f>
        <v>18759765</v>
      </c>
      <c r="G694" s="5">
        <f t="shared" ca="1" si="30"/>
        <v>-7.2515666965085088E-2</v>
      </c>
      <c r="H694" s="14">
        <f t="shared" si="31"/>
        <v>2018</v>
      </c>
      <c r="I694" s="5">
        <f t="shared" ca="1" si="32"/>
        <v>-6.9166666666666668E-2</v>
      </c>
      <c r="J694" s="16"/>
    </row>
    <row r="695" spans="1:10" x14ac:dyDescent="0.2">
      <c r="A695" s="3">
        <v>43284</v>
      </c>
      <c r="B695" s="1">
        <f ca="1">IFERROR(__xludf.DUMMYFUNCTION("""COMPUTED_VALUE"""),22.12)</f>
        <v>22.12</v>
      </c>
      <c r="C695" s="1">
        <f ca="1">IFERROR(__xludf.DUMMYFUNCTION("""COMPUTED_VALUE"""),22.17)</f>
        <v>22.17</v>
      </c>
      <c r="D695" s="1">
        <f ca="1">IFERROR(__xludf.DUMMYFUNCTION("""COMPUTED_VALUE"""),20.65)</f>
        <v>20.65</v>
      </c>
      <c r="E695" s="1">
        <f ca="1">IFERROR(__xludf.DUMMYFUNCTION("""COMPUTED_VALUE"""),20.72)</f>
        <v>20.72</v>
      </c>
      <c r="F695" s="1">
        <f ca="1">IFERROR(__xludf.DUMMYFUNCTION("""COMPUTED_VALUE"""),12282638)</f>
        <v>12282638</v>
      </c>
      <c r="G695" s="5">
        <f t="shared" ca="1" si="30"/>
        <v>-5.3088803088802818E-3</v>
      </c>
      <c r="H695" s="14">
        <f t="shared" si="31"/>
        <v>2018</v>
      </c>
      <c r="I695" s="5">
        <f t="shared" ca="1" si="32"/>
        <v>-6.3291139240506417E-2</v>
      </c>
      <c r="J695" s="16"/>
    </row>
    <row r="696" spans="1:10" x14ac:dyDescent="0.2">
      <c r="A696" s="3">
        <v>43286</v>
      </c>
      <c r="B696" s="1">
        <f ca="1">IFERROR(__xludf.DUMMYFUNCTION("""COMPUTED_VALUE"""),20.92)</f>
        <v>20.92</v>
      </c>
      <c r="C696" s="1">
        <f ca="1">IFERROR(__xludf.DUMMYFUNCTION("""COMPUTED_VALUE"""),20.96)</f>
        <v>20.96</v>
      </c>
      <c r="D696" s="1">
        <f ca="1">IFERROR(__xludf.DUMMYFUNCTION("""COMPUTED_VALUE"""),19.75)</f>
        <v>19.75</v>
      </c>
      <c r="E696" s="1">
        <f ca="1">IFERROR(__xludf.DUMMYFUNCTION("""COMPUTED_VALUE"""),20.61)</f>
        <v>20.61</v>
      </c>
      <c r="F696" s="1">
        <f ca="1">IFERROR(__xludf.DUMMYFUNCTION("""COMPUTED_VALUE"""),17476374)</f>
        <v>17476374</v>
      </c>
      <c r="G696" s="5">
        <f t="shared" ca="1" si="30"/>
        <v>-9.7040271712758733E-4</v>
      </c>
      <c r="H696" s="14">
        <f t="shared" si="31"/>
        <v>2018</v>
      </c>
      <c r="I696" s="5">
        <f t="shared" ca="1" si="32"/>
        <v>-1.4818355640535481E-2</v>
      </c>
      <c r="J696" s="16"/>
    </row>
    <row r="697" spans="1:10" x14ac:dyDescent="0.2">
      <c r="A697" s="3">
        <v>43287</v>
      </c>
      <c r="B697" s="1">
        <f ca="1">IFERROR(__xludf.DUMMYFUNCTION("""COMPUTED_VALUE"""),20.33)</f>
        <v>20.329999999999998</v>
      </c>
      <c r="C697" s="1">
        <f ca="1">IFERROR(__xludf.DUMMYFUNCTION("""COMPUTED_VALUE"""),20.8)</f>
        <v>20.8</v>
      </c>
      <c r="D697" s="1">
        <f ca="1">IFERROR(__xludf.DUMMYFUNCTION("""COMPUTED_VALUE"""),20.13)</f>
        <v>20.13</v>
      </c>
      <c r="E697" s="1">
        <f ca="1">IFERROR(__xludf.DUMMYFUNCTION("""COMPUTED_VALUE"""),20.59)</f>
        <v>20.59</v>
      </c>
      <c r="F697" s="1">
        <f ca="1">IFERROR(__xludf.DUMMYFUNCTION("""COMPUTED_VALUE"""),8865451)</f>
        <v>8865451</v>
      </c>
      <c r="G697" s="5">
        <f t="shared" ca="1" si="30"/>
        <v>3.1083050024283659E-2</v>
      </c>
      <c r="H697" s="14">
        <f t="shared" si="31"/>
        <v>2018</v>
      </c>
      <c r="I697" s="5">
        <f t="shared" ca="1" si="32"/>
        <v>1.2788981800295208E-2</v>
      </c>
      <c r="J697" s="16"/>
    </row>
    <row r="698" spans="1:10" x14ac:dyDescent="0.2">
      <c r="A698" s="3">
        <v>43290</v>
      </c>
      <c r="B698" s="1">
        <f ca="1">IFERROR(__xludf.DUMMYFUNCTION("""COMPUTED_VALUE"""),20.8)</f>
        <v>20.8</v>
      </c>
      <c r="C698" s="1">
        <f ca="1">IFERROR(__xludf.DUMMYFUNCTION("""COMPUTED_VALUE"""),21.23)</f>
        <v>21.23</v>
      </c>
      <c r="D698" s="1">
        <f ca="1">IFERROR(__xludf.DUMMYFUNCTION("""COMPUTED_VALUE"""),20.53)</f>
        <v>20.53</v>
      </c>
      <c r="E698" s="1">
        <f ca="1">IFERROR(__xludf.DUMMYFUNCTION("""COMPUTED_VALUE"""),21.23)</f>
        <v>21.23</v>
      </c>
      <c r="F698" s="1">
        <f ca="1">IFERROR(__xludf.DUMMYFUNCTION("""COMPUTED_VALUE"""),7596753)</f>
        <v>7596753</v>
      </c>
      <c r="G698" s="5">
        <f t="shared" ca="1" si="30"/>
        <v>1.2717852096090419E-2</v>
      </c>
      <c r="H698" s="14">
        <f t="shared" si="31"/>
        <v>2018</v>
      </c>
      <c r="I698" s="5">
        <f t="shared" ca="1" si="32"/>
        <v>2.0673076923076909E-2</v>
      </c>
      <c r="J698" s="16"/>
    </row>
    <row r="699" spans="1:10" x14ac:dyDescent="0.2">
      <c r="A699" s="3">
        <v>43291</v>
      </c>
      <c r="B699" s="1">
        <f ca="1">IFERROR(__xludf.DUMMYFUNCTION("""COMPUTED_VALUE"""),21.64)</f>
        <v>21.64</v>
      </c>
      <c r="C699" s="1">
        <f ca="1">IFERROR(__xludf.DUMMYFUNCTION("""COMPUTED_VALUE"""),21.85)</f>
        <v>21.85</v>
      </c>
      <c r="D699" s="1">
        <f ca="1">IFERROR(__xludf.DUMMYFUNCTION("""COMPUTED_VALUE"""),21.28)</f>
        <v>21.28</v>
      </c>
      <c r="E699" s="1">
        <f ca="1">IFERROR(__xludf.DUMMYFUNCTION("""COMPUTED_VALUE"""),21.5)</f>
        <v>21.5</v>
      </c>
      <c r="F699" s="1">
        <f ca="1">IFERROR(__xludf.DUMMYFUNCTION("""COMPUTED_VALUE"""),9471498)</f>
        <v>9471498</v>
      </c>
      <c r="G699" s="5">
        <f t="shared" ca="1" si="30"/>
        <v>-1.1162790697674346E-2</v>
      </c>
      <c r="H699" s="14">
        <f t="shared" si="31"/>
        <v>2018</v>
      </c>
      <c r="I699" s="5">
        <f t="shared" ca="1" si="32"/>
        <v>-6.4695009242144441E-3</v>
      </c>
      <c r="J699" s="16"/>
    </row>
    <row r="700" spans="1:10" x14ac:dyDescent="0.2">
      <c r="A700" s="3">
        <v>43292</v>
      </c>
      <c r="B700" s="1">
        <f ca="1">IFERROR(__xludf.DUMMYFUNCTION("""COMPUTED_VALUE"""),21.05)</f>
        <v>21.05</v>
      </c>
      <c r="C700" s="1">
        <f ca="1">IFERROR(__xludf.DUMMYFUNCTION("""COMPUTED_VALUE"""),21.46)</f>
        <v>21.46</v>
      </c>
      <c r="D700" s="1">
        <f ca="1">IFERROR(__xludf.DUMMYFUNCTION("""COMPUTED_VALUE"""),21)</f>
        <v>21</v>
      </c>
      <c r="E700" s="1">
        <f ca="1">IFERROR(__xludf.DUMMYFUNCTION("""COMPUTED_VALUE"""),21.26)</f>
        <v>21.26</v>
      </c>
      <c r="F700" s="1">
        <f ca="1">IFERROR(__xludf.DUMMYFUNCTION("""COMPUTED_VALUE"""),4884076)</f>
        <v>4884076</v>
      </c>
      <c r="G700" s="5">
        <f t="shared" ca="1" si="30"/>
        <v>-7.0555032925683032E-3</v>
      </c>
      <c r="H700" s="14">
        <f t="shared" si="31"/>
        <v>2018</v>
      </c>
      <c r="I700" s="5">
        <f t="shared" ca="1" si="32"/>
        <v>9.9762470308789007E-3</v>
      </c>
      <c r="J700" s="16"/>
    </row>
    <row r="701" spans="1:10" x14ac:dyDescent="0.2">
      <c r="A701" s="3">
        <v>43293</v>
      </c>
      <c r="B701" s="1">
        <f ca="1">IFERROR(__xludf.DUMMYFUNCTION("""COMPUTED_VALUE"""),21.43)</f>
        <v>21.43</v>
      </c>
      <c r="C701" s="1">
        <f ca="1">IFERROR(__xludf.DUMMYFUNCTION("""COMPUTED_VALUE"""),21.55)</f>
        <v>21.55</v>
      </c>
      <c r="D701" s="1">
        <f ca="1">IFERROR(__xludf.DUMMYFUNCTION("""COMPUTED_VALUE"""),20.85)</f>
        <v>20.85</v>
      </c>
      <c r="E701" s="1">
        <f ca="1">IFERROR(__xludf.DUMMYFUNCTION("""COMPUTED_VALUE"""),21.11)</f>
        <v>21.11</v>
      </c>
      <c r="F701" s="1">
        <f ca="1">IFERROR(__xludf.DUMMYFUNCTION("""COMPUTED_VALUE"""),5721166)</f>
        <v>5721166</v>
      </c>
      <c r="G701" s="5">
        <f t="shared" ca="1" si="30"/>
        <v>7.10563713879688E-3</v>
      </c>
      <c r="H701" s="14">
        <f t="shared" si="31"/>
        <v>2018</v>
      </c>
      <c r="I701" s="5">
        <f t="shared" ca="1" si="32"/>
        <v>-1.4932337844143738E-2</v>
      </c>
      <c r="J701" s="16"/>
    </row>
    <row r="702" spans="1:10" x14ac:dyDescent="0.2">
      <c r="A702" s="3">
        <v>43294</v>
      </c>
      <c r="B702" s="1">
        <f ca="1">IFERROR(__xludf.DUMMYFUNCTION("""COMPUTED_VALUE"""),21.04)</f>
        <v>21.04</v>
      </c>
      <c r="C702" s="1">
        <f ca="1">IFERROR(__xludf.DUMMYFUNCTION("""COMPUTED_VALUE"""),21.31)</f>
        <v>21.31</v>
      </c>
      <c r="D702" s="1">
        <f ca="1">IFERROR(__xludf.DUMMYFUNCTION("""COMPUTED_VALUE"""),20.62)</f>
        <v>20.62</v>
      </c>
      <c r="E702" s="1">
        <f ca="1">IFERROR(__xludf.DUMMYFUNCTION("""COMPUTED_VALUE"""),21.26)</f>
        <v>21.26</v>
      </c>
      <c r="F702" s="1">
        <f ca="1">IFERROR(__xludf.DUMMYFUNCTION("""COMPUTED_VALUE"""),5875770)</f>
        <v>5875770</v>
      </c>
      <c r="G702" s="5">
        <f t="shared" ca="1" si="30"/>
        <v>-2.7751646284101591E-2</v>
      </c>
      <c r="H702" s="14">
        <f t="shared" si="31"/>
        <v>2018</v>
      </c>
      <c r="I702" s="5">
        <f t="shared" ca="1" si="32"/>
        <v>1.0456273764258671E-2</v>
      </c>
      <c r="J702" s="16"/>
    </row>
    <row r="703" spans="1:10" x14ac:dyDescent="0.2">
      <c r="A703" s="3">
        <v>43297</v>
      </c>
      <c r="B703" s="1">
        <f ca="1">IFERROR(__xludf.DUMMYFUNCTION("""COMPUTED_VALUE"""),20.78)</f>
        <v>20.78</v>
      </c>
      <c r="C703" s="1">
        <f ca="1">IFERROR(__xludf.DUMMYFUNCTION("""COMPUTED_VALUE"""),21.01)</f>
        <v>21.01</v>
      </c>
      <c r="D703" s="1">
        <f ca="1">IFERROR(__xludf.DUMMYFUNCTION("""COMPUTED_VALUE"""),20.42)</f>
        <v>20.420000000000002</v>
      </c>
      <c r="E703" s="1">
        <f ca="1">IFERROR(__xludf.DUMMYFUNCTION("""COMPUTED_VALUE"""),20.67)</f>
        <v>20.67</v>
      </c>
      <c r="F703" s="1">
        <f ca="1">IFERROR(__xludf.DUMMYFUNCTION("""COMPUTED_VALUE"""),7818655)</f>
        <v>7818655</v>
      </c>
      <c r="G703" s="5">
        <f t="shared" ca="1" si="30"/>
        <v>4.0638606676342517E-2</v>
      </c>
      <c r="H703" s="14">
        <f t="shared" si="31"/>
        <v>2018</v>
      </c>
      <c r="I703" s="5">
        <f t="shared" ca="1" si="32"/>
        <v>-5.2935514918190287E-3</v>
      </c>
      <c r="J703" s="16"/>
    </row>
    <row r="704" spans="1:10" x14ac:dyDescent="0.2">
      <c r="A704" s="3">
        <v>43298</v>
      </c>
      <c r="B704" s="1">
        <f ca="1">IFERROR(__xludf.DUMMYFUNCTION("""COMPUTED_VALUE"""),20.59)</f>
        <v>20.59</v>
      </c>
      <c r="C704" s="1">
        <f ca="1">IFERROR(__xludf.DUMMYFUNCTION("""COMPUTED_VALUE"""),21.65)</f>
        <v>21.65</v>
      </c>
      <c r="D704" s="1">
        <f ca="1">IFERROR(__xludf.DUMMYFUNCTION("""COMPUTED_VALUE"""),20.57)</f>
        <v>20.57</v>
      </c>
      <c r="E704" s="1">
        <f ca="1">IFERROR(__xludf.DUMMYFUNCTION("""COMPUTED_VALUE"""),21.51)</f>
        <v>21.51</v>
      </c>
      <c r="F704" s="1">
        <f ca="1">IFERROR(__xludf.DUMMYFUNCTION("""COMPUTED_VALUE"""),6996232)</f>
        <v>6996232</v>
      </c>
      <c r="G704" s="5">
        <f t="shared" ca="1" si="30"/>
        <v>3.7192003719199577E-3</v>
      </c>
      <c r="H704" s="14">
        <f t="shared" si="31"/>
        <v>2018</v>
      </c>
      <c r="I704" s="5">
        <f t="shared" ca="1" si="32"/>
        <v>4.4681884409907807E-2</v>
      </c>
      <c r="J704" s="16"/>
    </row>
    <row r="705" spans="1:10" x14ac:dyDescent="0.2">
      <c r="A705" s="3">
        <v>43299</v>
      </c>
      <c r="B705" s="1">
        <f ca="1">IFERROR(__xludf.DUMMYFUNCTION("""COMPUTED_VALUE"""),21.67)</f>
        <v>21.67</v>
      </c>
      <c r="C705" s="1">
        <f ca="1">IFERROR(__xludf.DUMMYFUNCTION("""COMPUTED_VALUE"""),21.7)</f>
        <v>21.7</v>
      </c>
      <c r="D705" s="1">
        <f ca="1">IFERROR(__xludf.DUMMYFUNCTION("""COMPUTED_VALUE"""),21.08)</f>
        <v>21.08</v>
      </c>
      <c r="E705" s="1">
        <f ca="1">IFERROR(__xludf.DUMMYFUNCTION("""COMPUTED_VALUE"""),21.59)</f>
        <v>21.59</v>
      </c>
      <c r="F705" s="1">
        <f ca="1">IFERROR(__xludf.DUMMYFUNCTION("""COMPUTED_VALUE"""),5624211)</f>
        <v>5624211</v>
      </c>
      <c r="G705" s="5">
        <f t="shared" ca="1" si="30"/>
        <v>-1.1116257526632627E-2</v>
      </c>
      <c r="H705" s="14">
        <f t="shared" si="31"/>
        <v>2018</v>
      </c>
      <c r="I705" s="5">
        <f t="shared" ca="1" si="32"/>
        <v>-3.6917397323489544E-3</v>
      </c>
      <c r="J705" s="16"/>
    </row>
    <row r="706" spans="1:10" x14ac:dyDescent="0.2">
      <c r="A706" s="3">
        <v>43300</v>
      </c>
      <c r="B706" s="1">
        <f ca="1">IFERROR(__xludf.DUMMYFUNCTION("""COMPUTED_VALUE"""),21.09)</f>
        <v>21.09</v>
      </c>
      <c r="C706" s="1">
        <f ca="1">IFERROR(__xludf.DUMMYFUNCTION("""COMPUTED_VALUE"""),21.57)</f>
        <v>21.57</v>
      </c>
      <c r="D706" s="1">
        <f ca="1">IFERROR(__xludf.DUMMYFUNCTION("""COMPUTED_VALUE"""),20.93)</f>
        <v>20.93</v>
      </c>
      <c r="E706" s="1">
        <f ca="1">IFERROR(__xludf.DUMMYFUNCTION("""COMPUTED_VALUE"""),21.35)</f>
        <v>21.35</v>
      </c>
      <c r="F706" s="1">
        <f ca="1">IFERROR(__xludf.DUMMYFUNCTION("""COMPUTED_VALUE"""),5915345)</f>
        <v>5915345</v>
      </c>
      <c r="G706" s="5">
        <f t="shared" ca="1" si="30"/>
        <v>-2.0608899297423947E-2</v>
      </c>
      <c r="H706" s="14">
        <f t="shared" si="31"/>
        <v>2018</v>
      </c>
      <c r="I706" s="5">
        <f t="shared" ca="1" si="32"/>
        <v>1.2328117591275561E-2</v>
      </c>
      <c r="J706" s="16"/>
    </row>
    <row r="707" spans="1:10" x14ac:dyDescent="0.2">
      <c r="A707" s="3">
        <v>43301</v>
      </c>
      <c r="B707" s="1">
        <f ca="1">IFERROR(__xludf.DUMMYFUNCTION("""COMPUTED_VALUE"""),21.42)</f>
        <v>21.42</v>
      </c>
      <c r="C707" s="1">
        <f ca="1">IFERROR(__xludf.DUMMYFUNCTION("""COMPUTED_VALUE"""),21.55)</f>
        <v>21.55</v>
      </c>
      <c r="D707" s="1">
        <f ca="1">IFERROR(__xludf.DUMMYFUNCTION("""COMPUTED_VALUE"""),20.78)</f>
        <v>20.78</v>
      </c>
      <c r="E707" s="1">
        <f ca="1">IFERROR(__xludf.DUMMYFUNCTION("""COMPUTED_VALUE"""),20.91)</f>
        <v>20.91</v>
      </c>
      <c r="F707" s="1">
        <f ca="1">IFERROR(__xludf.DUMMYFUNCTION("""COMPUTED_VALUE"""),5166547)</f>
        <v>5166547</v>
      </c>
      <c r="G707" s="5">
        <f t="shared" ref="G707:G770" ca="1" si="33">(E708-E707)/E707</f>
        <v>-3.3476805356288823E-2</v>
      </c>
      <c r="H707" s="14">
        <f t="shared" ref="H707:H770" si="34">YEAR(A707)</f>
        <v>2018</v>
      </c>
      <c r="I707" s="5">
        <f t="shared" ref="I707:I770" ca="1" si="35">((E707 - B707) / B707)</f>
        <v>-2.3809523809523881E-2</v>
      </c>
      <c r="J707" s="16"/>
    </row>
    <row r="708" spans="1:10" x14ac:dyDescent="0.2">
      <c r="A708" s="3">
        <v>43304</v>
      </c>
      <c r="B708" s="1">
        <f ca="1">IFERROR(__xludf.DUMMYFUNCTION("""COMPUTED_VALUE"""),20.12)</f>
        <v>20.12</v>
      </c>
      <c r="C708" s="1">
        <f ca="1">IFERROR(__xludf.DUMMYFUNCTION("""COMPUTED_VALUE"""),20.37)</f>
        <v>20.37</v>
      </c>
      <c r="D708" s="1">
        <f ca="1">IFERROR(__xludf.DUMMYFUNCTION("""COMPUTED_VALUE"""),19.52)</f>
        <v>19.52</v>
      </c>
      <c r="E708" s="1">
        <f ca="1">IFERROR(__xludf.DUMMYFUNCTION("""COMPUTED_VALUE"""),20.21)</f>
        <v>20.21</v>
      </c>
      <c r="F708" s="1">
        <f ca="1">IFERROR(__xludf.DUMMYFUNCTION("""COMPUTED_VALUE"""),10992947)</f>
        <v>10992947</v>
      </c>
      <c r="G708" s="5">
        <f t="shared" ca="1" si="33"/>
        <v>-1.8802572983671575E-2</v>
      </c>
      <c r="H708" s="14">
        <f t="shared" si="34"/>
        <v>2018</v>
      </c>
      <c r="I708" s="5">
        <f t="shared" ca="1" si="35"/>
        <v>4.4731610337972096E-3</v>
      </c>
      <c r="J708" s="16"/>
    </row>
    <row r="709" spans="1:10" x14ac:dyDescent="0.2">
      <c r="A709" s="3">
        <v>43305</v>
      </c>
      <c r="B709" s="1">
        <f ca="1">IFERROR(__xludf.DUMMYFUNCTION("""COMPUTED_VALUE"""),20.29)</f>
        <v>20.29</v>
      </c>
      <c r="C709" s="1">
        <f ca="1">IFERROR(__xludf.DUMMYFUNCTION("""COMPUTED_VALUE"""),20.51)</f>
        <v>20.51</v>
      </c>
      <c r="D709" s="1">
        <f ca="1">IFERROR(__xludf.DUMMYFUNCTION("""COMPUTED_VALUE"""),19.5)</f>
        <v>19.5</v>
      </c>
      <c r="E709" s="1">
        <f ca="1">IFERROR(__xludf.DUMMYFUNCTION("""COMPUTED_VALUE"""),19.83)</f>
        <v>19.829999999999998</v>
      </c>
      <c r="F709" s="1">
        <f ca="1">IFERROR(__xludf.DUMMYFUNCTION("""COMPUTED_VALUE"""),9590784)</f>
        <v>9590784</v>
      </c>
      <c r="G709" s="5">
        <f t="shared" ca="1" si="33"/>
        <v>3.7821482602118005E-2</v>
      </c>
      <c r="H709" s="14">
        <f t="shared" si="34"/>
        <v>2018</v>
      </c>
      <c r="I709" s="5">
        <f t="shared" ca="1" si="35"/>
        <v>-2.2671266633809802E-2</v>
      </c>
      <c r="J709" s="16"/>
    </row>
    <row r="710" spans="1:10" x14ac:dyDescent="0.2">
      <c r="A710" s="3">
        <v>43306</v>
      </c>
      <c r="B710" s="1">
        <f ca="1">IFERROR(__xludf.DUMMYFUNCTION("""COMPUTED_VALUE"""),19.78)</f>
        <v>19.78</v>
      </c>
      <c r="C710" s="1">
        <f ca="1">IFERROR(__xludf.DUMMYFUNCTION("""COMPUTED_VALUE"""),20.64)</f>
        <v>20.64</v>
      </c>
      <c r="D710" s="1">
        <f ca="1">IFERROR(__xludf.DUMMYFUNCTION("""COMPUTED_VALUE"""),19.63)</f>
        <v>19.63</v>
      </c>
      <c r="E710" s="1">
        <f ca="1">IFERROR(__xludf.DUMMYFUNCTION("""COMPUTED_VALUE"""),20.58)</f>
        <v>20.58</v>
      </c>
      <c r="F710" s="1">
        <f ca="1">IFERROR(__xludf.DUMMYFUNCTION("""COMPUTED_VALUE"""),7094180)</f>
        <v>7094180</v>
      </c>
      <c r="G710" s="5">
        <f t="shared" ca="1" si="33"/>
        <v>-6.8027210884352299E-3</v>
      </c>
      <c r="H710" s="14">
        <f t="shared" si="34"/>
        <v>2018</v>
      </c>
      <c r="I710" s="5">
        <f t="shared" ca="1" si="35"/>
        <v>4.0444893832153543E-2</v>
      </c>
      <c r="J710" s="16"/>
    </row>
    <row r="711" spans="1:10" x14ac:dyDescent="0.2">
      <c r="A711" s="3">
        <v>43307</v>
      </c>
      <c r="B711" s="1">
        <f ca="1">IFERROR(__xludf.DUMMYFUNCTION("""COMPUTED_VALUE"""),20.32)</f>
        <v>20.32</v>
      </c>
      <c r="C711" s="1">
        <f ca="1">IFERROR(__xludf.DUMMYFUNCTION("""COMPUTED_VALUE"""),20.71)</f>
        <v>20.71</v>
      </c>
      <c r="D711" s="1">
        <f ca="1">IFERROR(__xludf.DUMMYFUNCTION("""COMPUTED_VALUE"""),20.24)</f>
        <v>20.239999999999998</v>
      </c>
      <c r="E711" s="1">
        <f ca="1">IFERROR(__xludf.DUMMYFUNCTION("""COMPUTED_VALUE"""),20.44)</f>
        <v>20.440000000000001</v>
      </c>
      <c r="F711" s="1">
        <f ca="1">IFERROR(__xludf.DUMMYFUNCTION("""COMPUTED_VALUE"""),4630522)</f>
        <v>4630522</v>
      </c>
      <c r="G711" s="5">
        <f t="shared" ca="1" si="33"/>
        <v>-3.0821917808219301E-2</v>
      </c>
      <c r="H711" s="14">
        <f t="shared" si="34"/>
        <v>2018</v>
      </c>
      <c r="I711" s="5">
        <f t="shared" ca="1" si="35"/>
        <v>5.9055118110236705E-3</v>
      </c>
      <c r="J711" s="16"/>
    </row>
    <row r="712" spans="1:10" x14ac:dyDescent="0.2">
      <c r="A712" s="3">
        <v>43308</v>
      </c>
      <c r="B712" s="1">
        <f ca="1">IFERROR(__xludf.DUMMYFUNCTION("""COMPUTED_VALUE"""),20.48)</f>
        <v>20.48</v>
      </c>
      <c r="C712" s="1">
        <f ca="1">IFERROR(__xludf.DUMMYFUNCTION("""COMPUTED_VALUE"""),20.51)</f>
        <v>20.51</v>
      </c>
      <c r="D712" s="1">
        <f ca="1">IFERROR(__xludf.DUMMYFUNCTION("""COMPUTED_VALUE"""),19.69)</f>
        <v>19.690000000000001</v>
      </c>
      <c r="E712" s="1">
        <f ca="1">IFERROR(__xludf.DUMMYFUNCTION("""COMPUTED_VALUE"""),19.81)</f>
        <v>19.809999999999999</v>
      </c>
      <c r="F712" s="1">
        <f ca="1">IFERROR(__xludf.DUMMYFUNCTION("""COMPUTED_VALUE"""),5703326)</f>
        <v>5703326</v>
      </c>
      <c r="G712" s="5">
        <f t="shared" ca="1" si="33"/>
        <v>-2.3725391216557239E-2</v>
      </c>
      <c r="H712" s="14">
        <f t="shared" si="34"/>
        <v>2018</v>
      </c>
      <c r="I712" s="5">
        <f t="shared" ca="1" si="35"/>
        <v>-3.2714843750000083E-2</v>
      </c>
      <c r="J712" s="16"/>
    </row>
    <row r="713" spans="1:10" x14ac:dyDescent="0.2">
      <c r="A713" s="3">
        <v>43311</v>
      </c>
      <c r="B713" s="1">
        <f ca="1">IFERROR(__xludf.DUMMYFUNCTION("""COMPUTED_VALUE"""),19.73)</f>
        <v>19.73</v>
      </c>
      <c r="C713" s="1">
        <f ca="1">IFERROR(__xludf.DUMMYFUNCTION("""COMPUTED_VALUE"""),19.74)</f>
        <v>19.739999999999998</v>
      </c>
      <c r="D713" s="1">
        <f ca="1">IFERROR(__xludf.DUMMYFUNCTION("""COMPUTED_VALUE"""),19.08)</f>
        <v>19.079999999999998</v>
      </c>
      <c r="E713" s="1">
        <f ca="1">IFERROR(__xludf.DUMMYFUNCTION("""COMPUTED_VALUE"""),19.34)</f>
        <v>19.34</v>
      </c>
      <c r="F713" s="1">
        <f ca="1">IFERROR(__xludf.DUMMYFUNCTION("""COMPUTED_VALUE"""),6814072)</f>
        <v>6814072</v>
      </c>
      <c r="G713" s="5">
        <f t="shared" ca="1" si="33"/>
        <v>2.792140641158217E-2</v>
      </c>
      <c r="H713" s="14">
        <f t="shared" si="34"/>
        <v>2018</v>
      </c>
      <c r="I713" s="5">
        <f t="shared" ca="1" si="35"/>
        <v>-1.9766852508869771E-2</v>
      </c>
      <c r="J713" s="16"/>
    </row>
    <row r="714" spans="1:10" x14ac:dyDescent="0.2">
      <c r="A714" s="3">
        <v>43312</v>
      </c>
      <c r="B714" s="1">
        <f ca="1">IFERROR(__xludf.DUMMYFUNCTION("""COMPUTED_VALUE"""),19.48)</f>
        <v>19.48</v>
      </c>
      <c r="C714" s="1">
        <f ca="1">IFERROR(__xludf.DUMMYFUNCTION("""COMPUTED_VALUE"""),19.89)</f>
        <v>19.89</v>
      </c>
      <c r="D714" s="1">
        <f ca="1">IFERROR(__xludf.DUMMYFUNCTION("""COMPUTED_VALUE"""),19.27)</f>
        <v>19.27</v>
      </c>
      <c r="E714" s="1">
        <f ca="1">IFERROR(__xludf.DUMMYFUNCTION("""COMPUTED_VALUE"""),19.88)</f>
        <v>19.88</v>
      </c>
      <c r="F714" s="1">
        <f ca="1">IFERROR(__xludf.DUMMYFUNCTION("""COMPUTED_VALUE"""),5076916)</f>
        <v>5076916</v>
      </c>
      <c r="G714" s="5">
        <f t="shared" ca="1" si="33"/>
        <v>9.0543259557343929E-3</v>
      </c>
      <c r="H714" s="14">
        <f t="shared" si="34"/>
        <v>2018</v>
      </c>
      <c r="I714" s="5">
        <f t="shared" ca="1" si="35"/>
        <v>2.0533880903490686E-2</v>
      </c>
      <c r="J714" s="16"/>
    </row>
    <row r="715" spans="1:10" x14ac:dyDescent="0.2">
      <c r="A715" s="3">
        <v>43313</v>
      </c>
      <c r="B715" s="1">
        <f ca="1">IFERROR(__xludf.DUMMYFUNCTION("""COMPUTED_VALUE"""),19.87)</f>
        <v>19.87</v>
      </c>
      <c r="C715" s="1">
        <f ca="1">IFERROR(__xludf.DUMMYFUNCTION("""COMPUTED_VALUE"""),20.2)</f>
        <v>20.2</v>
      </c>
      <c r="D715" s="1">
        <f ca="1">IFERROR(__xludf.DUMMYFUNCTION("""COMPUTED_VALUE"""),19.53)</f>
        <v>19.53</v>
      </c>
      <c r="E715" s="1">
        <f ca="1">IFERROR(__xludf.DUMMYFUNCTION("""COMPUTED_VALUE"""),20.06)</f>
        <v>20.059999999999999</v>
      </c>
      <c r="F715" s="1">
        <f ca="1">IFERROR(__xludf.DUMMYFUNCTION("""COMPUTED_VALUE"""),10129430)</f>
        <v>10129430</v>
      </c>
      <c r="G715" s="5">
        <f t="shared" ca="1" si="33"/>
        <v>0.16151545363908287</v>
      </c>
      <c r="H715" s="14">
        <f t="shared" si="34"/>
        <v>2018</v>
      </c>
      <c r="I715" s="5">
        <f t="shared" ca="1" si="35"/>
        <v>9.5621540010064274E-3</v>
      </c>
      <c r="J715" s="16"/>
    </row>
    <row r="716" spans="1:10" x14ac:dyDescent="0.2">
      <c r="A716" s="3">
        <v>43314</v>
      </c>
      <c r="B716" s="1">
        <f ca="1">IFERROR(__xludf.DUMMYFUNCTION("""COMPUTED_VALUE"""),21.9)</f>
        <v>21.9</v>
      </c>
      <c r="C716" s="1">
        <f ca="1">IFERROR(__xludf.DUMMYFUNCTION("""COMPUTED_VALUE"""),23.33)</f>
        <v>23.33</v>
      </c>
      <c r="D716" s="1">
        <f ca="1">IFERROR(__xludf.DUMMYFUNCTION("""COMPUTED_VALUE"""),21.54)</f>
        <v>21.54</v>
      </c>
      <c r="E716" s="1">
        <f ca="1">IFERROR(__xludf.DUMMYFUNCTION("""COMPUTED_VALUE"""),23.3)</f>
        <v>23.3</v>
      </c>
      <c r="F716" s="1">
        <f ca="1">IFERROR(__xludf.DUMMYFUNCTION("""COMPUTED_VALUE"""),23214962)</f>
        <v>23214962</v>
      </c>
      <c r="G716" s="5">
        <f t="shared" ca="1" si="33"/>
        <v>-3.8626609442060024E-3</v>
      </c>
      <c r="H716" s="14">
        <f t="shared" si="34"/>
        <v>2018</v>
      </c>
      <c r="I716" s="5">
        <f t="shared" ca="1" si="35"/>
        <v>6.3926940639269514E-2</v>
      </c>
      <c r="J716" s="16"/>
    </row>
    <row r="717" spans="1:10" x14ac:dyDescent="0.2">
      <c r="A717" s="3">
        <v>43315</v>
      </c>
      <c r="B717" s="1">
        <f ca="1">IFERROR(__xludf.DUMMYFUNCTION("""COMPUTED_VALUE"""),23.19)</f>
        <v>23.19</v>
      </c>
      <c r="C717" s="1">
        <f ca="1">IFERROR(__xludf.DUMMYFUNCTION("""COMPUTED_VALUE"""),23.67)</f>
        <v>23.67</v>
      </c>
      <c r="D717" s="1">
        <f ca="1">IFERROR(__xludf.DUMMYFUNCTION("""COMPUTED_VALUE"""),22.84)</f>
        <v>22.84</v>
      </c>
      <c r="E717" s="1">
        <f ca="1">IFERROR(__xludf.DUMMYFUNCTION("""COMPUTED_VALUE"""),23.21)</f>
        <v>23.21</v>
      </c>
      <c r="F717" s="1">
        <f ca="1">IFERROR(__xludf.DUMMYFUNCTION("""COMPUTED_VALUE"""),13656486)</f>
        <v>13656486</v>
      </c>
      <c r="G717" s="5">
        <f t="shared" ca="1" si="33"/>
        <v>-1.7664799655320987E-2</v>
      </c>
      <c r="H717" s="14">
        <f t="shared" si="34"/>
        <v>2018</v>
      </c>
      <c r="I717" s="5">
        <f t="shared" ca="1" si="35"/>
        <v>8.6244070720136151E-4</v>
      </c>
      <c r="J717" s="16"/>
    </row>
    <row r="718" spans="1:10" x14ac:dyDescent="0.2">
      <c r="A718" s="3">
        <v>43318</v>
      </c>
      <c r="B718" s="1">
        <f ca="1">IFERROR(__xludf.DUMMYFUNCTION("""COMPUTED_VALUE"""),23.03)</f>
        <v>23.03</v>
      </c>
      <c r="C718" s="1">
        <f ca="1">IFERROR(__xludf.DUMMYFUNCTION("""COMPUTED_VALUE"""),23.67)</f>
        <v>23.67</v>
      </c>
      <c r="D718" s="1">
        <f ca="1">IFERROR(__xludf.DUMMYFUNCTION("""COMPUTED_VALUE"""),22.79)</f>
        <v>22.79</v>
      </c>
      <c r="E718" s="1">
        <f ca="1">IFERROR(__xludf.DUMMYFUNCTION("""COMPUTED_VALUE"""),22.8)</f>
        <v>22.8</v>
      </c>
      <c r="F718" s="1">
        <f ca="1">IFERROR(__xludf.DUMMYFUNCTION("""COMPUTED_VALUE"""),8564331)</f>
        <v>8564331</v>
      </c>
      <c r="G718" s="5">
        <f t="shared" ca="1" si="33"/>
        <v>0.10964912280701754</v>
      </c>
      <c r="H718" s="14">
        <f t="shared" si="34"/>
        <v>2018</v>
      </c>
      <c r="I718" s="5">
        <f t="shared" ca="1" si="35"/>
        <v>-9.9869735128093971E-3</v>
      </c>
      <c r="J718" s="16"/>
    </row>
    <row r="719" spans="1:10" x14ac:dyDescent="0.2">
      <c r="A719" s="3">
        <v>43319</v>
      </c>
      <c r="B719" s="1">
        <f ca="1">IFERROR(__xludf.DUMMYFUNCTION("""COMPUTED_VALUE"""),22.92)</f>
        <v>22.92</v>
      </c>
      <c r="C719" s="1">
        <f ca="1">IFERROR(__xludf.DUMMYFUNCTION("""COMPUTED_VALUE"""),25.83)</f>
        <v>25.83</v>
      </c>
      <c r="D719" s="1">
        <f ca="1">IFERROR(__xludf.DUMMYFUNCTION("""COMPUTED_VALUE"""),22.61)</f>
        <v>22.61</v>
      </c>
      <c r="E719" s="1">
        <f ca="1">IFERROR(__xludf.DUMMYFUNCTION("""COMPUTED_VALUE"""),25.3)</f>
        <v>25.3</v>
      </c>
      <c r="F719" s="1">
        <f ca="1">IFERROR(__xludf.DUMMYFUNCTION("""COMPUTED_VALUE"""),30875768)</f>
        <v>30875768</v>
      </c>
      <c r="G719" s="5">
        <f t="shared" ca="1" si="33"/>
        <v>-2.4110671936758869E-2</v>
      </c>
      <c r="H719" s="14">
        <f t="shared" si="34"/>
        <v>2018</v>
      </c>
      <c r="I719" s="5">
        <f t="shared" ca="1" si="35"/>
        <v>0.10383944153577657</v>
      </c>
      <c r="J719" s="16"/>
    </row>
    <row r="720" spans="1:10" x14ac:dyDescent="0.2">
      <c r="A720" s="3">
        <v>43320</v>
      </c>
      <c r="B720" s="1">
        <f ca="1">IFERROR(__xludf.DUMMYFUNCTION("""COMPUTED_VALUE"""),24.61)</f>
        <v>24.61</v>
      </c>
      <c r="C720" s="1">
        <f ca="1">IFERROR(__xludf.DUMMYFUNCTION("""COMPUTED_VALUE"""),25.51)</f>
        <v>25.51</v>
      </c>
      <c r="D720" s="1">
        <f ca="1">IFERROR(__xludf.DUMMYFUNCTION("""COMPUTED_VALUE"""),24.47)</f>
        <v>24.47</v>
      </c>
      <c r="E720" s="1">
        <f ca="1">IFERROR(__xludf.DUMMYFUNCTION("""COMPUTED_VALUE"""),24.69)</f>
        <v>24.69</v>
      </c>
      <c r="F720" s="1">
        <f ca="1">IFERROR(__xludf.DUMMYFUNCTION("""COMPUTED_VALUE"""),24571163)</f>
        <v>24571163</v>
      </c>
      <c r="G720" s="5">
        <f t="shared" ca="1" si="33"/>
        <v>-4.8197650870797942E-2</v>
      </c>
      <c r="H720" s="14">
        <f t="shared" si="34"/>
        <v>2018</v>
      </c>
      <c r="I720" s="5">
        <f t="shared" ca="1" si="35"/>
        <v>3.2507110930516804E-3</v>
      </c>
      <c r="J720" s="16"/>
    </row>
    <row r="721" spans="1:10" x14ac:dyDescent="0.2">
      <c r="A721" s="3">
        <v>43321</v>
      </c>
      <c r="B721" s="1">
        <f ca="1">IFERROR(__xludf.DUMMYFUNCTION("""COMPUTED_VALUE"""),24.37)</f>
        <v>24.37</v>
      </c>
      <c r="C721" s="1">
        <f ca="1">IFERROR(__xludf.DUMMYFUNCTION("""COMPUTED_VALUE"""),24.47)</f>
        <v>24.47</v>
      </c>
      <c r="D721" s="1">
        <f ca="1">IFERROR(__xludf.DUMMYFUNCTION("""COMPUTED_VALUE"""),23.05)</f>
        <v>23.05</v>
      </c>
      <c r="E721" s="1">
        <f ca="1">IFERROR(__xludf.DUMMYFUNCTION("""COMPUTED_VALUE"""),23.5)</f>
        <v>23.5</v>
      </c>
      <c r="F721" s="1">
        <f ca="1">IFERROR(__xludf.DUMMYFUNCTION("""COMPUTED_VALUE"""),17183811)</f>
        <v>17183811</v>
      </c>
      <c r="G721" s="5">
        <f t="shared" ca="1" si="33"/>
        <v>8.5106382978723093E-3</v>
      </c>
      <c r="H721" s="14">
        <f t="shared" si="34"/>
        <v>2018</v>
      </c>
      <c r="I721" s="5">
        <f t="shared" ca="1" si="35"/>
        <v>-3.5699630693475627E-2</v>
      </c>
      <c r="J721" s="16"/>
    </row>
    <row r="722" spans="1:10" x14ac:dyDescent="0.2">
      <c r="A722" s="3">
        <v>43322</v>
      </c>
      <c r="B722" s="1">
        <f ca="1">IFERROR(__xludf.DUMMYFUNCTION("""COMPUTED_VALUE"""),23.6)</f>
        <v>23.6</v>
      </c>
      <c r="C722" s="1">
        <f ca="1">IFERROR(__xludf.DUMMYFUNCTION("""COMPUTED_VALUE"""),24)</f>
        <v>24</v>
      </c>
      <c r="D722" s="1">
        <f ca="1">IFERROR(__xludf.DUMMYFUNCTION("""COMPUTED_VALUE"""),23.07)</f>
        <v>23.07</v>
      </c>
      <c r="E722" s="1">
        <f ca="1">IFERROR(__xludf.DUMMYFUNCTION("""COMPUTED_VALUE"""),23.7)</f>
        <v>23.7</v>
      </c>
      <c r="F722" s="1">
        <f ca="1">IFERROR(__xludf.DUMMYFUNCTION("""COMPUTED_VALUE"""),11552044)</f>
        <v>11552044</v>
      </c>
      <c r="G722" s="5">
        <f t="shared" ca="1" si="33"/>
        <v>2.5316455696203491E-3</v>
      </c>
      <c r="H722" s="14">
        <f t="shared" si="34"/>
        <v>2018</v>
      </c>
      <c r="I722" s="5">
        <f t="shared" ca="1" si="35"/>
        <v>4.2372881355931301E-3</v>
      </c>
      <c r="J722" s="16"/>
    </row>
    <row r="723" spans="1:10" x14ac:dyDescent="0.2">
      <c r="A723" s="3">
        <v>43325</v>
      </c>
      <c r="B723" s="1">
        <f ca="1">IFERROR(__xludf.DUMMYFUNCTION("""COMPUTED_VALUE"""),24.08)</f>
        <v>24.08</v>
      </c>
      <c r="C723" s="1">
        <f ca="1">IFERROR(__xludf.DUMMYFUNCTION("""COMPUTED_VALUE"""),24.21)</f>
        <v>24.21</v>
      </c>
      <c r="D723" s="1">
        <f ca="1">IFERROR(__xludf.DUMMYFUNCTION("""COMPUTED_VALUE"""),23.27)</f>
        <v>23.27</v>
      </c>
      <c r="E723" s="1">
        <f ca="1">IFERROR(__xludf.DUMMYFUNCTION("""COMPUTED_VALUE"""),23.76)</f>
        <v>23.76</v>
      </c>
      <c r="F723" s="1">
        <f ca="1">IFERROR(__xludf.DUMMYFUNCTION("""COMPUTED_VALUE"""),10463881)</f>
        <v>10463881</v>
      </c>
      <c r="G723" s="5">
        <f t="shared" ca="1" si="33"/>
        <v>-2.4410774410774487E-2</v>
      </c>
      <c r="H723" s="14">
        <f t="shared" si="34"/>
        <v>2018</v>
      </c>
      <c r="I723" s="5">
        <f t="shared" ca="1" si="35"/>
        <v>-1.3289036544850363E-2</v>
      </c>
      <c r="J723" s="16"/>
    </row>
    <row r="724" spans="1:10" x14ac:dyDescent="0.2">
      <c r="A724" s="3">
        <v>43326</v>
      </c>
      <c r="B724" s="1">
        <f ca="1">IFERROR(__xludf.DUMMYFUNCTION("""COMPUTED_VALUE"""),23.9)</f>
        <v>23.9</v>
      </c>
      <c r="C724" s="1">
        <f ca="1">IFERROR(__xludf.DUMMYFUNCTION("""COMPUTED_VALUE"""),23.95)</f>
        <v>23.95</v>
      </c>
      <c r="D724" s="1">
        <f ca="1">IFERROR(__xludf.DUMMYFUNCTION("""COMPUTED_VALUE"""),23.14)</f>
        <v>23.14</v>
      </c>
      <c r="E724" s="1">
        <f ca="1">IFERROR(__xludf.DUMMYFUNCTION("""COMPUTED_VALUE"""),23.18)</f>
        <v>23.18</v>
      </c>
      <c r="F724" s="1">
        <f ca="1">IFERROR(__xludf.DUMMYFUNCTION("""COMPUTED_VALUE"""),6986427)</f>
        <v>6986427</v>
      </c>
      <c r="G724" s="5">
        <f t="shared" ca="1" si="33"/>
        <v>-2.5884383088869777E-2</v>
      </c>
      <c r="H724" s="14">
        <f t="shared" si="34"/>
        <v>2018</v>
      </c>
      <c r="I724" s="5">
        <f t="shared" ca="1" si="35"/>
        <v>-3.0125523012552256E-2</v>
      </c>
      <c r="J724" s="16"/>
    </row>
    <row r="725" spans="1:10" x14ac:dyDescent="0.2">
      <c r="A725" s="3">
        <v>43327</v>
      </c>
      <c r="B725" s="1">
        <f ca="1">IFERROR(__xludf.DUMMYFUNCTION("""COMPUTED_VALUE"""),22.79)</f>
        <v>22.79</v>
      </c>
      <c r="C725" s="1">
        <f ca="1">IFERROR(__xludf.DUMMYFUNCTION("""COMPUTED_VALUE"""),22.97)</f>
        <v>22.97</v>
      </c>
      <c r="D725" s="1">
        <f ca="1">IFERROR(__xludf.DUMMYFUNCTION("""COMPUTED_VALUE"""),22.14)</f>
        <v>22.14</v>
      </c>
      <c r="E725" s="1">
        <f ca="1">IFERROR(__xludf.DUMMYFUNCTION("""COMPUTED_VALUE"""),22.58)</f>
        <v>22.58</v>
      </c>
      <c r="F725" s="1">
        <f ca="1">IFERROR(__xludf.DUMMYFUNCTION("""COMPUTED_VALUE"""),9101258)</f>
        <v>9101258</v>
      </c>
      <c r="G725" s="5">
        <f t="shared" ca="1" si="33"/>
        <v>-9.7431355181576123E-3</v>
      </c>
      <c r="H725" s="14">
        <f t="shared" si="34"/>
        <v>2018</v>
      </c>
      <c r="I725" s="5">
        <f t="shared" ca="1" si="35"/>
        <v>-9.2145677928916567E-3</v>
      </c>
      <c r="J725" s="16"/>
    </row>
    <row r="726" spans="1:10" x14ac:dyDescent="0.2">
      <c r="A726" s="3">
        <v>43328</v>
      </c>
      <c r="B726" s="1">
        <f ca="1">IFERROR(__xludf.DUMMYFUNCTION("""COMPUTED_VALUE"""),22.66)</f>
        <v>22.66</v>
      </c>
      <c r="C726" s="1">
        <f ca="1">IFERROR(__xludf.DUMMYFUNCTION("""COMPUTED_VALUE"""),22.82)</f>
        <v>22.82</v>
      </c>
      <c r="D726" s="1">
        <f ca="1">IFERROR(__xludf.DUMMYFUNCTION("""COMPUTED_VALUE"""),22.25)</f>
        <v>22.25</v>
      </c>
      <c r="E726" s="1">
        <f ca="1">IFERROR(__xludf.DUMMYFUNCTION("""COMPUTED_VALUE"""),22.36)</f>
        <v>22.36</v>
      </c>
      <c r="F726" s="1">
        <f ca="1">IFERROR(__xludf.DUMMYFUNCTION("""COMPUTED_VALUE"""),6064033)</f>
        <v>6064033</v>
      </c>
      <c r="G726" s="5">
        <f t="shared" ca="1" si="33"/>
        <v>-8.8998211091234278E-2</v>
      </c>
      <c r="H726" s="14">
        <f t="shared" si="34"/>
        <v>2018</v>
      </c>
      <c r="I726" s="5">
        <f t="shared" ca="1" si="35"/>
        <v>-1.3239187996469582E-2</v>
      </c>
      <c r="J726" s="16"/>
    </row>
    <row r="727" spans="1:10" x14ac:dyDescent="0.2">
      <c r="A727" s="3">
        <v>43329</v>
      </c>
      <c r="B727" s="1">
        <f ca="1">IFERROR(__xludf.DUMMYFUNCTION("""COMPUTED_VALUE"""),21.57)</f>
        <v>21.57</v>
      </c>
      <c r="C727" s="1">
        <f ca="1">IFERROR(__xludf.DUMMYFUNCTION("""COMPUTED_VALUE"""),21.78)</f>
        <v>21.78</v>
      </c>
      <c r="D727" s="1">
        <f ca="1">IFERROR(__xludf.DUMMYFUNCTION("""COMPUTED_VALUE"""),20.24)</f>
        <v>20.239999999999998</v>
      </c>
      <c r="E727" s="1">
        <f ca="1">IFERROR(__xludf.DUMMYFUNCTION("""COMPUTED_VALUE"""),20.37)</f>
        <v>20.37</v>
      </c>
      <c r="F727" s="1">
        <f ca="1">IFERROR(__xludf.DUMMYFUNCTION("""COMPUTED_VALUE"""),18958612)</f>
        <v>18958612</v>
      </c>
      <c r="G727" s="5">
        <f t="shared" ca="1" si="33"/>
        <v>9.3274423171329258E-3</v>
      </c>
      <c r="H727" s="14">
        <f t="shared" si="34"/>
        <v>2018</v>
      </c>
      <c r="I727" s="5">
        <f t="shared" ca="1" si="35"/>
        <v>-5.5632823365785782E-2</v>
      </c>
      <c r="J727" s="16"/>
    </row>
    <row r="728" spans="1:10" x14ac:dyDescent="0.2">
      <c r="A728" s="3">
        <v>43332</v>
      </c>
      <c r="B728" s="1">
        <f ca="1">IFERROR(__xludf.DUMMYFUNCTION("""COMPUTED_VALUE"""),19.45)</f>
        <v>19.45</v>
      </c>
      <c r="C728" s="1">
        <f ca="1">IFERROR(__xludf.DUMMYFUNCTION("""COMPUTED_VALUE"""),20.57)</f>
        <v>20.57</v>
      </c>
      <c r="D728" s="1">
        <f ca="1">IFERROR(__xludf.DUMMYFUNCTION("""COMPUTED_VALUE"""),19.21)</f>
        <v>19.21</v>
      </c>
      <c r="E728" s="1">
        <f ca="1">IFERROR(__xludf.DUMMYFUNCTION("""COMPUTED_VALUE"""),20.56)</f>
        <v>20.56</v>
      </c>
      <c r="F728" s="1">
        <f ca="1">IFERROR(__xludf.DUMMYFUNCTION("""COMPUTED_VALUE"""),17402335)</f>
        <v>17402335</v>
      </c>
      <c r="G728" s="5">
        <f t="shared" ca="1" si="33"/>
        <v>4.3774319066147968E-2</v>
      </c>
      <c r="H728" s="14">
        <f t="shared" si="34"/>
        <v>2018</v>
      </c>
      <c r="I728" s="5">
        <f t="shared" ca="1" si="35"/>
        <v>5.7069408740359873E-2</v>
      </c>
      <c r="J728" s="16"/>
    </row>
    <row r="729" spans="1:10" x14ac:dyDescent="0.2">
      <c r="A729" s="3">
        <v>43333</v>
      </c>
      <c r="B729" s="1">
        <f ca="1">IFERROR(__xludf.DUMMYFUNCTION("""COMPUTED_VALUE"""),20.71)</f>
        <v>20.71</v>
      </c>
      <c r="C729" s="1">
        <f ca="1">IFERROR(__xludf.DUMMYFUNCTION("""COMPUTED_VALUE"""),21.65)</f>
        <v>21.65</v>
      </c>
      <c r="D729" s="1">
        <f ca="1">IFERROR(__xludf.DUMMYFUNCTION("""COMPUTED_VALUE"""),20.6)</f>
        <v>20.6</v>
      </c>
      <c r="E729" s="1">
        <f ca="1">IFERROR(__xludf.DUMMYFUNCTION("""COMPUTED_VALUE"""),21.46)</f>
        <v>21.46</v>
      </c>
      <c r="F729" s="1">
        <f ca="1">IFERROR(__xludf.DUMMYFUNCTION("""COMPUTED_VALUE"""),13172230)</f>
        <v>13172230</v>
      </c>
      <c r="G729" s="5">
        <f t="shared" ca="1" si="33"/>
        <v>-9.3196644920780865E-4</v>
      </c>
      <c r="H729" s="14">
        <f t="shared" si="34"/>
        <v>2018</v>
      </c>
      <c r="I729" s="5">
        <f t="shared" ca="1" si="35"/>
        <v>3.6214389183969097E-2</v>
      </c>
      <c r="J729" s="16"/>
    </row>
    <row r="730" spans="1:10" x14ac:dyDescent="0.2">
      <c r="A730" s="3">
        <v>43334</v>
      </c>
      <c r="B730" s="1">
        <f ca="1">IFERROR(__xludf.DUMMYFUNCTION("""COMPUTED_VALUE"""),21.39)</f>
        <v>21.39</v>
      </c>
      <c r="C730" s="1">
        <f ca="1">IFERROR(__xludf.DUMMYFUNCTION("""COMPUTED_VALUE"""),21.59)</f>
        <v>21.59</v>
      </c>
      <c r="D730" s="1">
        <f ca="1">IFERROR(__xludf.DUMMYFUNCTION("""COMPUTED_VALUE"""),20.98)</f>
        <v>20.98</v>
      </c>
      <c r="E730" s="1">
        <f ca="1">IFERROR(__xludf.DUMMYFUNCTION("""COMPUTED_VALUE"""),21.44)</f>
        <v>21.44</v>
      </c>
      <c r="F730" s="1">
        <f ca="1">IFERROR(__xludf.DUMMYFUNCTION("""COMPUTED_VALUE"""),5945955)</f>
        <v>5945955</v>
      </c>
      <c r="G730" s="5">
        <f t="shared" ca="1" si="33"/>
        <v>-4.6641791044776783E-3</v>
      </c>
      <c r="H730" s="14">
        <f t="shared" si="34"/>
        <v>2018</v>
      </c>
      <c r="I730" s="5">
        <f t="shared" ca="1" si="35"/>
        <v>2.3375409069659051E-3</v>
      </c>
      <c r="J730" s="16"/>
    </row>
    <row r="731" spans="1:10" x14ac:dyDescent="0.2">
      <c r="A731" s="3">
        <v>43335</v>
      </c>
      <c r="B731" s="1">
        <f ca="1">IFERROR(__xludf.DUMMYFUNCTION("""COMPUTED_VALUE"""),21.28)</f>
        <v>21.28</v>
      </c>
      <c r="C731" s="1">
        <f ca="1">IFERROR(__xludf.DUMMYFUNCTION("""COMPUTED_VALUE"""),21.82)</f>
        <v>21.82</v>
      </c>
      <c r="D731" s="1">
        <f ca="1">IFERROR(__xludf.DUMMYFUNCTION("""COMPUTED_VALUE"""),21.21)</f>
        <v>21.21</v>
      </c>
      <c r="E731" s="1">
        <f ca="1">IFERROR(__xludf.DUMMYFUNCTION("""COMPUTED_VALUE"""),21.34)</f>
        <v>21.34</v>
      </c>
      <c r="F731" s="1">
        <f ca="1">IFERROR(__xludf.DUMMYFUNCTION("""COMPUTED_VALUE"""),5147286)</f>
        <v>5147286</v>
      </c>
      <c r="G731" s="5">
        <f t="shared" ca="1" si="33"/>
        <v>8.4348641049671845E-3</v>
      </c>
      <c r="H731" s="14">
        <f t="shared" si="34"/>
        <v>2018</v>
      </c>
      <c r="I731" s="5">
        <f t="shared" ca="1" si="35"/>
        <v>2.8195488721803907E-3</v>
      </c>
      <c r="J731" s="16"/>
    </row>
    <row r="732" spans="1:10" x14ac:dyDescent="0.2">
      <c r="A732" s="3">
        <v>43336</v>
      </c>
      <c r="B732" s="1">
        <f ca="1">IFERROR(__xludf.DUMMYFUNCTION("""COMPUTED_VALUE"""),21.38)</f>
        <v>21.38</v>
      </c>
      <c r="C732" s="1">
        <f ca="1">IFERROR(__xludf.DUMMYFUNCTION("""COMPUTED_VALUE"""),21.59)</f>
        <v>21.59</v>
      </c>
      <c r="D732" s="1">
        <f ca="1">IFERROR(__xludf.DUMMYFUNCTION("""COMPUTED_VALUE"""),21.29)</f>
        <v>21.29</v>
      </c>
      <c r="E732" s="1">
        <f ca="1">IFERROR(__xludf.DUMMYFUNCTION("""COMPUTED_VALUE"""),21.52)</f>
        <v>21.52</v>
      </c>
      <c r="F732" s="1">
        <f ca="1">IFERROR(__xludf.DUMMYFUNCTION("""COMPUTED_VALUE"""),3602564)</f>
        <v>3602564</v>
      </c>
      <c r="G732" s="5">
        <f t="shared" ca="1" si="33"/>
        <v>-1.1152416356877252E-2</v>
      </c>
      <c r="H732" s="14">
        <f t="shared" si="34"/>
        <v>2018</v>
      </c>
      <c r="I732" s="5">
        <f t="shared" ca="1" si="35"/>
        <v>6.5481758652946951E-3</v>
      </c>
      <c r="J732" s="16"/>
    </row>
    <row r="733" spans="1:10" x14ac:dyDescent="0.2">
      <c r="A733" s="3">
        <v>43339</v>
      </c>
      <c r="B733" s="1">
        <f ca="1">IFERROR(__xludf.DUMMYFUNCTION("""COMPUTED_VALUE"""),21.2)</f>
        <v>21.2</v>
      </c>
      <c r="C733" s="1">
        <f ca="1">IFERROR(__xludf.DUMMYFUNCTION("""COMPUTED_VALUE"""),21.5)</f>
        <v>21.5</v>
      </c>
      <c r="D733" s="1">
        <f ca="1">IFERROR(__xludf.DUMMYFUNCTION("""COMPUTED_VALUE"""),20.59)</f>
        <v>20.59</v>
      </c>
      <c r="E733" s="1">
        <f ca="1">IFERROR(__xludf.DUMMYFUNCTION("""COMPUTED_VALUE"""),21.28)</f>
        <v>21.28</v>
      </c>
      <c r="F733" s="1">
        <f ca="1">IFERROR(__xludf.DUMMYFUNCTION("""COMPUTED_VALUE"""),13079288)</f>
        <v>13079288</v>
      </c>
      <c r="G733" s="5">
        <f t="shared" ca="1" si="33"/>
        <v>-2.3026315789473777E-2</v>
      </c>
      <c r="H733" s="14">
        <f t="shared" si="34"/>
        <v>2018</v>
      </c>
      <c r="I733" s="5">
        <f t="shared" ca="1" si="35"/>
        <v>3.7735849056604646E-3</v>
      </c>
      <c r="J733" s="16"/>
    </row>
    <row r="734" spans="1:10" x14ac:dyDescent="0.2">
      <c r="A734" s="3">
        <v>43340</v>
      </c>
      <c r="B734" s="1">
        <f ca="1">IFERROR(__xludf.DUMMYFUNCTION("""COMPUTED_VALUE"""),21.23)</f>
        <v>21.23</v>
      </c>
      <c r="C734" s="1">
        <f ca="1">IFERROR(__xludf.DUMMYFUNCTION("""COMPUTED_VALUE"""),21.26)</f>
        <v>21.26</v>
      </c>
      <c r="D734" s="1">
        <f ca="1">IFERROR(__xludf.DUMMYFUNCTION("""COMPUTED_VALUE"""),20.75)</f>
        <v>20.75</v>
      </c>
      <c r="E734" s="1">
        <f ca="1">IFERROR(__xludf.DUMMYFUNCTION("""COMPUTED_VALUE"""),20.79)</f>
        <v>20.79</v>
      </c>
      <c r="F734" s="1">
        <f ca="1">IFERROR(__xludf.DUMMYFUNCTION("""COMPUTED_VALUE"""),7649091)</f>
        <v>7649091</v>
      </c>
      <c r="G734" s="5">
        <f t="shared" ca="1" si="33"/>
        <v>-2.2126022126022167E-2</v>
      </c>
      <c r="H734" s="14">
        <f t="shared" si="34"/>
        <v>2018</v>
      </c>
      <c r="I734" s="5">
        <f t="shared" ca="1" si="35"/>
        <v>-2.0725388601036329E-2</v>
      </c>
      <c r="J734" s="16"/>
    </row>
    <row r="735" spans="1:10" x14ac:dyDescent="0.2">
      <c r="A735" s="3">
        <v>43341</v>
      </c>
      <c r="B735" s="1">
        <f ca="1">IFERROR(__xludf.DUMMYFUNCTION("""COMPUTED_VALUE"""),20.68)</f>
        <v>20.68</v>
      </c>
      <c r="C735" s="1">
        <f ca="1">IFERROR(__xludf.DUMMYFUNCTION("""COMPUTED_VALUE"""),20.79)</f>
        <v>20.79</v>
      </c>
      <c r="D735" s="1">
        <f ca="1">IFERROR(__xludf.DUMMYFUNCTION("""COMPUTED_VALUE"""),20.25)</f>
        <v>20.25</v>
      </c>
      <c r="E735" s="1">
        <f ca="1">IFERROR(__xludf.DUMMYFUNCTION("""COMPUTED_VALUE"""),20.33)</f>
        <v>20.329999999999998</v>
      </c>
      <c r="F735" s="1">
        <f ca="1">IFERROR(__xludf.DUMMYFUNCTION("""COMPUTED_VALUE"""),7447392)</f>
        <v>7447392</v>
      </c>
      <c r="G735" s="5">
        <f t="shared" ca="1" si="33"/>
        <v>-5.9026069847514734E-3</v>
      </c>
      <c r="H735" s="14">
        <f t="shared" si="34"/>
        <v>2018</v>
      </c>
      <c r="I735" s="5">
        <f t="shared" ca="1" si="35"/>
        <v>-1.6924564796905291E-2</v>
      </c>
      <c r="J735" s="16"/>
    </row>
    <row r="736" spans="1:10" x14ac:dyDescent="0.2">
      <c r="A736" s="3">
        <v>43342</v>
      </c>
      <c r="B736" s="1">
        <f ca="1">IFERROR(__xludf.DUMMYFUNCTION("""COMPUTED_VALUE"""),20.15)</f>
        <v>20.149999999999999</v>
      </c>
      <c r="C736" s="1">
        <f ca="1">IFERROR(__xludf.DUMMYFUNCTION("""COMPUTED_VALUE"""),20.31)</f>
        <v>20.309999999999999</v>
      </c>
      <c r="D736" s="1">
        <f ca="1">IFERROR(__xludf.DUMMYFUNCTION("""COMPUTED_VALUE"""),19.85)</f>
        <v>19.850000000000001</v>
      </c>
      <c r="E736" s="1">
        <f ca="1">IFERROR(__xludf.DUMMYFUNCTION("""COMPUTED_VALUE"""),20.21)</f>
        <v>20.21</v>
      </c>
      <c r="F736" s="1">
        <f ca="1">IFERROR(__xludf.DUMMYFUNCTION("""COMPUTED_VALUE"""),7216706)</f>
        <v>7216706</v>
      </c>
      <c r="G736" s="5">
        <f t="shared" ca="1" si="33"/>
        <v>-4.9480455220188724E-3</v>
      </c>
      <c r="H736" s="14">
        <f t="shared" si="34"/>
        <v>2018</v>
      </c>
      <c r="I736" s="5">
        <f t="shared" ca="1" si="35"/>
        <v>2.9776674937966392E-3</v>
      </c>
      <c r="J736" s="16"/>
    </row>
    <row r="737" spans="1:10" x14ac:dyDescent="0.2">
      <c r="A737" s="3">
        <v>43343</v>
      </c>
      <c r="B737" s="1">
        <f ca="1">IFERROR(__xludf.DUMMYFUNCTION("""COMPUTED_VALUE"""),20.13)</f>
        <v>20.13</v>
      </c>
      <c r="C737" s="1">
        <f ca="1">IFERROR(__xludf.DUMMYFUNCTION("""COMPUTED_VALUE"""),20.35)</f>
        <v>20.350000000000001</v>
      </c>
      <c r="D737" s="1">
        <f ca="1">IFERROR(__xludf.DUMMYFUNCTION("""COMPUTED_VALUE"""),19.91)</f>
        <v>19.91</v>
      </c>
      <c r="E737" s="1">
        <f ca="1">IFERROR(__xludf.DUMMYFUNCTION("""COMPUTED_VALUE"""),20.11)</f>
        <v>20.11</v>
      </c>
      <c r="F737" s="1">
        <f ca="1">IFERROR(__xludf.DUMMYFUNCTION("""COMPUTED_VALUE"""),5375104)</f>
        <v>5375104</v>
      </c>
      <c r="G737" s="5">
        <f t="shared" ca="1" si="33"/>
        <v>-4.2267528592739828E-2</v>
      </c>
      <c r="H737" s="14">
        <f t="shared" si="34"/>
        <v>2018</v>
      </c>
      <c r="I737" s="5">
        <f t="shared" ca="1" si="35"/>
        <v>-9.9354197714851349E-4</v>
      </c>
      <c r="J737" s="16"/>
    </row>
    <row r="738" spans="1:10" x14ac:dyDescent="0.2">
      <c r="A738" s="3">
        <v>43347</v>
      </c>
      <c r="B738" s="1">
        <f ca="1">IFERROR(__xludf.DUMMYFUNCTION("""COMPUTED_VALUE"""),19.8)</f>
        <v>19.8</v>
      </c>
      <c r="C738" s="1">
        <f ca="1">IFERROR(__xludf.DUMMYFUNCTION("""COMPUTED_VALUE"""),19.88)</f>
        <v>19.88</v>
      </c>
      <c r="D738" s="1">
        <f ca="1">IFERROR(__xludf.DUMMYFUNCTION("""COMPUTED_VALUE"""),19.2)</f>
        <v>19.2</v>
      </c>
      <c r="E738" s="1">
        <f ca="1">IFERROR(__xludf.DUMMYFUNCTION("""COMPUTED_VALUE"""),19.26)</f>
        <v>19.260000000000002</v>
      </c>
      <c r="F738" s="1">
        <f ca="1">IFERROR(__xludf.DUMMYFUNCTION("""COMPUTED_VALUE"""),8350469)</f>
        <v>8350469</v>
      </c>
      <c r="G738" s="5">
        <f t="shared" ca="1" si="33"/>
        <v>-2.8037383177570232E-2</v>
      </c>
      <c r="H738" s="14">
        <f t="shared" si="34"/>
        <v>2018</v>
      </c>
      <c r="I738" s="5">
        <f t="shared" ca="1" si="35"/>
        <v>-2.727272727272723E-2</v>
      </c>
      <c r="J738" s="16"/>
    </row>
    <row r="739" spans="1:10" x14ac:dyDescent="0.2">
      <c r="A739" s="3">
        <v>43348</v>
      </c>
      <c r="B739" s="1">
        <f ca="1">IFERROR(__xludf.DUMMYFUNCTION("""COMPUTED_VALUE"""),19)</f>
        <v>19</v>
      </c>
      <c r="C739" s="1">
        <f ca="1">IFERROR(__xludf.DUMMYFUNCTION("""COMPUTED_VALUE"""),19.12)</f>
        <v>19.12</v>
      </c>
      <c r="D739" s="1">
        <f ca="1">IFERROR(__xludf.DUMMYFUNCTION("""COMPUTED_VALUE"""),18.48)</f>
        <v>18.48</v>
      </c>
      <c r="E739" s="1">
        <f ca="1">IFERROR(__xludf.DUMMYFUNCTION("""COMPUTED_VALUE"""),18.72)</f>
        <v>18.72</v>
      </c>
      <c r="F739" s="1">
        <f ca="1">IFERROR(__xludf.DUMMYFUNCTION("""COMPUTED_VALUE"""),7720821)</f>
        <v>7720821</v>
      </c>
      <c r="G739" s="5">
        <f t="shared" ca="1" si="33"/>
        <v>5.3418803418811773E-4</v>
      </c>
      <c r="H739" s="14">
        <f t="shared" si="34"/>
        <v>2018</v>
      </c>
      <c r="I739" s="5">
        <f t="shared" ca="1" si="35"/>
        <v>-1.4736842105263218E-2</v>
      </c>
      <c r="J739" s="16"/>
    </row>
    <row r="740" spans="1:10" x14ac:dyDescent="0.2">
      <c r="A740" s="3">
        <v>43349</v>
      </c>
      <c r="B740" s="1">
        <f ca="1">IFERROR(__xludf.DUMMYFUNCTION("""COMPUTED_VALUE"""),18.99)</f>
        <v>18.989999999999998</v>
      </c>
      <c r="C740" s="1">
        <f ca="1">IFERROR(__xludf.DUMMYFUNCTION("""COMPUTED_VALUE"""),19.41)</f>
        <v>19.41</v>
      </c>
      <c r="D740" s="1">
        <f ca="1">IFERROR(__xludf.DUMMYFUNCTION("""COMPUTED_VALUE"""),18.59)</f>
        <v>18.59</v>
      </c>
      <c r="E740" s="1">
        <f ca="1">IFERROR(__xludf.DUMMYFUNCTION("""COMPUTED_VALUE"""),18.73)</f>
        <v>18.73</v>
      </c>
      <c r="F740" s="1">
        <f ca="1">IFERROR(__xludf.DUMMYFUNCTION("""COMPUTED_VALUE"""),7480760)</f>
        <v>7480760</v>
      </c>
      <c r="G740" s="5">
        <f t="shared" ca="1" si="33"/>
        <v>-6.300053390282967E-2</v>
      </c>
      <c r="H740" s="14">
        <f t="shared" si="34"/>
        <v>2018</v>
      </c>
      <c r="I740" s="5">
        <f t="shared" ca="1" si="35"/>
        <v>-1.3691416535018328E-2</v>
      </c>
      <c r="J740" s="16"/>
    </row>
    <row r="741" spans="1:10" x14ac:dyDescent="0.2">
      <c r="A741" s="3">
        <v>43350</v>
      </c>
      <c r="B741" s="1">
        <f ca="1">IFERROR(__xludf.DUMMYFUNCTION("""COMPUTED_VALUE"""),17.34)</f>
        <v>17.34</v>
      </c>
      <c r="C741" s="1">
        <f ca="1">IFERROR(__xludf.DUMMYFUNCTION("""COMPUTED_VALUE"""),17.89)</f>
        <v>17.89</v>
      </c>
      <c r="D741" s="1">
        <f ca="1">IFERROR(__xludf.DUMMYFUNCTION("""COMPUTED_VALUE"""),16.82)</f>
        <v>16.82</v>
      </c>
      <c r="E741" s="1">
        <f ca="1">IFERROR(__xludf.DUMMYFUNCTION("""COMPUTED_VALUE"""),17.55)</f>
        <v>17.55</v>
      </c>
      <c r="F741" s="1">
        <f ca="1">IFERROR(__xludf.DUMMYFUNCTION("""COMPUTED_VALUE"""),22491931)</f>
        <v>22491931</v>
      </c>
      <c r="G741" s="5">
        <f t="shared" ca="1" si="33"/>
        <v>8.4330484330484345E-2</v>
      </c>
      <c r="H741" s="14">
        <f t="shared" si="34"/>
        <v>2018</v>
      </c>
      <c r="I741" s="5">
        <f t="shared" ca="1" si="35"/>
        <v>1.2110726643598664E-2</v>
      </c>
      <c r="J741" s="16"/>
    </row>
    <row r="742" spans="1:10" x14ac:dyDescent="0.2">
      <c r="A742" s="3">
        <v>43353</v>
      </c>
      <c r="B742" s="1">
        <f ca="1">IFERROR(__xludf.DUMMYFUNCTION("""COMPUTED_VALUE"""),18.22)</f>
        <v>18.22</v>
      </c>
      <c r="C742" s="1">
        <f ca="1">IFERROR(__xludf.DUMMYFUNCTION("""COMPUTED_VALUE"""),19.07)</f>
        <v>19.07</v>
      </c>
      <c r="D742" s="1">
        <f ca="1">IFERROR(__xludf.DUMMYFUNCTION("""COMPUTED_VALUE"""),18.07)</f>
        <v>18.07</v>
      </c>
      <c r="E742" s="1">
        <f ca="1">IFERROR(__xludf.DUMMYFUNCTION("""COMPUTED_VALUE"""),19.03)</f>
        <v>19.03</v>
      </c>
      <c r="F742" s="1">
        <f ca="1">IFERROR(__xludf.DUMMYFUNCTION("""COMPUTED_VALUE"""),14283528)</f>
        <v>14283528</v>
      </c>
      <c r="G742" s="5">
        <f t="shared" ca="1" si="33"/>
        <v>-2.1019442984761015E-2</v>
      </c>
      <c r="H742" s="14">
        <f t="shared" si="34"/>
        <v>2018</v>
      </c>
      <c r="I742" s="5">
        <f t="shared" ca="1" si="35"/>
        <v>4.4456641053787174E-2</v>
      </c>
      <c r="J742" s="16"/>
    </row>
    <row r="743" spans="1:10" x14ac:dyDescent="0.2">
      <c r="A743" s="3">
        <v>43354</v>
      </c>
      <c r="B743" s="1">
        <f ca="1">IFERROR(__xludf.DUMMYFUNCTION("""COMPUTED_VALUE"""),18.63)</f>
        <v>18.63</v>
      </c>
      <c r="C743" s="1">
        <f ca="1">IFERROR(__xludf.DUMMYFUNCTION("""COMPUTED_VALUE"""),18.8)</f>
        <v>18.8</v>
      </c>
      <c r="D743" s="1">
        <f ca="1">IFERROR(__xludf.DUMMYFUNCTION("""COMPUTED_VALUE"""),18.24)</f>
        <v>18.239999999999998</v>
      </c>
      <c r="E743" s="1">
        <f ca="1">IFERROR(__xludf.DUMMYFUNCTION("""COMPUTED_VALUE"""),18.63)</f>
        <v>18.63</v>
      </c>
      <c r="F743" s="1">
        <f ca="1">IFERROR(__xludf.DUMMYFUNCTION("""COMPUTED_VALUE"""),9169989)</f>
        <v>9169989</v>
      </c>
      <c r="G743" s="5">
        <f t="shared" ca="1" si="33"/>
        <v>3.9720880300590553E-2</v>
      </c>
      <c r="H743" s="14">
        <f t="shared" si="34"/>
        <v>2018</v>
      </c>
      <c r="I743" s="5">
        <f t="shared" ca="1" si="35"/>
        <v>0</v>
      </c>
      <c r="J743" s="16"/>
    </row>
    <row r="744" spans="1:10" x14ac:dyDescent="0.2">
      <c r="A744" s="3">
        <v>43355</v>
      </c>
      <c r="B744" s="1">
        <f ca="1">IFERROR(__xludf.DUMMYFUNCTION("""COMPUTED_VALUE"""),18.76)</f>
        <v>18.760000000000002</v>
      </c>
      <c r="C744" s="1">
        <f ca="1">IFERROR(__xludf.DUMMYFUNCTION("""COMPUTED_VALUE"""),19.5)</f>
        <v>19.5</v>
      </c>
      <c r="D744" s="1">
        <f ca="1">IFERROR(__xludf.DUMMYFUNCTION("""COMPUTED_VALUE"""),18.58)</f>
        <v>18.579999999999998</v>
      </c>
      <c r="E744" s="1">
        <f ca="1">IFERROR(__xludf.DUMMYFUNCTION("""COMPUTED_VALUE"""),19.37)</f>
        <v>19.37</v>
      </c>
      <c r="F744" s="1">
        <f ca="1">IFERROR(__xludf.DUMMYFUNCTION("""COMPUTED_VALUE"""),10015427)</f>
        <v>10015427</v>
      </c>
      <c r="G744" s="5">
        <f t="shared" ca="1" si="33"/>
        <v>-3.6138358286009436E-3</v>
      </c>
      <c r="H744" s="14">
        <f t="shared" si="34"/>
        <v>2018</v>
      </c>
      <c r="I744" s="5">
        <f t="shared" ca="1" si="35"/>
        <v>3.2515991471215318E-2</v>
      </c>
      <c r="J744" s="16"/>
    </row>
    <row r="745" spans="1:10" x14ac:dyDescent="0.2">
      <c r="A745" s="3">
        <v>43356</v>
      </c>
      <c r="B745" s="1">
        <f ca="1">IFERROR(__xludf.DUMMYFUNCTION("""COMPUTED_VALUE"""),19.2)</f>
        <v>19.2</v>
      </c>
      <c r="C745" s="1">
        <f ca="1">IFERROR(__xludf.DUMMYFUNCTION("""COMPUTED_VALUE"""),19.67)</f>
        <v>19.670000000000002</v>
      </c>
      <c r="D745" s="1">
        <f ca="1">IFERROR(__xludf.DUMMYFUNCTION("""COMPUTED_VALUE"""),19.01)</f>
        <v>19.010000000000002</v>
      </c>
      <c r="E745" s="1">
        <f ca="1">IFERROR(__xludf.DUMMYFUNCTION("""COMPUTED_VALUE"""),19.3)</f>
        <v>19.3</v>
      </c>
      <c r="F745" s="1">
        <f ca="1">IFERROR(__xludf.DUMMYFUNCTION("""COMPUTED_VALUE"""),6340336)</f>
        <v>6340336</v>
      </c>
      <c r="G745" s="5">
        <f t="shared" ca="1" si="33"/>
        <v>1.9689119170984405E-2</v>
      </c>
      <c r="H745" s="14">
        <f t="shared" si="34"/>
        <v>2018</v>
      </c>
      <c r="I745" s="5">
        <f t="shared" ca="1" si="35"/>
        <v>5.2083333333334076E-3</v>
      </c>
      <c r="J745" s="16"/>
    </row>
    <row r="746" spans="1:10" x14ac:dyDescent="0.2">
      <c r="A746" s="3">
        <v>43357</v>
      </c>
      <c r="B746" s="1">
        <f ca="1">IFERROR(__xludf.DUMMYFUNCTION("""COMPUTED_VALUE"""),19.25)</f>
        <v>19.25</v>
      </c>
      <c r="C746" s="1">
        <f ca="1">IFERROR(__xludf.DUMMYFUNCTION("""COMPUTED_VALUE"""),19.82)</f>
        <v>19.82</v>
      </c>
      <c r="D746" s="1">
        <f ca="1">IFERROR(__xludf.DUMMYFUNCTION("""COMPUTED_VALUE"""),19.1)</f>
        <v>19.100000000000001</v>
      </c>
      <c r="E746" s="1">
        <f ca="1">IFERROR(__xludf.DUMMYFUNCTION("""COMPUTED_VALUE"""),19.68)</f>
        <v>19.68</v>
      </c>
      <c r="F746" s="1">
        <f ca="1">IFERROR(__xludf.DUMMYFUNCTION("""COMPUTED_VALUE"""),6765612)</f>
        <v>6765612</v>
      </c>
      <c r="G746" s="5">
        <f t="shared" ca="1" si="33"/>
        <v>-1.0162601626016044E-3</v>
      </c>
      <c r="H746" s="14">
        <f t="shared" si="34"/>
        <v>2018</v>
      </c>
      <c r="I746" s="5">
        <f t="shared" ca="1" si="35"/>
        <v>2.2337662337662323E-2</v>
      </c>
      <c r="J746" s="16"/>
    </row>
    <row r="747" spans="1:10" x14ac:dyDescent="0.2">
      <c r="A747" s="3">
        <v>43360</v>
      </c>
      <c r="B747" s="1">
        <f ca="1">IFERROR(__xludf.DUMMYFUNCTION("""COMPUTED_VALUE"""),19.34)</f>
        <v>19.34</v>
      </c>
      <c r="C747" s="1">
        <f ca="1">IFERROR(__xludf.DUMMYFUNCTION("""COMPUTED_VALUE"""),20.06)</f>
        <v>20.059999999999999</v>
      </c>
      <c r="D747" s="1">
        <f ca="1">IFERROR(__xludf.DUMMYFUNCTION("""COMPUTED_VALUE"""),19.21)</f>
        <v>19.21</v>
      </c>
      <c r="E747" s="1">
        <f ca="1">IFERROR(__xludf.DUMMYFUNCTION("""COMPUTED_VALUE"""),19.66)</f>
        <v>19.66</v>
      </c>
      <c r="F747" s="1">
        <f ca="1">IFERROR(__xludf.DUMMYFUNCTION("""COMPUTED_VALUE"""),6887577)</f>
        <v>6887577</v>
      </c>
      <c r="G747" s="5">
        <f t="shared" ca="1" si="33"/>
        <v>-3.3570701932858604E-2</v>
      </c>
      <c r="H747" s="14">
        <f t="shared" si="34"/>
        <v>2018</v>
      </c>
      <c r="I747" s="5">
        <f t="shared" ca="1" si="35"/>
        <v>1.6546018614270956E-2</v>
      </c>
      <c r="J747" s="16"/>
    </row>
    <row r="748" spans="1:10" x14ac:dyDescent="0.2">
      <c r="A748" s="3">
        <v>43361</v>
      </c>
      <c r="B748" s="1">
        <f ca="1">IFERROR(__xludf.DUMMYFUNCTION("""COMPUTED_VALUE"""),19.78)</f>
        <v>19.78</v>
      </c>
      <c r="C748" s="1">
        <f ca="1">IFERROR(__xludf.DUMMYFUNCTION("""COMPUTED_VALUE"""),20.18)</f>
        <v>20.18</v>
      </c>
      <c r="D748" s="1">
        <f ca="1">IFERROR(__xludf.DUMMYFUNCTION("""COMPUTED_VALUE"""),18.37)</f>
        <v>18.37</v>
      </c>
      <c r="E748" s="1">
        <f ca="1">IFERROR(__xludf.DUMMYFUNCTION("""COMPUTED_VALUE"""),19)</f>
        <v>19</v>
      </c>
      <c r="F748" s="1">
        <f ca="1">IFERROR(__xludf.DUMMYFUNCTION("""COMPUTED_VALUE"""),16547522)</f>
        <v>16547522</v>
      </c>
      <c r="G748" s="5">
        <f t="shared" ca="1" si="33"/>
        <v>4.8947368421052614E-2</v>
      </c>
      <c r="H748" s="14">
        <f t="shared" si="34"/>
        <v>2018</v>
      </c>
      <c r="I748" s="5">
        <f t="shared" ca="1" si="35"/>
        <v>-3.9433771486349904E-2</v>
      </c>
      <c r="J748" s="16"/>
    </row>
    <row r="749" spans="1:10" x14ac:dyDescent="0.2">
      <c r="A749" s="3">
        <v>43362</v>
      </c>
      <c r="B749" s="1">
        <f ca="1">IFERROR(__xludf.DUMMYFUNCTION("""COMPUTED_VALUE"""),18.7)</f>
        <v>18.7</v>
      </c>
      <c r="C749" s="1">
        <f ca="1">IFERROR(__xludf.DUMMYFUNCTION("""COMPUTED_VALUE"""),20)</f>
        <v>20</v>
      </c>
      <c r="D749" s="1">
        <f ca="1">IFERROR(__xludf.DUMMYFUNCTION("""COMPUTED_VALUE"""),18.7)</f>
        <v>18.7</v>
      </c>
      <c r="E749" s="1">
        <f ca="1">IFERROR(__xludf.DUMMYFUNCTION("""COMPUTED_VALUE"""),19.93)</f>
        <v>19.93</v>
      </c>
      <c r="F749" s="1">
        <f ca="1">IFERROR(__xludf.DUMMYFUNCTION("""COMPUTED_VALUE"""),8294917)</f>
        <v>8294917</v>
      </c>
      <c r="G749" s="5">
        <f t="shared" ca="1" si="33"/>
        <v>-2.0070245860511365E-3</v>
      </c>
      <c r="H749" s="14">
        <f t="shared" si="34"/>
        <v>2018</v>
      </c>
      <c r="I749" s="5">
        <f t="shared" ca="1" si="35"/>
        <v>6.5775401069518735E-2</v>
      </c>
      <c r="J749" s="16"/>
    </row>
    <row r="750" spans="1:10" x14ac:dyDescent="0.2">
      <c r="A750" s="3">
        <v>43363</v>
      </c>
      <c r="B750" s="1">
        <f ca="1">IFERROR(__xludf.DUMMYFUNCTION("""COMPUTED_VALUE"""),20.24)</f>
        <v>20.239999999999998</v>
      </c>
      <c r="C750" s="1">
        <f ca="1">IFERROR(__xludf.DUMMYFUNCTION("""COMPUTED_VALUE"""),20.4)</f>
        <v>20.399999999999999</v>
      </c>
      <c r="D750" s="1">
        <f ca="1">IFERROR(__xludf.DUMMYFUNCTION("""COMPUTED_VALUE"""),19.56)</f>
        <v>19.559999999999999</v>
      </c>
      <c r="E750" s="1">
        <f ca="1">IFERROR(__xludf.DUMMYFUNCTION("""COMPUTED_VALUE"""),19.89)</f>
        <v>19.89</v>
      </c>
      <c r="F750" s="1">
        <f ca="1">IFERROR(__xludf.DUMMYFUNCTION("""COMPUTED_VALUE"""),7349422)</f>
        <v>7349422</v>
      </c>
      <c r="G750" s="5">
        <f t="shared" ca="1" si="33"/>
        <v>2.5138260432378437E-3</v>
      </c>
      <c r="H750" s="14">
        <f t="shared" si="34"/>
        <v>2018</v>
      </c>
      <c r="I750" s="5">
        <f t="shared" ca="1" si="35"/>
        <v>-1.7292490118576972E-2</v>
      </c>
      <c r="J750" s="16"/>
    </row>
    <row r="751" spans="1:10" x14ac:dyDescent="0.2">
      <c r="A751" s="3">
        <v>43364</v>
      </c>
      <c r="B751" s="1">
        <f ca="1">IFERROR(__xludf.DUMMYFUNCTION("""COMPUTED_VALUE"""),19.85)</f>
        <v>19.850000000000001</v>
      </c>
      <c r="C751" s="1">
        <f ca="1">IFERROR(__xludf.DUMMYFUNCTION("""COMPUTED_VALUE"""),20.04)</f>
        <v>20.04</v>
      </c>
      <c r="D751" s="1">
        <f ca="1">IFERROR(__xludf.DUMMYFUNCTION("""COMPUTED_VALUE"""),19.69)</f>
        <v>19.690000000000001</v>
      </c>
      <c r="E751" s="1">
        <f ca="1">IFERROR(__xludf.DUMMYFUNCTION("""COMPUTED_VALUE"""),19.94)</f>
        <v>19.940000000000001</v>
      </c>
      <c r="F751" s="1">
        <f ca="1">IFERROR(__xludf.DUMMYFUNCTION("""COMPUTED_VALUE"""),5050478)</f>
        <v>5050478</v>
      </c>
      <c r="G751" s="5">
        <f t="shared" ca="1" si="33"/>
        <v>2.0060180541624445E-3</v>
      </c>
      <c r="H751" s="14">
        <f t="shared" si="34"/>
        <v>2018</v>
      </c>
      <c r="I751" s="5">
        <f t="shared" ca="1" si="35"/>
        <v>4.5340050377833683E-3</v>
      </c>
      <c r="J751" s="16"/>
    </row>
    <row r="752" spans="1:10" x14ac:dyDescent="0.2">
      <c r="A752" s="3">
        <v>43367</v>
      </c>
      <c r="B752" s="1">
        <f ca="1">IFERROR(__xludf.DUMMYFUNCTION("""COMPUTED_VALUE"""),19.9)</f>
        <v>19.899999999999999</v>
      </c>
      <c r="C752" s="1">
        <f ca="1">IFERROR(__xludf.DUMMYFUNCTION("""COMPUTED_VALUE"""),20.2)</f>
        <v>20.2</v>
      </c>
      <c r="D752" s="1">
        <f ca="1">IFERROR(__xludf.DUMMYFUNCTION("""COMPUTED_VALUE"""),19.57)</f>
        <v>19.57</v>
      </c>
      <c r="E752" s="1">
        <f ca="1">IFERROR(__xludf.DUMMYFUNCTION("""COMPUTED_VALUE"""),19.98)</f>
        <v>19.98</v>
      </c>
      <c r="F752" s="1">
        <f ca="1">IFERROR(__xludf.DUMMYFUNCTION("""COMPUTED_VALUE"""),4842961)</f>
        <v>4842961</v>
      </c>
      <c r="G752" s="5">
        <f t="shared" ca="1" si="33"/>
        <v>4.5045045045044975E-3</v>
      </c>
      <c r="H752" s="14">
        <f t="shared" si="34"/>
        <v>2018</v>
      </c>
      <c r="I752" s="5">
        <f t="shared" ca="1" si="35"/>
        <v>4.020100502512656E-3</v>
      </c>
      <c r="J752" s="16"/>
    </row>
    <row r="753" spans="1:10" x14ac:dyDescent="0.2">
      <c r="A753" s="3">
        <v>43368</v>
      </c>
      <c r="B753" s="1">
        <f ca="1">IFERROR(__xludf.DUMMYFUNCTION("""COMPUTED_VALUE"""),20)</f>
        <v>20</v>
      </c>
      <c r="C753" s="1">
        <f ca="1">IFERROR(__xludf.DUMMYFUNCTION("""COMPUTED_VALUE"""),20.31)</f>
        <v>20.309999999999999</v>
      </c>
      <c r="D753" s="1">
        <f ca="1">IFERROR(__xludf.DUMMYFUNCTION("""COMPUTED_VALUE"""),19.77)</f>
        <v>19.77</v>
      </c>
      <c r="E753" s="1">
        <f ca="1">IFERROR(__xludf.DUMMYFUNCTION("""COMPUTED_VALUE"""),20.07)</f>
        <v>20.07</v>
      </c>
      <c r="F753" s="1">
        <f ca="1">IFERROR(__xludf.DUMMYFUNCTION("""COMPUTED_VALUE"""),4481729)</f>
        <v>4481729</v>
      </c>
      <c r="G753" s="5">
        <f t="shared" ca="1" si="33"/>
        <v>2.8400597907324378E-2</v>
      </c>
      <c r="H753" s="14">
        <f t="shared" si="34"/>
        <v>2018</v>
      </c>
      <c r="I753" s="5">
        <f t="shared" ca="1" si="35"/>
        <v>3.5000000000000144E-3</v>
      </c>
      <c r="J753" s="16"/>
    </row>
    <row r="754" spans="1:10" x14ac:dyDescent="0.2">
      <c r="A754" s="3">
        <v>43369</v>
      </c>
      <c r="B754" s="1">
        <f ca="1">IFERROR(__xludf.DUMMYFUNCTION("""COMPUTED_VALUE"""),20.13)</f>
        <v>20.13</v>
      </c>
      <c r="C754" s="1">
        <f ca="1">IFERROR(__xludf.DUMMYFUNCTION("""COMPUTED_VALUE"""),20.93)</f>
        <v>20.93</v>
      </c>
      <c r="D754" s="1">
        <f ca="1">IFERROR(__xludf.DUMMYFUNCTION("""COMPUTED_VALUE"""),20.07)</f>
        <v>20.07</v>
      </c>
      <c r="E754" s="1">
        <f ca="1">IFERROR(__xludf.DUMMYFUNCTION("""COMPUTED_VALUE"""),20.64)</f>
        <v>20.64</v>
      </c>
      <c r="F754" s="1">
        <f ca="1">IFERROR(__xludf.DUMMYFUNCTION("""COMPUTED_VALUE"""),7843216)</f>
        <v>7843216</v>
      </c>
      <c r="G754" s="5">
        <f t="shared" ca="1" si="33"/>
        <v>-6.7829457364341362E-3</v>
      </c>
      <c r="H754" s="14">
        <f t="shared" si="34"/>
        <v>2018</v>
      </c>
      <c r="I754" s="5">
        <f t="shared" ca="1" si="35"/>
        <v>2.5335320417287709E-2</v>
      </c>
      <c r="J754" s="16"/>
    </row>
    <row r="755" spans="1:10" x14ac:dyDescent="0.2">
      <c r="A755" s="3">
        <v>43370</v>
      </c>
      <c r="B755" s="1">
        <f ca="1">IFERROR(__xludf.DUMMYFUNCTION("""COMPUTED_VALUE"""),20.86)</f>
        <v>20.86</v>
      </c>
      <c r="C755" s="1">
        <f ca="1">IFERROR(__xludf.DUMMYFUNCTION("""COMPUTED_VALUE"""),21)</f>
        <v>21</v>
      </c>
      <c r="D755" s="1">
        <f ca="1">IFERROR(__xludf.DUMMYFUNCTION("""COMPUTED_VALUE"""),20.46)</f>
        <v>20.46</v>
      </c>
      <c r="E755" s="1">
        <f ca="1">IFERROR(__xludf.DUMMYFUNCTION("""COMPUTED_VALUE"""),20.5)</f>
        <v>20.5</v>
      </c>
      <c r="F755" s="1">
        <f ca="1">IFERROR(__xludf.DUMMYFUNCTION("""COMPUTED_VALUE"""),8509084)</f>
        <v>8509084</v>
      </c>
      <c r="G755" s="5">
        <f t="shared" ca="1" si="33"/>
        <v>-0.13902439024390251</v>
      </c>
      <c r="H755" s="14">
        <f t="shared" si="34"/>
        <v>2018</v>
      </c>
      <c r="I755" s="5">
        <f t="shared" ca="1" si="35"/>
        <v>-1.7257909875359512E-2</v>
      </c>
      <c r="J755" s="16"/>
    </row>
    <row r="756" spans="1:10" x14ac:dyDescent="0.2">
      <c r="A756" s="3">
        <v>43371</v>
      </c>
      <c r="B756" s="1">
        <f ca="1">IFERROR(__xludf.DUMMYFUNCTION("""COMPUTED_VALUE"""),18.02)</f>
        <v>18.02</v>
      </c>
      <c r="C756" s="1">
        <f ca="1">IFERROR(__xludf.DUMMYFUNCTION("""COMPUTED_VALUE"""),18.53)</f>
        <v>18.53</v>
      </c>
      <c r="D756" s="1">
        <f ca="1">IFERROR(__xludf.DUMMYFUNCTION("""COMPUTED_VALUE"""),17.37)</f>
        <v>17.37</v>
      </c>
      <c r="E756" s="1">
        <f ca="1">IFERROR(__xludf.DUMMYFUNCTION("""COMPUTED_VALUE"""),17.65)</f>
        <v>17.649999999999999</v>
      </c>
      <c r="F756" s="1">
        <f ca="1">IFERROR(__xludf.DUMMYFUNCTION("""COMPUTED_VALUE"""),33649694)</f>
        <v>33649694</v>
      </c>
      <c r="G756" s="5">
        <f t="shared" ca="1" si="33"/>
        <v>0.17337110481586415</v>
      </c>
      <c r="H756" s="14">
        <f t="shared" si="34"/>
        <v>2018</v>
      </c>
      <c r="I756" s="5">
        <f t="shared" ca="1" si="35"/>
        <v>-2.0532741398446228E-2</v>
      </c>
      <c r="J756" s="16"/>
    </row>
    <row r="757" spans="1:10" x14ac:dyDescent="0.2">
      <c r="A757" s="3">
        <v>43374</v>
      </c>
      <c r="B757" s="1">
        <f ca="1">IFERROR(__xludf.DUMMYFUNCTION("""COMPUTED_VALUE"""),20.38)</f>
        <v>20.38</v>
      </c>
      <c r="C757" s="1">
        <f ca="1">IFERROR(__xludf.DUMMYFUNCTION("""COMPUTED_VALUE"""),20.76)</f>
        <v>20.76</v>
      </c>
      <c r="D757" s="1">
        <f ca="1">IFERROR(__xludf.DUMMYFUNCTION("""COMPUTED_VALUE"""),20.07)</f>
        <v>20.07</v>
      </c>
      <c r="E757" s="1">
        <f ca="1">IFERROR(__xludf.DUMMYFUNCTION("""COMPUTED_VALUE"""),20.71)</f>
        <v>20.71</v>
      </c>
      <c r="F757" s="1">
        <f ca="1">IFERROR(__xludf.DUMMYFUNCTION("""COMPUTED_VALUE"""),21777597)</f>
        <v>21777597</v>
      </c>
      <c r="G757" s="5">
        <f t="shared" ca="1" si="33"/>
        <v>-3.0902945436986989E-2</v>
      </c>
      <c r="H757" s="14">
        <f t="shared" si="34"/>
        <v>2018</v>
      </c>
      <c r="I757" s="5">
        <f t="shared" ca="1" si="35"/>
        <v>1.619234543670274E-2</v>
      </c>
      <c r="J757" s="16"/>
    </row>
    <row r="758" spans="1:10" x14ac:dyDescent="0.2">
      <c r="A758" s="3">
        <v>43375</v>
      </c>
      <c r="B758" s="1">
        <f ca="1">IFERROR(__xludf.DUMMYFUNCTION("""COMPUTED_VALUE"""),20.93)</f>
        <v>20.93</v>
      </c>
      <c r="C758" s="1">
        <f ca="1">IFERROR(__xludf.DUMMYFUNCTION("""COMPUTED_VALUE"""),21.12)</f>
        <v>21.12</v>
      </c>
      <c r="D758" s="1">
        <f ca="1">IFERROR(__xludf.DUMMYFUNCTION("""COMPUTED_VALUE"""),19.94)</f>
        <v>19.940000000000001</v>
      </c>
      <c r="E758" s="1">
        <f ca="1">IFERROR(__xludf.DUMMYFUNCTION("""COMPUTED_VALUE"""),20.07)</f>
        <v>20.07</v>
      </c>
      <c r="F758" s="1">
        <f ca="1">IFERROR(__xludf.DUMMYFUNCTION("""COMPUTED_VALUE"""),11743511)</f>
        <v>11743511</v>
      </c>
      <c r="G758" s="5">
        <f t="shared" ca="1" si="33"/>
        <v>-2.0926756352765405E-2</v>
      </c>
      <c r="H758" s="14">
        <f t="shared" si="34"/>
        <v>2018</v>
      </c>
      <c r="I758" s="5">
        <f t="shared" ca="1" si="35"/>
        <v>-4.10893454371715E-2</v>
      </c>
      <c r="J758" s="16"/>
    </row>
    <row r="759" spans="1:10" x14ac:dyDescent="0.2">
      <c r="A759" s="3">
        <v>43376</v>
      </c>
      <c r="B759" s="1">
        <f ca="1">IFERROR(__xludf.DUMMYFUNCTION("""COMPUTED_VALUE"""),20.22)</f>
        <v>20.22</v>
      </c>
      <c r="C759" s="1">
        <f ca="1">IFERROR(__xludf.DUMMYFUNCTION("""COMPUTED_VALUE"""),20.31)</f>
        <v>20.309999999999999</v>
      </c>
      <c r="D759" s="1">
        <f ca="1">IFERROR(__xludf.DUMMYFUNCTION("""COMPUTED_VALUE"""),19.44)</f>
        <v>19.440000000000001</v>
      </c>
      <c r="E759" s="1">
        <f ca="1">IFERROR(__xludf.DUMMYFUNCTION("""COMPUTED_VALUE"""),19.65)</f>
        <v>19.649999999999999</v>
      </c>
      <c r="F759" s="1">
        <f ca="1">IFERROR(__xludf.DUMMYFUNCTION("""COMPUTED_VALUE"""),7994988)</f>
        <v>7994988</v>
      </c>
      <c r="G759" s="5">
        <f t="shared" ca="1" si="33"/>
        <v>-4.3765903307888016E-2</v>
      </c>
      <c r="H759" s="14">
        <f t="shared" si="34"/>
        <v>2018</v>
      </c>
      <c r="I759" s="5">
        <f t="shared" ca="1" si="35"/>
        <v>-2.8189910979228502E-2</v>
      </c>
      <c r="J759" s="16"/>
    </row>
    <row r="760" spans="1:10" x14ac:dyDescent="0.2">
      <c r="A760" s="3">
        <v>43377</v>
      </c>
      <c r="B760" s="1">
        <f ca="1">IFERROR(__xludf.DUMMYFUNCTION("""COMPUTED_VALUE"""),19.6)</f>
        <v>19.600000000000001</v>
      </c>
      <c r="C760" s="1">
        <f ca="1">IFERROR(__xludf.DUMMYFUNCTION("""COMPUTED_VALUE"""),19.6)</f>
        <v>19.600000000000001</v>
      </c>
      <c r="D760" s="1">
        <f ca="1">IFERROR(__xludf.DUMMYFUNCTION("""COMPUTED_VALUE"""),18.51)</f>
        <v>18.510000000000002</v>
      </c>
      <c r="E760" s="1">
        <f ca="1">IFERROR(__xludf.DUMMYFUNCTION("""COMPUTED_VALUE"""),18.79)</f>
        <v>18.79</v>
      </c>
      <c r="F760" s="1">
        <f ca="1">IFERROR(__xludf.DUMMYFUNCTION("""COMPUTED_VALUE"""),9814212)</f>
        <v>9814212</v>
      </c>
      <c r="G760" s="5">
        <f t="shared" ca="1" si="33"/>
        <v>-7.0782331027142015E-2</v>
      </c>
      <c r="H760" s="14">
        <f t="shared" si="34"/>
        <v>2018</v>
      </c>
      <c r="I760" s="5">
        <f t="shared" ca="1" si="35"/>
        <v>-4.1326530612245012E-2</v>
      </c>
      <c r="J760" s="16"/>
    </row>
    <row r="761" spans="1:10" x14ac:dyDescent="0.2">
      <c r="A761" s="3">
        <v>43378</v>
      </c>
      <c r="B761" s="1">
        <f ca="1">IFERROR(__xludf.DUMMYFUNCTION("""COMPUTED_VALUE"""),18.31)</f>
        <v>18.309999999999999</v>
      </c>
      <c r="C761" s="1">
        <f ca="1">IFERROR(__xludf.DUMMYFUNCTION("""COMPUTED_VALUE"""),18.33)</f>
        <v>18.329999999999998</v>
      </c>
      <c r="D761" s="1">
        <f ca="1">IFERROR(__xludf.DUMMYFUNCTION("""COMPUTED_VALUE"""),17.33)</f>
        <v>17.329999999999998</v>
      </c>
      <c r="E761" s="1">
        <f ca="1">IFERROR(__xludf.DUMMYFUNCTION("""COMPUTED_VALUE"""),17.46)</f>
        <v>17.46</v>
      </c>
      <c r="F761" s="1">
        <f ca="1">IFERROR(__xludf.DUMMYFUNCTION("""COMPUTED_VALUE"""),17944537)</f>
        <v>17944537</v>
      </c>
      <c r="G761" s="5">
        <f t="shared" ca="1" si="33"/>
        <v>-4.3528064146620936E-2</v>
      </c>
      <c r="H761" s="14">
        <f t="shared" si="34"/>
        <v>2018</v>
      </c>
      <c r="I761" s="5">
        <f t="shared" ca="1" si="35"/>
        <v>-4.6422719825232002E-2</v>
      </c>
      <c r="J761" s="16"/>
    </row>
    <row r="762" spans="1:10" x14ac:dyDescent="0.2">
      <c r="A762" s="3">
        <v>43381</v>
      </c>
      <c r="B762" s="1">
        <f ca="1">IFERROR(__xludf.DUMMYFUNCTION("""COMPUTED_VALUE"""),17.63)</f>
        <v>17.63</v>
      </c>
      <c r="C762" s="1">
        <f ca="1">IFERROR(__xludf.DUMMYFUNCTION("""COMPUTED_VALUE"""),17.85)</f>
        <v>17.850000000000001</v>
      </c>
      <c r="D762" s="1">
        <f ca="1">IFERROR(__xludf.DUMMYFUNCTION("""COMPUTED_VALUE"""),16.6)</f>
        <v>16.600000000000001</v>
      </c>
      <c r="E762" s="1">
        <f ca="1">IFERROR(__xludf.DUMMYFUNCTION("""COMPUTED_VALUE"""),16.7)</f>
        <v>16.7</v>
      </c>
      <c r="F762" s="1">
        <f ca="1">IFERROR(__xludf.DUMMYFUNCTION("""COMPUTED_VALUE"""),13472653)</f>
        <v>13472653</v>
      </c>
      <c r="G762" s="5">
        <f t="shared" ca="1" si="33"/>
        <v>4.9101796407185649E-2</v>
      </c>
      <c r="H762" s="14">
        <f t="shared" si="34"/>
        <v>2018</v>
      </c>
      <c r="I762" s="5">
        <f t="shared" ca="1" si="35"/>
        <v>-5.275099262620532E-2</v>
      </c>
      <c r="J762" s="16"/>
    </row>
    <row r="763" spans="1:10" x14ac:dyDescent="0.2">
      <c r="A763" s="3">
        <v>43382</v>
      </c>
      <c r="B763" s="1">
        <f ca="1">IFERROR(__xludf.DUMMYFUNCTION("""COMPUTED_VALUE"""),17.02)</f>
        <v>17.02</v>
      </c>
      <c r="C763" s="1">
        <f ca="1">IFERROR(__xludf.DUMMYFUNCTION("""COMPUTED_VALUE"""),17.78)</f>
        <v>17.78</v>
      </c>
      <c r="D763" s="1">
        <f ca="1">IFERROR(__xludf.DUMMYFUNCTION("""COMPUTED_VALUE"""),16.89)</f>
        <v>16.89</v>
      </c>
      <c r="E763" s="1">
        <f ca="1">IFERROR(__xludf.DUMMYFUNCTION("""COMPUTED_VALUE"""),17.52)</f>
        <v>17.52</v>
      </c>
      <c r="F763" s="1">
        <f ca="1">IFERROR(__xludf.DUMMYFUNCTION("""COMPUTED_VALUE"""),12060574)</f>
        <v>12060574</v>
      </c>
      <c r="G763" s="5">
        <f t="shared" ca="1" si="33"/>
        <v>-2.2260273972602773E-2</v>
      </c>
      <c r="H763" s="14">
        <f t="shared" si="34"/>
        <v>2018</v>
      </c>
      <c r="I763" s="5">
        <f t="shared" ca="1" si="35"/>
        <v>2.9377203290246769E-2</v>
      </c>
      <c r="J763" s="16"/>
    </row>
    <row r="764" spans="1:10" x14ac:dyDescent="0.2">
      <c r="A764" s="3">
        <v>43383</v>
      </c>
      <c r="B764" s="1">
        <f ca="1">IFERROR(__xludf.DUMMYFUNCTION("""COMPUTED_VALUE"""),17.64)</f>
        <v>17.64</v>
      </c>
      <c r="C764" s="1">
        <f ca="1">IFERROR(__xludf.DUMMYFUNCTION("""COMPUTED_VALUE"""),17.7)</f>
        <v>17.7</v>
      </c>
      <c r="D764" s="1">
        <f ca="1">IFERROR(__xludf.DUMMYFUNCTION("""COMPUTED_VALUE"""),16.52)</f>
        <v>16.52</v>
      </c>
      <c r="E764" s="1">
        <f ca="1">IFERROR(__xludf.DUMMYFUNCTION("""COMPUTED_VALUE"""),17.13)</f>
        <v>17.13</v>
      </c>
      <c r="F764" s="1">
        <f ca="1">IFERROR(__xludf.DUMMYFUNCTION("""COMPUTED_VALUE"""),12815278)</f>
        <v>12815278</v>
      </c>
      <c r="G764" s="5">
        <f t="shared" ca="1" si="33"/>
        <v>-1.8096906012842893E-2</v>
      </c>
      <c r="H764" s="14">
        <f t="shared" si="34"/>
        <v>2018</v>
      </c>
      <c r="I764" s="5">
        <f t="shared" ca="1" si="35"/>
        <v>-2.8911564625850428E-2</v>
      </c>
      <c r="J764" s="16"/>
    </row>
    <row r="765" spans="1:10" x14ac:dyDescent="0.2">
      <c r="A765" s="3">
        <v>43384</v>
      </c>
      <c r="B765" s="1">
        <f ca="1">IFERROR(__xludf.DUMMYFUNCTION("""COMPUTED_VALUE"""),17.17)</f>
        <v>17.170000000000002</v>
      </c>
      <c r="C765" s="1">
        <f ca="1">IFERROR(__xludf.DUMMYFUNCTION("""COMPUTED_VALUE"""),17.48)</f>
        <v>17.48</v>
      </c>
      <c r="D765" s="1">
        <f ca="1">IFERROR(__xludf.DUMMYFUNCTION("""COMPUTED_VALUE"""),16.6)</f>
        <v>16.600000000000001</v>
      </c>
      <c r="E765" s="1">
        <f ca="1">IFERROR(__xludf.DUMMYFUNCTION("""COMPUTED_VALUE"""),16.82)</f>
        <v>16.82</v>
      </c>
      <c r="F765" s="1">
        <f ca="1">IFERROR(__xludf.DUMMYFUNCTION("""COMPUTED_VALUE"""),8167738)</f>
        <v>8167738</v>
      </c>
      <c r="G765" s="5">
        <f t="shared" ca="1" si="33"/>
        <v>2.5564803804994037E-2</v>
      </c>
      <c r="H765" s="14">
        <f t="shared" si="34"/>
        <v>2018</v>
      </c>
      <c r="I765" s="5">
        <f t="shared" ca="1" si="35"/>
        <v>-2.0384391380314584E-2</v>
      </c>
      <c r="J765" s="16"/>
    </row>
    <row r="766" spans="1:10" x14ac:dyDescent="0.2">
      <c r="A766" s="3">
        <v>43385</v>
      </c>
      <c r="B766" s="1">
        <f ca="1">IFERROR(__xludf.DUMMYFUNCTION("""COMPUTED_VALUE"""),17.4)</f>
        <v>17.399999999999999</v>
      </c>
      <c r="C766" s="1">
        <f ca="1">IFERROR(__xludf.DUMMYFUNCTION("""COMPUTED_VALUE"""),17.47)</f>
        <v>17.47</v>
      </c>
      <c r="D766" s="1">
        <f ca="1">IFERROR(__xludf.DUMMYFUNCTION("""COMPUTED_VALUE"""),16.8)</f>
        <v>16.8</v>
      </c>
      <c r="E766" s="1">
        <f ca="1">IFERROR(__xludf.DUMMYFUNCTION("""COMPUTED_VALUE"""),17.25)</f>
        <v>17.25</v>
      </c>
      <c r="F766" s="1">
        <f ca="1">IFERROR(__xludf.DUMMYFUNCTION("""COMPUTED_VALUE"""),7201404)</f>
        <v>7201404</v>
      </c>
      <c r="G766" s="5">
        <f t="shared" ca="1" si="33"/>
        <v>3.4782608695651434E-3</v>
      </c>
      <c r="H766" s="14">
        <f t="shared" si="34"/>
        <v>2018</v>
      </c>
      <c r="I766" s="5">
        <f t="shared" ca="1" si="35"/>
        <v>-8.6206896551723321E-3</v>
      </c>
      <c r="J766" s="16"/>
    </row>
    <row r="767" spans="1:10" x14ac:dyDescent="0.2">
      <c r="A767" s="3">
        <v>43388</v>
      </c>
      <c r="B767" s="1">
        <f ca="1">IFERROR(__xludf.DUMMYFUNCTION("""COMPUTED_VALUE"""),17.27)</f>
        <v>17.27</v>
      </c>
      <c r="C767" s="1">
        <f ca="1">IFERROR(__xludf.DUMMYFUNCTION("""COMPUTED_VALUE"""),17.55)</f>
        <v>17.55</v>
      </c>
      <c r="D767" s="1">
        <f ca="1">IFERROR(__xludf.DUMMYFUNCTION("""COMPUTED_VALUE"""),16.97)</f>
        <v>16.97</v>
      </c>
      <c r="E767" s="1">
        <f ca="1">IFERROR(__xludf.DUMMYFUNCTION("""COMPUTED_VALUE"""),17.31)</f>
        <v>17.309999999999999</v>
      </c>
      <c r="F767" s="1">
        <f ca="1">IFERROR(__xludf.DUMMYFUNCTION("""COMPUTED_VALUE"""),6199965)</f>
        <v>6199965</v>
      </c>
      <c r="G767" s="5">
        <f t="shared" ca="1" si="33"/>
        <v>6.5280184864240476E-2</v>
      </c>
      <c r="H767" s="14">
        <f t="shared" si="34"/>
        <v>2018</v>
      </c>
      <c r="I767" s="5">
        <f t="shared" ca="1" si="35"/>
        <v>2.3161551823971714E-3</v>
      </c>
      <c r="J767" s="16"/>
    </row>
    <row r="768" spans="1:10" x14ac:dyDescent="0.2">
      <c r="A768" s="3">
        <v>43389</v>
      </c>
      <c r="B768" s="1">
        <f ca="1">IFERROR(__xludf.DUMMYFUNCTION("""COMPUTED_VALUE"""),17.71)</f>
        <v>17.71</v>
      </c>
      <c r="C768" s="1">
        <f ca="1">IFERROR(__xludf.DUMMYFUNCTION("""COMPUTED_VALUE"""),18.49)</f>
        <v>18.489999999999998</v>
      </c>
      <c r="D768" s="1">
        <f ca="1">IFERROR(__xludf.DUMMYFUNCTION("""COMPUTED_VALUE"""),17.48)</f>
        <v>17.48</v>
      </c>
      <c r="E768" s="1">
        <f ca="1">IFERROR(__xludf.DUMMYFUNCTION("""COMPUTED_VALUE"""),18.44)</f>
        <v>18.440000000000001</v>
      </c>
      <c r="F768" s="1">
        <f ca="1">IFERROR(__xludf.DUMMYFUNCTION("""COMPUTED_VALUE"""),9526401)</f>
        <v>9526401</v>
      </c>
      <c r="G768" s="5">
        <f t="shared" ca="1" si="33"/>
        <v>-1.7353579175705004E-2</v>
      </c>
      <c r="H768" s="14">
        <f t="shared" si="34"/>
        <v>2018</v>
      </c>
      <c r="I768" s="5">
        <f t="shared" ca="1" si="35"/>
        <v>4.1219649915302109E-2</v>
      </c>
      <c r="J768" s="16"/>
    </row>
    <row r="769" spans="1:10" x14ac:dyDescent="0.2">
      <c r="A769" s="3">
        <v>43390</v>
      </c>
      <c r="B769" s="1">
        <f ca="1">IFERROR(__xludf.DUMMYFUNCTION("""COMPUTED_VALUE"""),18.83)</f>
        <v>18.829999999999998</v>
      </c>
      <c r="C769" s="1">
        <f ca="1">IFERROR(__xludf.DUMMYFUNCTION("""COMPUTED_VALUE"""),18.85)</f>
        <v>18.850000000000001</v>
      </c>
      <c r="D769" s="1">
        <f ca="1">IFERROR(__xludf.DUMMYFUNCTION("""COMPUTED_VALUE"""),17.72)</f>
        <v>17.72</v>
      </c>
      <c r="E769" s="1">
        <f ca="1">IFERROR(__xludf.DUMMYFUNCTION("""COMPUTED_VALUE"""),18.12)</f>
        <v>18.12</v>
      </c>
      <c r="F769" s="1">
        <f ca="1">IFERROR(__xludf.DUMMYFUNCTION("""COMPUTED_VALUE"""),8655542)</f>
        <v>8655542</v>
      </c>
      <c r="G769" s="5">
        <f t="shared" ca="1" si="33"/>
        <v>-2.9249448123620372E-2</v>
      </c>
      <c r="H769" s="14">
        <f t="shared" si="34"/>
        <v>2018</v>
      </c>
      <c r="I769" s="5">
        <f t="shared" ca="1" si="35"/>
        <v>-3.7705788635156522E-2</v>
      </c>
      <c r="J769" s="16"/>
    </row>
    <row r="770" spans="1:10" x14ac:dyDescent="0.2">
      <c r="A770" s="3">
        <v>43391</v>
      </c>
      <c r="B770" s="1">
        <f ca="1">IFERROR(__xludf.DUMMYFUNCTION("""COMPUTED_VALUE"""),17.95)</f>
        <v>17.95</v>
      </c>
      <c r="C770" s="1">
        <f ca="1">IFERROR(__xludf.DUMMYFUNCTION("""COMPUTED_VALUE"""),18.07)</f>
        <v>18.07</v>
      </c>
      <c r="D770" s="1">
        <f ca="1">IFERROR(__xludf.DUMMYFUNCTION("""COMPUTED_VALUE"""),17.53)</f>
        <v>17.53</v>
      </c>
      <c r="E770" s="1">
        <f ca="1">IFERROR(__xludf.DUMMYFUNCTION("""COMPUTED_VALUE"""),17.59)</f>
        <v>17.59</v>
      </c>
      <c r="F770" s="1">
        <f ca="1">IFERROR(__xludf.DUMMYFUNCTION("""COMPUTED_VALUE"""),5421184)</f>
        <v>5421184</v>
      </c>
      <c r="G770" s="5">
        <f t="shared" ca="1" si="33"/>
        <v>-1.4781125639568026E-2</v>
      </c>
      <c r="H770" s="14">
        <f t="shared" si="34"/>
        <v>2018</v>
      </c>
      <c r="I770" s="5">
        <f t="shared" ca="1" si="35"/>
        <v>-2.0055710306406654E-2</v>
      </c>
      <c r="J770" s="16"/>
    </row>
    <row r="771" spans="1:10" x14ac:dyDescent="0.2">
      <c r="A771" s="3">
        <v>43392</v>
      </c>
      <c r="B771" s="1">
        <f ca="1">IFERROR(__xludf.DUMMYFUNCTION("""COMPUTED_VALUE"""),17.83)</f>
        <v>17.829999999999998</v>
      </c>
      <c r="C771" s="1">
        <f ca="1">IFERROR(__xludf.DUMMYFUNCTION("""COMPUTED_VALUE"""),17.98)</f>
        <v>17.98</v>
      </c>
      <c r="D771" s="1">
        <f ca="1">IFERROR(__xludf.DUMMYFUNCTION("""COMPUTED_VALUE"""),16.9)</f>
        <v>16.899999999999999</v>
      </c>
      <c r="E771" s="1">
        <f ca="1">IFERROR(__xludf.DUMMYFUNCTION("""COMPUTED_VALUE"""),17.33)</f>
        <v>17.329999999999998</v>
      </c>
      <c r="F771" s="1">
        <f ca="1">IFERROR(__xludf.DUMMYFUNCTION("""COMPUTED_VALUE"""),9375549)</f>
        <v>9375549</v>
      </c>
      <c r="G771" s="5">
        <f t="shared" ref="G771:G834" ca="1" si="36">(E772-E771)/E771</f>
        <v>4.0392383150606058E-3</v>
      </c>
      <c r="H771" s="14">
        <f t="shared" ref="H771:H834" si="37">YEAR(A771)</f>
        <v>2018</v>
      </c>
      <c r="I771" s="5">
        <f t="shared" ref="I771:I834" ca="1" si="38">((E771 - B771) / B771)</f>
        <v>-2.8042624789680316E-2</v>
      </c>
      <c r="J771" s="16"/>
    </row>
    <row r="772" spans="1:10" x14ac:dyDescent="0.2">
      <c r="A772" s="3">
        <v>43395</v>
      </c>
      <c r="B772" s="1">
        <f ca="1">IFERROR(__xludf.DUMMYFUNCTION("""COMPUTED_VALUE"""),17.38)</f>
        <v>17.38</v>
      </c>
      <c r="C772" s="1">
        <f ca="1">IFERROR(__xludf.DUMMYFUNCTION("""COMPUTED_VALUE"""),17.46)</f>
        <v>17.46</v>
      </c>
      <c r="D772" s="1">
        <f ca="1">IFERROR(__xludf.DUMMYFUNCTION("""COMPUTED_VALUE"""),16.84)</f>
        <v>16.84</v>
      </c>
      <c r="E772" s="1">
        <f ca="1">IFERROR(__xludf.DUMMYFUNCTION("""COMPUTED_VALUE"""),17.4)</f>
        <v>17.399999999999999</v>
      </c>
      <c r="F772" s="1">
        <f ca="1">IFERROR(__xludf.DUMMYFUNCTION("""COMPUTED_VALUE"""),5600260)</f>
        <v>5600260</v>
      </c>
      <c r="G772" s="5">
        <f t="shared" ca="1" si="36"/>
        <v>0.12701149425287361</v>
      </c>
      <c r="H772" s="14">
        <f t="shared" si="37"/>
        <v>2018</v>
      </c>
      <c r="I772" s="5">
        <f t="shared" ca="1" si="38"/>
        <v>1.1507479861909997E-3</v>
      </c>
      <c r="J772" s="16"/>
    </row>
    <row r="773" spans="1:10" x14ac:dyDescent="0.2">
      <c r="A773" s="3">
        <v>43396</v>
      </c>
      <c r="B773" s="1">
        <f ca="1">IFERROR(__xludf.DUMMYFUNCTION("""COMPUTED_VALUE"""),17.59)</f>
        <v>17.59</v>
      </c>
      <c r="C773" s="1">
        <f ca="1">IFERROR(__xludf.DUMMYFUNCTION("""COMPUTED_VALUE"""),19.86)</f>
        <v>19.86</v>
      </c>
      <c r="D773" s="1">
        <f ca="1">IFERROR(__xludf.DUMMYFUNCTION("""COMPUTED_VALUE"""),17.47)</f>
        <v>17.47</v>
      </c>
      <c r="E773" s="1">
        <f ca="1">IFERROR(__xludf.DUMMYFUNCTION("""COMPUTED_VALUE"""),19.61)</f>
        <v>19.61</v>
      </c>
      <c r="F773" s="1">
        <f ca="1">IFERROR(__xludf.DUMMYFUNCTION("""COMPUTED_VALUE"""),19027753)</f>
        <v>19027753</v>
      </c>
      <c r="G773" s="5">
        <f t="shared" ca="1" si="36"/>
        <v>-1.9377868434472159E-2</v>
      </c>
      <c r="H773" s="14">
        <f t="shared" si="37"/>
        <v>2018</v>
      </c>
      <c r="I773" s="5">
        <f t="shared" ca="1" si="38"/>
        <v>0.11483797612279702</v>
      </c>
      <c r="J773" s="16"/>
    </row>
    <row r="774" spans="1:10" x14ac:dyDescent="0.2">
      <c r="A774" s="3">
        <v>43397</v>
      </c>
      <c r="B774" s="1">
        <f ca="1">IFERROR(__xludf.DUMMYFUNCTION("""COMPUTED_VALUE"""),20.07)</f>
        <v>20.07</v>
      </c>
      <c r="C774" s="1">
        <f ca="1">IFERROR(__xludf.DUMMYFUNCTION("""COMPUTED_VALUE"""),20.3)</f>
        <v>20.3</v>
      </c>
      <c r="D774" s="1">
        <f ca="1">IFERROR(__xludf.DUMMYFUNCTION("""COMPUTED_VALUE"""),19.05)</f>
        <v>19.05</v>
      </c>
      <c r="E774" s="1">
        <f ca="1">IFERROR(__xludf.DUMMYFUNCTION("""COMPUTED_VALUE"""),19.23)</f>
        <v>19.23</v>
      </c>
      <c r="F774" s="1">
        <f ca="1">IFERROR(__xludf.DUMMYFUNCTION("""COMPUTED_VALUE"""),20058258)</f>
        <v>20058258</v>
      </c>
      <c r="G774" s="5">
        <f t="shared" ca="1" si="36"/>
        <v>9.1523660946437754E-2</v>
      </c>
      <c r="H774" s="14">
        <f t="shared" si="37"/>
        <v>2018</v>
      </c>
      <c r="I774" s="5">
        <f t="shared" ca="1" si="38"/>
        <v>-4.1853512705530636E-2</v>
      </c>
      <c r="J774" s="16"/>
    </row>
    <row r="775" spans="1:10" x14ac:dyDescent="0.2">
      <c r="A775" s="3">
        <v>43398</v>
      </c>
      <c r="B775" s="1">
        <f ca="1">IFERROR(__xludf.DUMMYFUNCTION("""COMPUTED_VALUE"""),21.15)</f>
        <v>21.15</v>
      </c>
      <c r="C775" s="1">
        <f ca="1">IFERROR(__xludf.DUMMYFUNCTION("""COMPUTED_VALUE"""),21.4)</f>
        <v>21.4</v>
      </c>
      <c r="D775" s="1">
        <f ca="1">IFERROR(__xludf.DUMMYFUNCTION("""COMPUTED_VALUE"""),20.07)</f>
        <v>20.07</v>
      </c>
      <c r="E775" s="1">
        <f ca="1">IFERROR(__xludf.DUMMYFUNCTION("""COMPUTED_VALUE"""),20.99)</f>
        <v>20.99</v>
      </c>
      <c r="F775" s="1">
        <f ca="1">IFERROR(__xludf.DUMMYFUNCTION("""COMPUTED_VALUE"""),20840724)</f>
        <v>20840724</v>
      </c>
      <c r="G775" s="5">
        <f t="shared" ca="1" si="36"/>
        <v>5.0976655550262047E-2</v>
      </c>
      <c r="H775" s="14">
        <f t="shared" si="37"/>
        <v>2018</v>
      </c>
      <c r="I775" s="5">
        <f t="shared" ca="1" si="38"/>
        <v>-7.5650118203309767E-3</v>
      </c>
      <c r="J775" s="16"/>
    </row>
    <row r="776" spans="1:10" x14ac:dyDescent="0.2">
      <c r="A776" s="3">
        <v>43399</v>
      </c>
      <c r="B776" s="1">
        <f ca="1">IFERROR(__xludf.DUMMYFUNCTION("""COMPUTED_VALUE"""),20.55)</f>
        <v>20.55</v>
      </c>
      <c r="C776" s="1">
        <f ca="1">IFERROR(__xludf.DUMMYFUNCTION("""COMPUTED_VALUE"""),22.66)</f>
        <v>22.66</v>
      </c>
      <c r="D776" s="1">
        <f ca="1">IFERROR(__xludf.DUMMYFUNCTION("""COMPUTED_VALUE"""),20.44)</f>
        <v>20.440000000000001</v>
      </c>
      <c r="E776" s="1">
        <f ca="1">IFERROR(__xludf.DUMMYFUNCTION("""COMPUTED_VALUE"""),22.06)</f>
        <v>22.06</v>
      </c>
      <c r="F776" s="1">
        <f ca="1">IFERROR(__xludf.DUMMYFUNCTION("""COMPUTED_VALUE"""),27425520)</f>
        <v>27425520</v>
      </c>
      <c r="G776" s="5">
        <f t="shared" ca="1" si="36"/>
        <v>1.1786038077969246E-2</v>
      </c>
      <c r="H776" s="14">
        <f t="shared" si="37"/>
        <v>2018</v>
      </c>
      <c r="I776" s="5">
        <f t="shared" ca="1" si="38"/>
        <v>7.3479318734793089E-2</v>
      </c>
      <c r="J776" s="16"/>
    </row>
    <row r="777" spans="1:10" x14ac:dyDescent="0.2">
      <c r="A777" s="3">
        <v>43402</v>
      </c>
      <c r="B777" s="1">
        <f ca="1">IFERROR(__xludf.DUMMYFUNCTION("""COMPUTED_VALUE"""),22.5)</f>
        <v>22.5</v>
      </c>
      <c r="C777" s="1">
        <f ca="1">IFERROR(__xludf.DUMMYFUNCTION("""COMPUTED_VALUE"""),23.14)</f>
        <v>23.14</v>
      </c>
      <c r="D777" s="1">
        <f ca="1">IFERROR(__xludf.DUMMYFUNCTION("""COMPUTED_VALUE"""),21.77)</f>
        <v>21.77</v>
      </c>
      <c r="E777" s="1">
        <f ca="1">IFERROR(__xludf.DUMMYFUNCTION("""COMPUTED_VALUE"""),22.32)</f>
        <v>22.32</v>
      </c>
      <c r="F777" s="1">
        <f ca="1">IFERROR(__xludf.DUMMYFUNCTION("""COMPUTED_VALUE"""),14486027)</f>
        <v>14486027</v>
      </c>
      <c r="G777" s="5">
        <f t="shared" ca="1" si="36"/>
        <v>-1.4784946236559222E-2</v>
      </c>
      <c r="H777" s="14">
        <f t="shared" si="37"/>
        <v>2018</v>
      </c>
      <c r="I777" s="5">
        <f t="shared" ca="1" si="38"/>
        <v>-7.999999999999988E-3</v>
      </c>
      <c r="J777" s="16"/>
    </row>
    <row r="778" spans="1:10" x14ac:dyDescent="0.2">
      <c r="A778" s="3">
        <v>43403</v>
      </c>
      <c r="B778" s="1">
        <f ca="1">IFERROR(__xludf.DUMMYFUNCTION("""COMPUTED_VALUE"""),21.89)</f>
        <v>21.89</v>
      </c>
      <c r="C778" s="1">
        <f ca="1">IFERROR(__xludf.DUMMYFUNCTION("""COMPUTED_VALUE"""),22.53)</f>
        <v>22.53</v>
      </c>
      <c r="D778" s="1">
        <f ca="1">IFERROR(__xludf.DUMMYFUNCTION("""COMPUTED_VALUE"""),21.48)</f>
        <v>21.48</v>
      </c>
      <c r="E778" s="1">
        <f ca="1">IFERROR(__xludf.DUMMYFUNCTION("""COMPUTED_VALUE"""),21.99)</f>
        <v>21.99</v>
      </c>
      <c r="F778" s="1">
        <f ca="1">IFERROR(__xludf.DUMMYFUNCTION("""COMPUTED_VALUE"""),9126704)</f>
        <v>9126704</v>
      </c>
      <c r="G778" s="5">
        <f t="shared" ca="1" si="36"/>
        <v>2.273760800363802E-2</v>
      </c>
      <c r="H778" s="14">
        <f t="shared" si="37"/>
        <v>2018</v>
      </c>
      <c r="I778" s="5">
        <f t="shared" ca="1" si="38"/>
        <v>4.5682960255823604E-3</v>
      </c>
      <c r="J778" s="16"/>
    </row>
    <row r="779" spans="1:10" x14ac:dyDescent="0.2">
      <c r="A779" s="3">
        <v>43404</v>
      </c>
      <c r="B779" s="1">
        <f ca="1">IFERROR(__xludf.DUMMYFUNCTION("""COMPUTED_VALUE"""),22.17)</f>
        <v>22.17</v>
      </c>
      <c r="C779" s="1">
        <f ca="1">IFERROR(__xludf.DUMMYFUNCTION("""COMPUTED_VALUE"""),22.8)</f>
        <v>22.8</v>
      </c>
      <c r="D779" s="1">
        <f ca="1">IFERROR(__xludf.DUMMYFUNCTION("""COMPUTED_VALUE"""),21.94)</f>
        <v>21.94</v>
      </c>
      <c r="E779" s="1">
        <f ca="1">IFERROR(__xludf.DUMMYFUNCTION("""COMPUTED_VALUE"""),22.49)</f>
        <v>22.49</v>
      </c>
      <c r="F779" s="1">
        <f ca="1">IFERROR(__xludf.DUMMYFUNCTION("""COMPUTED_VALUE"""),7624348)</f>
        <v>7624348</v>
      </c>
      <c r="G779" s="5">
        <f t="shared" ca="1" si="36"/>
        <v>2.0453534904401997E-2</v>
      </c>
      <c r="H779" s="14">
        <f t="shared" si="37"/>
        <v>2018</v>
      </c>
      <c r="I779" s="5">
        <f t="shared" ca="1" si="38"/>
        <v>1.4433919711321457E-2</v>
      </c>
      <c r="J779" s="16"/>
    </row>
    <row r="780" spans="1:10" x14ac:dyDescent="0.2">
      <c r="A780" s="3">
        <v>43405</v>
      </c>
      <c r="B780" s="1">
        <f ca="1">IFERROR(__xludf.DUMMYFUNCTION("""COMPUTED_VALUE"""),22.55)</f>
        <v>22.55</v>
      </c>
      <c r="C780" s="1">
        <f ca="1">IFERROR(__xludf.DUMMYFUNCTION("""COMPUTED_VALUE"""),23.19)</f>
        <v>23.19</v>
      </c>
      <c r="D780" s="1">
        <f ca="1">IFERROR(__xludf.DUMMYFUNCTION("""COMPUTED_VALUE"""),22.32)</f>
        <v>22.32</v>
      </c>
      <c r="E780" s="1">
        <f ca="1">IFERROR(__xludf.DUMMYFUNCTION("""COMPUTED_VALUE"""),22.95)</f>
        <v>22.95</v>
      </c>
      <c r="F780" s="1">
        <f ca="1">IFERROR(__xludf.DUMMYFUNCTION("""COMPUTED_VALUE"""),8000132)</f>
        <v>8000132</v>
      </c>
      <c r="G780" s="5">
        <f t="shared" ca="1" si="36"/>
        <v>6.1002178649237722E-3</v>
      </c>
      <c r="H780" s="14">
        <f t="shared" si="37"/>
        <v>2018</v>
      </c>
      <c r="I780" s="5">
        <f t="shared" ca="1" si="38"/>
        <v>1.7738359201773773E-2</v>
      </c>
      <c r="J780" s="16"/>
    </row>
    <row r="781" spans="1:10" x14ac:dyDescent="0.2">
      <c r="A781" s="3">
        <v>43406</v>
      </c>
      <c r="B781" s="1">
        <f ca="1">IFERROR(__xludf.DUMMYFUNCTION("""COMPUTED_VALUE"""),22.92)</f>
        <v>22.92</v>
      </c>
      <c r="C781" s="1">
        <f ca="1">IFERROR(__xludf.DUMMYFUNCTION("""COMPUTED_VALUE"""),23.28)</f>
        <v>23.28</v>
      </c>
      <c r="D781" s="1">
        <f ca="1">IFERROR(__xludf.DUMMYFUNCTION("""COMPUTED_VALUE"""),22.73)</f>
        <v>22.73</v>
      </c>
      <c r="E781" s="1">
        <f ca="1">IFERROR(__xludf.DUMMYFUNCTION("""COMPUTED_VALUE"""),23.09)</f>
        <v>23.09</v>
      </c>
      <c r="F781" s="1">
        <f ca="1">IFERROR(__xludf.DUMMYFUNCTION("""COMPUTED_VALUE"""),7807971)</f>
        <v>7807971</v>
      </c>
      <c r="G781" s="5">
        <f t="shared" ca="1" si="36"/>
        <v>-1.4291901255954885E-2</v>
      </c>
      <c r="H781" s="14">
        <f t="shared" si="37"/>
        <v>2018</v>
      </c>
      <c r="I781" s="5">
        <f t="shared" ca="1" si="38"/>
        <v>7.4171029668411055E-3</v>
      </c>
      <c r="J781" s="16"/>
    </row>
    <row r="782" spans="1:10" x14ac:dyDescent="0.2">
      <c r="A782" s="3">
        <v>43409</v>
      </c>
      <c r="B782" s="1">
        <f ca="1">IFERROR(__xludf.DUMMYFUNCTION("""COMPUTED_VALUE"""),22.7)</f>
        <v>22.7</v>
      </c>
      <c r="C782" s="1">
        <f ca="1">IFERROR(__xludf.DUMMYFUNCTION("""COMPUTED_VALUE"""),22.93)</f>
        <v>22.93</v>
      </c>
      <c r="D782" s="1">
        <f ca="1">IFERROR(__xludf.DUMMYFUNCTION("""COMPUTED_VALUE"""),22.01)</f>
        <v>22.01</v>
      </c>
      <c r="E782" s="1">
        <f ca="1">IFERROR(__xludf.DUMMYFUNCTION("""COMPUTED_VALUE"""),22.76)</f>
        <v>22.76</v>
      </c>
      <c r="F782" s="1">
        <f ca="1">IFERROR(__xludf.DUMMYFUNCTION("""COMPUTED_VALUE"""),7831048)</f>
        <v>7831048</v>
      </c>
      <c r="G782" s="5">
        <f t="shared" ca="1" si="36"/>
        <v>-8.7873462214424979E-4</v>
      </c>
      <c r="H782" s="14">
        <f t="shared" si="37"/>
        <v>2018</v>
      </c>
      <c r="I782" s="5">
        <f t="shared" ca="1" si="38"/>
        <v>2.643171806167501E-3</v>
      </c>
      <c r="J782" s="16"/>
    </row>
    <row r="783" spans="1:10" x14ac:dyDescent="0.2">
      <c r="A783" s="3">
        <v>43410</v>
      </c>
      <c r="B783" s="1">
        <f ca="1">IFERROR(__xludf.DUMMYFUNCTION("""COMPUTED_VALUE"""),22.6)</f>
        <v>22.6</v>
      </c>
      <c r="C783" s="1">
        <f ca="1">IFERROR(__xludf.DUMMYFUNCTION("""COMPUTED_VALUE"""),23.25)</f>
        <v>23.25</v>
      </c>
      <c r="D783" s="1">
        <f ca="1">IFERROR(__xludf.DUMMYFUNCTION("""COMPUTED_VALUE"""),22.41)</f>
        <v>22.41</v>
      </c>
      <c r="E783" s="1">
        <f ca="1">IFERROR(__xludf.DUMMYFUNCTION("""COMPUTED_VALUE"""),22.74)</f>
        <v>22.74</v>
      </c>
      <c r="F783" s="1">
        <f ca="1">IFERROR(__xludf.DUMMYFUNCTION("""COMPUTED_VALUE"""),6762889)</f>
        <v>6762889</v>
      </c>
      <c r="G783" s="5">
        <f t="shared" ca="1" si="36"/>
        <v>2.0668425681618401E-2</v>
      </c>
      <c r="H783" s="14">
        <f t="shared" si="37"/>
        <v>2018</v>
      </c>
      <c r="I783" s="5">
        <f t="shared" ca="1" si="38"/>
        <v>6.1946902654865929E-3</v>
      </c>
      <c r="J783" s="16"/>
    </row>
    <row r="784" spans="1:10" x14ac:dyDescent="0.2">
      <c r="A784" s="3">
        <v>43411</v>
      </c>
      <c r="B784" s="1">
        <f ca="1">IFERROR(__xludf.DUMMYFUNCTION("""COMPUTED_VALUE"""),22.89)</f>
        <v>22.89</v>
      </c>
      <c r="C784" s="1">
        <f ca="1">IFERROR(__xludf.DUMMYFUNCTION("""COMPUTED_VALUE"""),23.41)</f>
        <v>23.41</v>
      </c>
      <c r="D784" s="1">
        <f ca="1">IFERROR(__xludf.DUMMYFUNCTION("""COMPUTED_VALUE"""),22.72)</f>
        <v>22.72</v>
      </c>
      <c r="E784" s="1">
        <f ca="1">IFERROR(__xludf.DUMMYFUNCTION("""COMPUTED_VALUE"""),23.21)</f>
        <v>23.21</v>
      </c>
      <c r="F784" s="1">
        <f ca="1">IFERROR(__xludf.DUMMYFUNCTION("""COMPUTED_VALUE"""),7374522)</f>
        <v>7374522</v>
      </c>
      <c r="G784" s="5">
        <f t="shared" ca="1" si="36"/>
        <v>9.4786729857819409E-3</v>
      </c>
      <c r="H784" s="14">
        <f t="shared" si="37"/>
        <v>2018</v>
      </c>
      <c r="I784" s="5">
        <f t="shared" ca="1" si="38"/>
        <v>1.3979903888160781E-2</v>
      </c>
      <c r="J784" s="16"/>
    </row>
    <row r="785" spans="1:10" x14ac:dyDescent="0.2">
      <c r="A785" s="3">
        <v>43412</v>
      </c>
      <c r="B785" s="1">
        <f ca="1">IFERROR(__xludf.DUMMYFUNCTION("""COMPUTED_VALUE"""),23.23)</f>
        <v>23.23</v>
      </c>
      <c r="C785" s="1">
        <f ca="1">IFERROR(__xludf.DUMMYFUNCTION("""COMPUTED_VALUE"""),23.84)</f>
        <v>23.84</v>
      </c>
      <c r="D785" s="1">
        <f ca="1">IFERROR(__xludf.DUMMYFUNCTION("""COMPUTED_VALUE"""),23.23)</f>
        <v>23.23</v>
      </c>
      <c r="E785" s="1">
        <f ca="1">IFERROR(__xludf.DUMMYFUNCTION("""COMPUTED_VALUE"""),23.43)</f>
        <v>23.43</v>
      </c>
      <c r="F785" s="1">
        <f ca="1">IFERROR(__xludf.DUMMYFUNCTION("""COMPUTED_VALUE"""),7090674)</f>
        <v>7090674</v>
      </c>
      <c r="G785" s="5">
        <f t="shared" ca="1" si="36"/>
        <v>-2.5608194622278582E-3</v>
      </c>
      <c r="H785" s="14">
        <f t="shared" si="37"/>
        <v>2018</v>
      </c>
      <c r="I785" s="5">
        <f t="shared" ca="1" si="38"/>
        <v>8.6095566078346654E-3</v>
      </c>
      <c r="J785" s="16"/>
    </row>
    <row r="786" spans="1:10" x14ac:dyDescent="0.2">
      <c r="A786" s="3">
        <v>43413</v>
      </c>
      <c r="B786" s="1">
        <f ca="1">IFERROR(__xludf.DUMMYFUNCTION("""COMPUTED_VALUE"""),23.27)</f>
        <v>23.27</v>
      </c>
      <c r="C786" s="1">
        <f ca="1">IFERROR(__xludf.DUMMYFUNCTION("""COMPUTED_VALUE"""),23.6)</f>
        <v>23.6</v>
      </c>
      <c r="D786" s="1">
        <f ca="1">IFERROR(__xludf.DUMMYFUNCTION("""COMPUTED_VALUE"""),23.02)</f>
        <v>23.02</v>
      </c>
      <c r="E786" s="1">
        <f ca="1">IFERROR(__xludf.DUMMYFUNCTION("""COMPUTED_VALUE"""),23.37)</f>
        <v>23.37</v>
      </c>
      <c r="F786" s="1">
        <f ca="1">IFERROR(__xludf.DUMMYFUNCTION("""COMPUTED_VALUE"""),5098846)</f>
        <v>5098846</v>
      </c>
      <c r="G786" s="5">
        <f t="shared" ca="1" si="36"/>
        <v>-5.4771074026529788E-2</v>
      </c>
      <c r="H786" s="14">
        <f t="shared" si="37"/>
        <v>2018</v>
      </c>
      <c r="I786" s="5">
        <f t="shared" ca="1" si="38"/>
        <v>4.2973785990546376E-3</v>
      </c>
      <c r="J786" s="16"/>
    </row>
    <row r="787" spans="1:10" x14ac:dyDescent="0.2">
      <c r="A787" s="3">
        <v>43416</v>
      </c>
      <c r="B787" s="1">
        <f ca="1">IFERROR(__xludf.DUMMYFUNCTION("""COMPUTED_VALUE"""),23.22)</f>
        <v>23.22</v>
      </c>
      <c r="C787" s="1">
        <f ca="1">IFERROR(__xludf.DUMMYFUNCTION("""COMPUTED_VALUE"""),23.32)</f>
        <v>23.32</v>
      </c>
      <c r="D787" s="1">
        <f ca="1">IFERROR(__xludf.DUMMYFUNCTION("""COMPUTED_VALUE"""),22.02)</f>
        <v>22.02</v>
      </c>
      <c r="E787" s="1">
        <f ca="1">IFERROR(__xludf.DUMMYFUNCTION("""COMPUTED_VALUE"""),22.09)</f>
        <v>22.09</v>
      </c>
      <c r="F787" s="1">
        <f ca="1">IFERROR(__xludf.DUMMYFUNCTION("""COMPUTED_VALUE"""),6941523)</f>
        <v>6941523</v>
      </c>
      <c r="G787" s="5">
        <f t="shared" ca="1" si="36"/>
        <v>2.2181982797645924E-2</v>
      </c>
      <c r="H787" s="14">
        <f t="shared" si="37"/>
        <v>2018</v>
      </c>
      <c r="I787" s="5">
        <f t="shared" ca="1" si="38"/>
        <v>-4.8664944013781179E-2</v>
      </c>
      <c r="J787" s="16"/>
    </row>
    <row r="788" spans="1:10" x14ac:dyDescent="0.2">
      <c r="A788" s="3">
        <v>43417</v>
      </c>
      <c r="B788" s="1">
        <f ca="1">IFERROR(__xludf.DUMMYFUNCTION("""COMPUTED_VALUE"""),22.21)</f>
        <v>22.21</v>
      </c>
      <c r="C788" s="1">
        <f ca="1">IFERROR(__xludf.DUMMYFUNCTION("""COMPUTED_VALUE"""),22.98)</f>
        <v>22.98</v>
      </c>
      <c r="D788" s="1">
        <f ca="1">IFERROR(__xludf.DUMMYFUNCTION("""COMPUTED_VALUE"""),22.15)</f>
        <v>22.15</v>
      </c>
      <c r="E788" s="1">
        <f ca="1">IFERROR(__xludf.DUMMYFUNCTION("""COMPUTED_VALUE"""),22.58)</f>
        <v>22.58</v>
      </c>
      <c r="F788" s="1">
        <f ca="1">IFERROR(__xludf.DUMMYFUNCTION("""COMPUTED_VALUE"""),5448597)</f>
        <v>5448597</v>
      </c>
      <c r="G788" s="5">
        <f t="shared" ca="1" si="36"/>
        <v>1.5500442869796344E-2</v>
      </c>
      <c r="H788" s="14">
        <f t="shared" si="37"/>
        <v>2018</v>
      </c>
      <c r="I788" s="5">
        <f t="shared" ca="1" si="38"/>
        <v>1.6659162539396553E-2</v>
      </c>
      <c r="J788" s="16"/>
    </row>
    <row r="789" spans="1:10" x14ac:dyDescent="0.2">
      <c r="A789" s="3">
        <v>43418</v>
      </c>
      <c r="B789" s="1">
        <f ca="1">IFERROR(__xludf.DUMMYFUNCTION("""COMPUTED_VALUE"""),22.85)</f>
        <v>22.85</v>
      </c>
      <c r="C789" s="1">
        <f ca="1">IFERROR(__xludf.DUMMYFUNCTION("""COMPUTED_VALUE"""),23.14)</f>
        <v>23.14</v>
      </c>
      <c r="D789" s="1">
        <f ca="1">IFERROR(__xludf.DUMMYFUNCTION("""COMPUTED_VALUE"""),22.48)</f>
        <v>22.48</v>
      </c>
      <c r="E789" s="1">
        <f ca="1">IFERROR(__xludf.DUMMYFUNCTION("""COMPUTED_VALUE"""),22.93)</f>
        <v>22.93</v>
      </c>
      <c r="F789" s="1">
        <f ca="1">IFERROR(__xludf.DUMMYFUNCTION("""COMPUTED_VALUE"""),5040287)</f>
        <v>5040287</v>
      </c>
      <c r="G789" s="5">
        <f t="shared" ca="1" si="36"/>
        <v>1.3083296990841724E-2</v>
      </c>
      <c r="H789" s="14">
        <f t="shared" si="37"/>
        <v>2018</v>
      </c>
      <c r="I789" s="5">
        <f t="shared" ca="1" si="38"/>
        <v>3.501094091903645E-3</v>
      </c>
      <c r="J789" s="16"/>
    </row>
    <row r="790" spans="1:10" x14ac:dyDescent="0.2">
      <c r="A790" s="3">
        <v>43419</v>
      </c>
      <c r="B790" s="1">
        <f ca="1">IFERROR(__xludf.DUMMYFUNCTION("""COMPUTED_VALUE"""),22.82)</f>
        <v>22.82</v>
      </c>
      <c r="C790" s="1">
        <f ca="1">IFERROR(__xludf.DUMMYFUNCTION("""COMPUTED_VALUE"""),23.24)</f>
        <v>23.24</v>
      </c>
      <c r="D790" s="1">
        <f ca="1">IFERROR(__xludf.DUMMYFUNCTION("""COMPUTED_VALUE"""),22.6)</f>
        <v>22.6</v>
      </c>
      <c r="E790" s="1">
        <f ca="1">IFERROR(__xludf.DUMMYFUNCTION("""COMPUTED_VALUE"""),23.23)</f>
        <v>23.23</v>
      </c>
      <c r="F790" s="1">
        <f ca="1">IFERROR(__xludf.DUMMYFUNCTION("""COMPUTED_VALUE"""),4625719)</f>
        <v>4625719</v>
      </c>
      <c r="G790" s="5">
        <f t="shared" ca="1" si="36"/>
        <v>1.6788635385277681E-2</v>
      </c>
      <c r="H790" s="14">
        <f t="shared" si="37"/>
        <v>2018</v>
      </c>
      <c r="I790" s="5">
        <f t="shared" ca="1" si="38"/>
        <v>1.7966695880806315E-2</v>
      </c>
      <c r="J790" s="16"/>
    </row>
    <row r="791" spans="1:10" x14ac:dyDescent="0.2">
      <c r="A791" s="3">
        <v>43420</v>
      </c>
      <c r="B791" s="1">
        <f ca="1">IFERROR(__xludf.DUMMYFUNCTION("""COMPUTED_VALUE"""),23.01)</f>
        <v>23.01</v>
      </c>
      <c r="C791" s="1">
        <f ca="1">IFERROR(__xludf.DUMMYFUNCTION("""COMPUTED_VALUE"""),23.71)</f>
        <v>23.71</v>
      </c>
      <c r="D791" s="1">
        <f ca="1">IFERROR(__xludf.DUMMYFUNCTION("""COMPUTED_VALUE"""),23.01)</f>
        <v>23.01</v>
      </c>
      <c r="E791" s="1">
        <f ca="1">IFERROR(__xludf.DUMMYFUNCTION("""COMPUTED_VALUE"""),23.62)</f>
        <v>23.62</v>
      </c>
      <c r="F791" s="1">
        <f ca="1">IFERROR(__xludf.DUMMYFUNCTION("""COMPUTED_VALUE"""),7206191)</f>
        <v>7206191</v>
      </c>
      <c r="G791" s="5">
        <f t="shared" ca="1" si="36"/>
        <v>-2.5402201524133052E-3</v>
      </c>
      <c r="H791" s="14">
        <f t="shared" si="37"/>
        <v>2018</v>
      </c>
      <c r="I791" s="5">
        <f t="shared" ca="1" si="38"/>
        <v>2.6510212950890892E-2</v>
      </c>
      <c r="J791" s="16"/>
    </row>
    <row r="792" spans="1:10" x14ac:dyDescent="0.2">
      <c r="A792" s="3">
        <v>43423</v>
      </c>
      <c r="B792" s="1">
        <f ca="1">IFERROR(__xludf.DUMMYFUNCTION("""COMPUTED_VALUE"""),23.76)</f>
        <v>23.76</v>
      </c>
      <c r="C792" s="1">
        <f ca="1">IFERROR(__xludf.DUMMYFUNCTION("""COMPUTED_VALUE"""),24.45)</f>
        <v>24.45</v>
      </c>
      <c r="D792" s="1">
        <f ca="1">IFERROR(__xludf.DUMMYFUNCTION("""COMPUTED_VALUE"""),23.53)</f>
        <v>23.53</v>
      </c>
      <c r="E792" s="1">
        <f ca="1">IFERROR(__xludf.DUMMYFUNCTION("""COMPUTED_VALUE"""),23.56)</f>
        <v>23.56</v>
      </c>
      <c r="F792" s="1">
        <f ca="1">IFERROR(__xludf.DUMMYFUNCTION("""COMPUTED_VALUE"""),9708871)</f>
        <v>9708871</v>
      </c>
      <c r="G792" s="5">
        <f t="shared" ca="1" si="36"/>
        <v>-1.6553480475381879E-2</v>
      </c>
      <c r="H792" s="14">
        <f t="shared" si="37"/>
        <v>2018</v>
      </c>
      <c r="I792" s="5">
        <f t="shared" ca="1" si="38"/>
        <v>-8.4175084175085371E-3</v>
      </c>
      <c r="J792" s="16"/>
    </row>
    <row r="793" spans="1:10" x14ac:dyDescent="0.2">
      <c r="A793" s="3">
        <v>43424</v>
      </c>
      <c r="B793" s="1">
        <f ca="1">IFERROR(__xludf.DUMMYFUNCTION("""COMPUTED_VALUE"""),22.78)</f>
        <v>22.78</v>
      </c>
      <c r="C793" s="1">
        <f ca="1">IFERROR(__xludf.DUMMYFUNCTION("""COMPUTED_VALUE"""),23.32)</f>
        <v>23.32</v>
      </c>
      <c r="D793" s="1">
        <f ca="1">IFERROR(__xludf.DUMMYFUNCTION("""COMPUTED_VALUE"""),22.24)</f>
        <v>22.24</v>
      </c>
      <c r="E793" s="1">
        <f ca="1">IFERROR(__xludf.DUMMYFUNCTION("""COMPUTED_VALUE"""),23.17)</f>
        <v>23.17</v>
      </c>
      <c r="F793" s="1">
        <f ca="1">IFERROR(__xludf.DUMMYFUNCTION("""COMPUTED_VALUE"""),8004709)</f>
        <v>8004709</v>
      </c>
      <c r="G793" s="5">
        <f t="shared" ca="1" si="36"/>
        <v>-2.6758739749676345E-2</v>
      </c>
      <c r="H793" s="14">
        <f t="shared" si="37"/>
        <v>2018</v>
      </c>
      <c r="I793" s="5">
        <f t="shared" ca="1" si="38"/>
        <v>1.7120280948200201E-2</v>
      </c>
      <c r="J793" s="16"/>
    </row>
    <row r="794" spans="1:10" x14ac:dyDescent="0.2">
      <c r="A794" s="3">
        <v>43425</v>
      </c>
      <c r="B794" s="1">
        <f ca="1">IFERROR(__xludf.DUMMYFUNCTION("""COMPUTED_VALUE"""),23.47)</f>
        <v>23.47</v>
      </c>
      <c r="C794" s="1">
        <f ca="1">IFERROR(__xludf.DUMMYFUNCTION("""COMPUTED_VALUE"""),23.54)</f>
        <v>23.54</v>
      </c>
      <c r="D794" s="1">
        <f ca="1">IFERROR(__xludf.DUMMYFUNCTION("""COMPUTED_VALUE"""),22.49)</f>
        <v>22.49</v>
      </c>
      <c r="E794" s="1">
        <f ca="1">IFERROR(__xludf.DUMMYFUNCTION("""COMPUTED_VALUE"""),22.55)</f>
        <v>22.55</v>
      </c>
      <c r="F794" s="1">
        <f ca="1">IFERROR(__xludf.DUMMYFUNCTION("""COMPUTED_VALUE"""),4686808)</f>
        <v>4686808</v>
      </c>
      <c r="G794" s="5">
        <f t="shared" ca="1" si="36"/>
        <v>-3.680709534368079E-2</v>
      </c>
      <c r="H794" s="14">
        <f t="shared" si="37"/>
        <v>2018</v>
      </c>
      <c r="I794" s="5">
        <f t="shared" ca="1" si="38"/>
        <v>-3.9198977417980327E-2</v>
      </c>
      <c r="J794" s="16"/>
    </row>
    <row r="795" spans="1:10" x14ac:dyDescent="0.2">
      <c r="A795" s="3">
        <v>43427</v>
      </c>
      <c r="B795" s="1">
        <f ca="1">IFERROR(__xludf.DUMMYFUNCTION("""COMPUTED_VALUE"""),22.29)</f>
        <v>22.29</v>
      </c>
      <c r="C795" s="1">
        <f ca="1">IFERROR(__xludf.DUMMYFUNCTION("""COMPUTED_VALUE"""),22.5)</f>
        <v>22.5</v>
      </c>
      <c r="D795" s="1">
        <f ca="1">IFERROR(__xludf.DUMMYFUNCTION("""COMPUTED_VALUE"""),21.7)</f>
        <v>21.7</v>
      </c>
      <c r="E795" s="1">
        <f ca="1">IFERROR(__xludf.DUMMYFUNCTION("""COMPUTED_VALUE"""),21.72)</f>
        <v>21.72</v>
      </c>
      <c r="F795" s="1">
        <f ca="1">IFERROR(__xludf.DUMMYFUNCTION("""COMPUTED_VALUE"""),4202642)</f>
        <v>4202642</v>
      </c>
      <c r="G795" s="5">
        <f t="shared" ca="1" si="36"/>
        <v>6.2154696132596755E-2</v>
      </c>
      <c r="H795" s="14">
        <f t="shared" si="37"/>
        <v>2018</v>
      </c>
      <c r="I795" s="5">
        <f t="shared" ca="1" si="38"/>
        <v>-2.5572005383580093E-2</v>
      </c>
      <c r="J795" s="16"/>
    </row>
    <row r="796" spans="1:10" x14ac:dyDescent="0.2">
      <c r="A796" s="3">
        <v>43430</v>
      </c>
      <c r="B796" s="1">
        <f ca="1">IFERROR(__xludf.DUMMYFUNCTION("""COMPUTED_VALUE"""),21.67)</f>
        <v>21.67</v>
      </c>
      <c r="C796" s="1">
        <f ca="1">IFERROR(__xludf.DUMMYFUNCTION("""COMPUTED_VALUE"""),23.08)</f>
        <v>23.08</v>
      </c>
      <c r="D796" s="1">
        <f ca="1">IFERROR(__xludf.DUMMYFUNCTION("""COMPUTED_VALUE"""),21.67)</f>
        <v>21.67</v>
      </c>
      <c r="E796" s="1">
        <f ca="1">IFERROR(__xludf.DUMMYFUNCTION("""COMPUTED_VALUE"""),23.07)</f>
        <v>23.07</v>
      </c>
      <c r="F796" s="1">
        <f ca="1">IFERROR(__xludf.DUMMYFUNCTION("""COMPUTED_VALUE"""),7992141)</f>
        <v>7992141</v>
      </c>
      <c r="G796" s="5">
        <f t="shared" ca="1" si="36"/>
        <v>-6.0684872128305405E-3</v>
      </c>
      <c r="H796" s="14">
        <f t="shared" si="37"/>
        <v>2018</v>
      </c>
      <c r="I796" s="5">
        <f t="shared" ca="1" si="38"/>
        <v>6.460544531610514E-2</v>
      </c>
      <c r="J796" s="16"/>
    </row>
    <row r="797" spans="1:10" x14ac:dyDescent="0.2">
      <c r="A797" s="3">
        <v>43431</v>
      </c>
      <c r="B797" s="1">
        <f ca="1">IFERROR(__xludf.DUMMYFUNCTION("""COMPUTED_VALUE"""),22.67)</f>
        <v>22.67</v>
      </c>
      <c r="C797" s="1">
        <f ca="1">IFERROR(__xludf.DUMMYFUNCTION("""COMPUTED_VALUE"""),23.13)</f>
        <v>23.13</v>
      </c>
      <c r="D797" s="1">
        <f ca="1">IFERROR(__xludf.DUMMYFUNCTION("""COMPUTED_VALUE"""),22.37)</f>
        <v>22.37</v>
      </c>
      <c r="E797" s="1">
        <f ca="1">IFERROR(__xludf.DUMMYFUNCTION("""COMPUTED_VALUE"""),22.93)</f>
        <v>22.93</v>
      </c>
      <c r="F797" s="1">
        <f ca="1">IFERROR(__xludf.DUMMYFUNCTION("""COMPUTED_VALUE"""),6358300)</f>
        <v>6358300</v>
      </c>
      <c r="G797" s="5">
        <f t="shared" ca="1" si="36"/>
        <v>1.1338857392062867E-2</v>
      </c>
      <c r="H797" s="14">
        <f t="shared" si="37"/>
        <v>2018</v>
      </c>
      <c r="I797" s="5">
        <f t="shared" ca="1" si="38"/>
        <v>1.1468901632112836E-2</v>
      </c>
      <c r="J797" s="16"/>
    </row>
    <row r="798" spans="1:10" x14ac:dyDescent="0.2">
      <c r="A798" s="3">
        <v>43432</v>
      </c>
      <c r="B798" s="1">
        <f ca="1">IFERROR(__xludf.DUMMYFUNCTION("""COMPUTED_VALUE"""),23.07)</f>
        <v>23.07</v>
      </c>
      <c r="C798" s="1">
        <f ca="1">IFERROR(__xludf.DUMMYFUNCTION("""COMPUTED_VALUE"""),23.22)</f>
        <v>23.22</v>
      </c>
      <c r="D798" s="1">
        <f ca="1">IFERROR(__xludf.DUMMYFUNCTION("""COMPUTED_VALUE"""),22.81)</f>
        <v>22.81</v>
      </c>
      <c r="E798" s="1">
        <f ca="1">IFERROR(__xludf.DUMMYFUNCTION("""COMPUTED_VALUE"""),23.19)</f>
        <v>23.19</v>
      </c>
      <c r="F798" s="1">
        <f ca="1">IFERROR(__xludf.DUMMYFUNCTION("""COMPUTED_VALUE"""),4127578)</f>
        <v>4127578</v>
      </c>
      <c r="G798" s="5">
        <f t="shared" ca="1" si="36"/>
        <v>-1.9404915912031171E-2</v>
      </c>
      <c r="H798" s="14">
        <f t="shared" si="37"/>
        <v>2018</v>
      </c>
      <c r="I798" s="5">
        <f t="shared" ca="1" si="38"/>
        <v>5.2015604681404856E-3</v>
      </c>
      <c r="J798" s="16"/>
    </row>
    <row r="799" spans="1:10" x14ac:dyDescent="0.2">
      <c r="A799" s="3">
        <v>43433</v>
      </c>
      <c r="B799" s="1">
        <f ca="1">IFERROR(__xludf.DUMMYFUNCTION("""COMPUTED_VALUE"""),23.13)</f>
        <v>23.13</v>
      </c>
      <c r="C799" s="1">
        <f ca="1">IFERROR(__xludf.DUMMYFUNCTION("""COMPUTED_VALUE"""),23.17)</f>
        <v>23.17</v>
      </c>
      <c r="D799" s="1">
        <f ca="1">IFERROR(__xludf.DUMMYFUNCTION("""COMPUTED_VALUE"""),22.64)</f>
        <v>22.64</v>
      </c>
      <c r="E799" s="1">
        <f ca="1">IFERROR(__xludf.DUMMYFUNCTION("""COMPUTED_VALUE"""),22.74)</f>
        <v>22.74</v>
      </c>
      <c r="F799" s="1">
        <f ca="1">IFERROR(__xludf.DUMMYFUNCTION("""COMPUTED_VALUE"""),3080724)</f>
        <v>3080724</v>
      </c>
      <c r="G799" s="5">
        <f t="shared" ca="1" si="36"/>
        <v>2.7704485488126762E-2</v>
      </c>
      <c r="H799" s="14">
        <f t="shared" si="37"/>
        <v>2018</v>
      </c>
      <c r="I799" s="5">
        <f t="shared" ca="1" si="38"/>
        <v>-1.6861219195849573E-2</v>
      </c>
      <c r="J799" s="16"/>
    </row>
    <row r="800" spans="1:10" x14ac:dyDescent="0.2">
      <c r="A800" s="3">
        <v>43434</v>
      </c>
      <c r="B800" s="1">
        <f ca="1">IFERROR(__xludf.DUMMYFUNCTION("""COMPUTED_VALUE"""),22.79)</f>
        <v>22.79</v>
      </c>
      <c r="C800" s="1">
        <f ca="1">IFERROR(__xludf.DUMMYFUNCTION("""COMPUTED_VALUE"""),23.44)</f>
        <v>23.44</v>
      </c>
      <c r="D800" s="1">
        <f ca="1">IFERROR(__xludf.DUMMYFUNCTION("""COMPUTED_VALUE"""),22.55)</f>
        <v>22.55</v>
      </c>
      <c r="E800" s="1">
        <f ca="1">IFERROR(__xludf.DUMMYFUNCTION("""COMPUTED_VALUE"""),23.37)</f>
        <v>23.37</v>
      </c>
      <c r="F800" s="1">
        <f ca="1">IFERROR(__xludf.DUMMYFUNCTION("""COMPUTED_VALUE"""),5628895)</f>
        <v>5628895</v>
      </c>
      <c r="G800" s="5">
        <f t="shared" ca="1" si="36"/>
        <v>2.2678647839109865E-2</v>
      </c>
      <c r="H800" s="14">
        <f t="shared" si="37"/>
        <v>2018</v>
      </c>
      <c r="I800" s="5">
        <f t="shared" ca="1" si="38"/>
        <v>2.5449758666081696E-2</v>
      </c>
      <c r="J800" s="16"/>
    </row>
    <row r="801" spans="1:10" x14ac:dyDescent="0.2">
      <c r="A801" s="3">
        <v>43437</v>
      </c>
      <c r="B801" s="1">
        <f ca="1">IFERROR(__xludf.DUMMYFUNCTION("""COMPUTED_VALUE"""),24)</f>
        <v>24</v>
      </c>
      <c r="C801" s="1">
        <f ca="1">IFERROR(__xludf.DUMMYFUNCTION("""COMPUTED_VALUE"""),24.4)</f>
        <v>24.4</v>
      </c>
      <c r="D801" s="1">
        <f ca="1">IFERROR(__xludf.DUMMYFUNCTION("""COMPUTED_VALUE"""),23.47)</f>
        <v>23.47</v>
      </c>
      <c r="E801" s="1">
        <f ca="1">IFERROR(__xludf.DUMMYFUNCTION("""COMPUTED_VALUE"""),23.9)</f>
        <v>23.9</v>
      </c>
      <c r="F801" s="1">
        <f ca="1">IFERROR(__xludf.DUMMYFUNCTION("""COMPUTED_VALUE"""),8306511)</f>
        <v>8306511</v>
      </c>
      <c r="G801" s="5">
        <f t="shared" ca="1" si="36"/>
        <v>3.3472803347281109E-3</v>
      </c>
      <c r="H801" s="14">
        <f t="shared" si="37"/>
        <v>2018</v>
      </c>
      <c r="I801" s="5">
        <f t="shared" ca="1" si="38"/>
        <v>-4.1666666666667256E-3</v>
      </c>
      <c r="J801" s="16"/>
    </row>
    <row r="802" spans="1:10" x14ac:dyDescent="0.2">
      <c r="A802" s="3">
        <v>43438</v>
      </c>
      <c r="B802" s="1">
        <f ca="1">IFERROR(__xludf.DUMMYFUNCTION("""COMPUTED_VALUE"""),23.74)</f>
        <v>23.74</v>
      </c>
      <c r="C802" s="1">
        <f ca="1">IFERROR(__xludf.DUMMYFUNCTION("""COMPUTED_VALUE"""),24.58)</f>
        <v>24.58</v>
      </c>
      <c r="D802" s="1">
        <f ca="1">IFERROR(__xludf.DUMMYFUNCTION("""COMPUTED_VALUE"""),23.47)</f>
        <v>23.47</v>
      </c>
      <c r="E802" s="1">
        <f ca="1">IFERROR(__xludf.DUMMYFUNCTION("""COMPUTED_VALUE"""),23.98)</f>
        <v>23.98</v>
      </c>
      <c r="F802" s="1">
        <f ca="1">IFERROR(__xludf.DUMMYFUNCTION("""COMPUTED_VALUE"""),8461945)</f>
        <v>8461945</v>
      </c>
      <c r="G802" s="5">
        <f t="shared" ca="1" si="36"/>
        <v>9.1743119266054565E-3</v>
      </c>
      <c r="H802" s="14">
        <f t="shared" si="37"/>
        <v>2018</v>
      </c>
      <c r="I802" s="5">
        <f t="shared" ca="1" si="38"/>
        <v>1.0109519797809689E-2</v>
      </c>
      <c r="J802" s="16"/>
    </row>
    <row r="803" spans="1:10" x14ac:dyDescent="0.2">
      <c r="A803" s="3">
        <v>43440</v>
      </c>
      <c r="B803" s="1">
        <f ca="1">IFERROR(__xludf.DUMMYFUNCTION("""COMPUTED_VALUE"""),23.73)</f>
        <v>23.73</v>
      </c>
      <c r="C803" s="1">
        <f ca="1">IFERROR(__xludf.DUMMYFUNCTION("""COMPUTED_VALUE"""),24.49)</f>
        <v>24.49</v>
      </c>
      <c r="D803" s="1">
        <f ca="1">IFERROR(__xludf.DUMMYFUNCTION("""COMPUTED_VALUE"""),23.38)</f>
        <v>23.38</v>
      </c>
      <c r="E803" s="1">
        <f ca="1">IFERROR(__xludf.DUMMYFUNCTION("""COMPUTED_VALUE"""),24.2)</f>
        <v>24.2</v>
      </c>
      <c r="F803" s="1">
        <f ca="1">IFERROR(__xludf.DUMMYFUNCTION("""COMPUTED_VALUE"""),7842508)</f>
        <v>7842508</v>
      </c>
      <c r="G803" s="5">
        <f t="shared" ca="1" si="36"/>
        <v>-1.4049586776859498E-2</v>
      </c>
      <c r="H803" s="14">
        <f t="shared" si="37"/>
        <v>2018</v>
      </c>
      <c r="I803" s="5">
        <f t="shared" ca="1" si="38"/>
        <v>1.9806152549515333E-2</v>
      </c>
      <c r="J803" s="16"/>
    </row>
    <row r="804" spans="1:10" x14ac:dyDescent="0.2">
      <c r="A804" s="3">
        <v>43441</v>
      </c>
      <c r="B804" s="1">
        <f ca="1">IFERROR(__xludf.DUMMYFUNCTION("""COMPUTED_VALUE"""),24.6)</f>
        <v>24.6</v>
      </c>
      <c r="C804" s="1">
        <f ca="1">IFERROR(__xludf.DUMMYFUNCTION("""COMPUTED_VALUE"""),25.3)</f>
        <v>25.3</v>
      </c>
      <c r="D804" s="1">
        <f ca="1">IFERROR(__xludf.DUMMYFUNCTION("""COMPUTED_VALUE"""),23.84)</f>
        <v>23.84</v>
      </c>
      <c r="E804" s="1">
        <f ca="1">IFERROR(__xludf.DUMMYFUNCTION("""COMPUTED_VALUE"""),23.86)</f>
        <v>23.86</v>
      </c>
      <c r="F804" s="1">
        <f ca="1">IFERROR(__xludf.DUMMYFUNCTION("""COMPUTED_VALUE"""),11511177)</f>
        <v>11511177</v>
      </c>
      <c r="G804" s="5">
        <f t="shared" ca="1" si="36"/>
        <v>2.011735121542332E-2</v>
      </c>
      <c r="H804" s="14">
        <f t="shared" si="37"/>
        <v>2018</v>
      </c>
      <c r="I804" s="5">
        <f t="shared" ca="1" si="38"/>
        <v>-3.0081300813008208E-2</v>
      </c>
      <c r="J804" s="16"/>
    </row>
    <row r="805" spans="1:10" x14ac:dyDescent="0.2">
      <c r="A805" s="3">
        <v>43444</v>
      </c>
      <c r="B805" s="1">
        <f ca="1">IFERROR(__xludf.DUMMYFUNCTION("""COMPUTED_VALUE"""),24)</f>
        <v>24</v>
      </c>
      <c r="C805" s="1">
        <f ca="1">IFERROR(__xludf.DUMMYFUNCTION("""COMPUTED_VALUE"""),24.4)</f>
        <v>24.4</v>
      </c>
      <c r="D805" s="1">
        <f ca="1">IFERROR(__xludf.DUMMYFUNCTION("""COMPUTED_VALUE"""),23.54)</f>
        <v>23.54</v>
      </c>
      <c r="E805" s="1">
        <f ca="1">IFERROR(__xludf.DUMMYFUNCTION("""COMPUTED_VALUE"""),24.34)</f>
        <v>24.34</v>
      </c>
      <c r="F805" s="1">
        <f ca="1">IFERROR(__xludf.DUMMYFUNCTION("""COMPUTED_VALUE"""),6613455)</f>
        <v>6613455</v>
      </c>
      <c r="G805" s="5">
        <f t="shared" ca="1" si="36"/>
        <v>4.5193097781429511E-3</v>
      </c>
      <c r="H805" s="14">
        <f t="shared" si="37"/>
        <v>2018</v>
      </c>
      <c r="I805" s="5">
        <f t="shared" ca="1" si="38"/>
        <v>1.4166666666666661E-2</v>
      </c>
      <c r="J805" s="16"/>
    </row>
    <row r="806" spans="1:10" x14ac:dyDescent="0.2">
      <c r="A806" s="3">
        <v>43445</v>
      </c>
      <c r="B806" s="1">
        <f ca="1">IFERROR(__xludf.DUMMYFUNCTION("""COMPUTED_VALUE"""),24.66)</f>
        <v>24.66</v>
      </c>
      <c r="C806" s="1">
        <f ca="1">IFERROR(__xludf.DUMMYFUNCTION("""COMPUTED_VALUE"""),24.81)</f>
        <v>24.81</v>
      </c>
      <c r="D806" s="1">
        <f ca="1">IFERROR(__xludf.DUMMYFUNCTION("""COMPUTED_VALUE"""),24.02)</f>
        <v>24.02</v>
      </c>
      <c r="E806" s="1">
        <f ca="1">IFERROR(__xludf.DUMMYFUNCTION("""COMPUTED_VALUE"""),24.45)</f>
        <v>24.45</v>
      </c>
      <c r="F806" s="1">
        <f ca="1">IFERROR(__xludf.DUMMYFUNCTION("""COMPUTED_VALUE"""),6308769)</f>
        <v>6308769</v>
      </c>
      <c r="G806" s="5">
        <f t="shared" ca="1" si="36"/>
        <v>-4.0899795501014359E-4</v>
      </c>
      <c r="H806" s="14">
        <f t="shared" si="37"/>
        <v>2018</v>
      </c>
      <c r="I806" s="5">
        <f t="shared" ca="1" si="38"/>
        <v>-8.5158150851581856E-3</v>
      </c>
      <c r="J806" s="16"/>
    </row>
    <row r="807" spans="1:10" x14ac:dyDescent="0.2">
      <c r="A807" s="3">
        <v>43446</v>
      </c>
      <c r="B807" s="1">
        <f ca="1">IFERROR(__xludf.DUMMYFUNCTION("""COMPUTED_VALUE"""),24.63)</f>
        <v>24.63</v>
      </c>
      <c r="C807" s="1">
        <f ca="1">IFERROR(__xludf.DUMMYFUNCTION("""COMPUTED_VALUE"""),24.79)</f>
        <v>24.79</v>
      </c>
      <c r="D807" s="1">
        <f ca="1">IFERROR(__xludf.DUMMYFUNCTION("""COMPUTED_VALUE"""),24.34)</f>
        <v>24.34</v>
      </c>
      <c r="E807" s="1">
        <f ca="1">IFERROR(__xludf.DUMMYFUNCTION("""COMPUTED_VALUE"""),24.44)</f>
        <v>24.44</v>
      </c>
      <c r="F807" s="1">
        <f ca="1">IFERROR(__xludf.DUMMYFUNCTION("""COMPUTED_VALUE"""),5027048)</f>
        <v>5027048</v>
      </c>
      <c r="G807" s="5">
        <f t="shared" ca="1" si="36"/>
        <v>2.7823240589198023E-2</v>
      </c>
      <c r="H807" s="14">
        <f t="shared" si="37"/>
        <v>2018</v>
      </c>
      <c r="I807" s="5">
        <f t="shared" ca="1" si="38"/>
        <v>-7.7141697117335661E-3</v>
      </c>
      <c r="J807" s="16"/>
    </row>
    <row r="808" spans="1:10" x14ac:dyDescent="0.2">
      <c r="A808" s="3">
        <v>43447</v>
      </c>
      <c r="B808" s="1">
        <f ca="1">IFERROR(__xludf.DUMMYFUNCTION("""COMPUTED_VALUE"""),24.68)</f>
        <v>24.68</v>
      </c>
      <c r="C808" s="1">
        <f ca="1">IFERROR(__xludf.DUMMYFUNCTION("""COMPUTED_VALUE"""),25.16)</f>
        <v>25.16</v>
      </c>
      <c r="D808" s="1">
        <f ca="1">IFERROR(__xludf.DUMMYFUNCTION("""COMPUTED_VALUE"""),24.45)</f>
        <v>24.45</v>
      </c>
      <c r="E808" s="1">
        <f ca="1">IFERROR(__xludf.DUMMYFUNCTION("""COMPUTED_VALUE"""),25.12)</f>
        <v>25.12</v>
      </c>
      <c r="F808" s="1">
        <f ca="1">IFERROR(__xludf.DUMMYFUNCTION("""COMPUTED_VALUE"""),7365854)</f>
        <v>7365854</v>
      </c>
      <c r="G808" s="5">
        <f t="shared" ca="1" si="36"/>
        <v>-2.9458598726114726E-2</v>
      </c>
      <c r="H808" s="14">
        <f t="shared" si="37"/>
        <v>2018</v>
      </c>
      <c r="I808" s="5">
        <f t="shared" ca="1" si="38"/>
        <v>1.7828200972447378E-2</v>
      </c>
      <c r="J808" s="16"/>
    </row>
    <row r="809" spans="1:10" x14ac:dyDescent="0.2">
      <c r="A809" s="3">
        <v>43448</v>
      </c>
      <c r="B809" s="1">
        <f ca="1">IFERROR(__xludf.DUMMYFUNCTION("""COMPUTED_VALUE"""),25)</f>
        <v>25</v>
      </c>
      <c r="C809" s="1">
        <f ca="1">IFERROR(__xludf.DUMMYFUNCTION("""COMPUTED_VALUE"""),25.19)</f>
        <v>25.19</v>
      </c>
      <c r="D809" s="1">
        <f ca="1">IFERROR(__xludf.DUMMYFUNCTION("""COMPUTED_VALUE"""),24.29)</f>
        <v>24.29</v>
      </c>
      <c r="E809" s="1">
        <f ca="1">IFERROR(__xludf.DUMMYFUNCTION("""COMPUTED_VALUE"""),24.38)</f>
        <v>24.38</v>
      </c>
      <c r="F809" s="1">
        <f ca="1">IFERROR(__xludf.DUMMYFUNCTION("""COMPUTED_VALUE"""),6337555)</f>
        <v>6337555</v>
      </c>
      <c r="G809" s="5">
        <f t="shared" ca="1" si="36"/>
        <v>-4.7169811320754658E-2</v>
      </c>
      <c r="H809" s="14">
        <f t="shared" si="37"/>
        <v>2018</v>
      </c>
      <c r="I809" s="5">
        <f t="shared" ca="1" si="38"/>
        <v>-2.4800000000000041E-2</v>
      </c>
      <c r="J809" s="16"/>
    </row>
    <row r="810" spans="1:10" x14ac:dyDescent="0.2">
      <c r="A810" s="3">
        <v>43451</v>
      </c>
      <c r="B810" s="1">
        <f ca="1">IFERROR(__xludf.DUMMYFUNCTION("""COMPUTED_VALUE"""),24.13)</f>
        <v>24.13</v>
      </c>
      <c r="C810" s="1">
        <f ca="1">IFERROR(__xludf.DUMMYFUNCTION("""COMPUTED_VALUE"""),24.38)</f>
        <v>24.38</v>
      </c>
      <c r="D810" s="1">
        <f ca="1">IFERROR(__xludf.DUMMYFUNCTION("""COMPUTED_VALUE"""),22.93)</f>
        <v>22.93</v>
      </c>
      <c r="E810" s="1">
        <f ca="1">IFERROR(__xludf.DUMMYFUNCTION("""COMPUTED_VALUE"""),23.23)</f>
        <v>23.23</v>
      </c>
      <c r="F810" s="1">
        <f ca="1">IFERROR(__xludf.DUMMYFUNCTION("""COMPUTED_VALUE"""),7674008)</f>
        <v>7674008</v>
      </c>
      <c r="G810" s="5">
        <f t="shared" ca="1" si="36"/>
        <v>-3.2716315109771917E-2</v>
      </c>
      <c r="H810" s="14">
        <f t="shared" si="37"/>
        <v>2018</v>
      </c>
      <c r="I810" s="5">
        <f t="shared" ca="1" si="38"/>
        <v>-3.7297969332780713E-2</v>
      </c>
      <c r="J810" s="16"/>
    </row>
    <row r="811" spans="1:10" x14ac:dyDescent="0.2">
      <c r="A811" s="3">
        <v>43452</v>
      </c>
      <c r="B811" s="1">
        <f ca="1">IFERROR(__xludf.DUMMYFUNCTION("""COMPUTED_VALUE"""),23.37)</f>
        <v>23.37</v>
      </c>
      <c r="C811" s="1">
        <f ca="1">IFERROR(__xludf.DUMMYFUNCTION("""COMPUTED_VALUE"""),23.44)</f>
        <v>23.44</v>
      </c>
      <c r="D811" s="1">
        <f ca="1">IFERROR(__xludf.DUMMYFUNCTION("""COMPUTED_VALUE"""),22.25)</f>
        <v>22.25</v>
      </c>
      <c r="E811" s="1">
        <f ca="1">IFERROR(__xludf.DUMMYFUNCTION("""COMPUTED_VALUE"""),22.47)</f>
        <v>22.47</v>
      </c>
      <c r="F811" s="1">
        <f ca="1">IFERROR(__xludf.DUMMYFUNCTION("""COMPUTED_VALUE"""),7099999)</f>
        <v>7099999</v>
      </c>
      <c r="G811" s="5">
        <f t="shared" ca="1" si="36"/>
        <v>-1.2016021361815735E-2</v>
      </c>
      <c r="H811" s="14">
        <f t="shared" si="37"/>
        <v>2018</v>
      </c>
      <c r="I811" s="5">
        <f t="shared" ca="1" si="38"/>
        <v>-3.8510911424903815E-2</v>
      </c>
      <c r="J811" s="16"/>
    </row>
    <row r="812" spans="1:10" x14ac:dyDescent="0.2">
      <c r="A812" s="3">
        <v>43453</v>
      </c>
      <c r="B812" s="1">
        <f ca="1">IFERROR(__xludf.DUMMYFUNCTION("""COMPUTED_VALUE"""),22.51)</f>
        <v>22.51</v>
      </c>
      <c r="C812" s="1">
        <f ca="1">IFERROR(__xludf.DUMMYFUNCTION("""COMPUTED_VALUE"""),23.13)</f>
        <v>23.13</v>
      </c>
      <c r="D812" s="1">
        <f ca="1">IFERROR(__xludf.DUMMYFUNCTION("""COMPUTED_VALUE"""),21.98)</f>
        <v>21.98</v>
      </c>
      <c r="E812" s="1">
        <f ca="1">IFERROR(__xludf.DUMMYFUNCTION("""COMPUTED_VALUE"""),22.2)</f>
        <v>22.2</v>
      </c>
      <c r="F812" s="1">
        <f ca="1">IFERROR(__xludf.DUMMYFUNCTION("""COMPUTED_VALUE"""),8274181)</f>
        <v>8274181</v>
      </c>
      <c r="G812" s="5">
        <f t="shared" ca="1" si="36"/>
        <v>-5.2702702702702622E-2</v>
      </c>
      <c r="H812" s="14">
        <f t="shared" si="37"/>
        <v>2018</v>
      </c>
      <c r="I812" s="5">
        <f t="shared" ca="1" si="38"/>
        <v>-1.3771657041315071E-2</v>
      </c>
      <c r="J812" s="16"/>
    </row>
    <row r="813" spans="1:10" x14ac:dyDescent="0.2">
      <c r="A813" s="3">
        <v>43454</v>
      </c>
      <c r="B813" s="1">
        <f ca="1">IFERROR(__xludf.DUMMYFUNCTION("""COMPUTED_VALUE"""),21.8)</f>
        <v>21.8</v>
      </c>
      <c r="C813" s="1">
        <f ca="1">IFERROR(__xludf.DUMMYFUNCTION("""COMPUTED_VALUE"""),22.02)</f>
        <v>22.02</v>
      </c>
      <c r="D813" s="1">
        <f ca="1">IFERROR(__xludf.DUMMYFUNCTION("""COMPUTED_VALUE"""),20.79)</f>
        <v>20.79</v>
      </c>
      <c r="E813" s="1">
        <f ca="1">IFERROR(__xludf.DUMMYFUNCTION("""COMPUTED_VALUE"""),21.03)</f>
        <v>21.03</v>
      </c>
      <c r="F813" s="1">
        <f ca="1">IFERROR(__xludf.DUMMYFUNCTION("""COMPUTED_VALUE"""),9071858)</f>
        <v>9071858</v>
      </c>
      <c r="G813" s="5">
        <f t="shared" ca="1" si="36"/>
        <v>1.3789824060865388E-2</v>
      </c>
      <c r="H813" s="14">
        <f t="shared" si="37"/>
        <v>2018</v>
      </c>
      <c r="I813" s="5">
        <f t="shared" ca="1" si="38"/>
        <v>-3.5321100917431174E-2</v>
      </c>
      <c r="J813" s="16"/>
    </row>
    <row r="814" spans="1:10" x14ac:dyDescent="0.2">
      <c r="A814" s="3">
        <v>43455</v>
      </c>
      <c r="B814" s="1">
        <f ca="1">IFERROR(__xludf.DUMMYFUNCTION("""COMPUTED_VALUE"""),21.16)</f>
        <v>21.16</v>
      </c>
      <c r="C814" s="1">
        <f ca="1">IFERROR(__xludf.DUMMYFUNCTION("""COMPUTED_VALUE"""),21.56)</f>
        <v>21.56</v>
      </c>
      <c r="D814" s="1">
        <f ca="1">IFERROR(__xludf.DUMMYFUNCTION("""COMPUTED_VALUE"""),20.83)</f>
        <v>20.83</v>
      </c>
      <c r="E814" s="1">
        <f ca="1">IFERROR(__xludf.DUMMYFUNCTION("""COMPUTED_VALUE"""),21.32)</f>
        <v>21.32</v>
      </c>
      <c r="F814" s="1">
        <f ca="1">IFERROR(__xludf.DUMMYFUNCTION("""COMPUTED_VALUE"""),8016801)</f>
        <v>8016801</v>
      </c>
      <c r="G814" s="5">
        <f t="shared" ca="1" si="36"/>
        <v>-7.6454033771106891E-2</v>
      </c>
      <c r="H814" s="14">
        <f t="shared" si="37"/>
        <v>2018</v>
      </c>
      <c r="I814" s="5">
        <f t="shared" ca="1" si="38"/>
        <v>7.5614366729678702E-3</v>
      </c>
      <c r="J814" s="16"/>
    </row>
    <row r="815" spans="1:10" x14ac:dyDescent="0.2">
      <c r="A815" s="3">
        <v>43458</v>
      </c>
      <c r="B815" s="1">
        <f ca="1">IFERROR(__xludf.DUMMYFUNCTION("""COMPUTED_VALUE"""),20.9)</f>
        <v>20.9</v>
      </c>
      <c r="C815" s="1">
        <f ca="1">IFERROR(__xludf.DUMMYFUNCTION("""COMPUTED_VALUE"""),20.97)</f>
        <v>20.97</v>
      </c>
      <c r="D815" s="1">
        <f ca="1">IFERROR(__xludf.DUMMYFUNCTION("""COMPUTED_VALUE"""),19.68)</f>
        <v>19.68</v>
      </c>
      <c r="E815" s="1">
        <f ca="1">IFERROR(__xludf.DUMMYFUNCTION("""COMPUTED_VALUE"""),19.69)</f>
        <v>19.690000000000001</v>
      </c>
      <c r="F815" s="1">
        <f ca="1">IFERROR(__xludf.DUMMYFUNCTION("""COMPUTED_VALUE"""),5559913)</f>
        <v>5559913</v>
      </c>
      <c r="G815" s="5">
        <f t="shared" ca="1" si="36"/>
        <v>0.10411376333164027</v>
      </c>
      <c r="H815" s="14">
        <f t="shared" si="37"/>
        <v>2018</v>
      </c>
      <c r="I815" s="5">
        <f t="shared" ca="1" si="38"/>
        <v>-5.7894736842105138E-2</v>
      </c>
      <c r="J815" s="16"/>
    </row>
    <row r="816" spans="1:10" x14ac:dyDescent="0.2">
      <c r="A816" s="3">
        <v>43460</v>
      </c>
      <c r="B816" s="1">
        <f ca="1">IFERROR(__xludf.DUMMYFUNCTION("""COMPUTED_VALUE"""),20)</f>
        <v>20</v>
      </c>
      <c r="C816" s="1">
        <f ca="1">IFERROR(__xludf.DUMMYFUNCTION("""COMPUTED_VALUE"""),21.8)</f>
        <v>21.8</v>
      </c>
      <c r="D816" s="1">
        <f ca="1">IFERROR(__xludf.DUMMYFUNCTION("""COMPUTED_VALUE"""),19.61)</f>
        <v>19.61</v>
      </c>
      <c r="E816" s="1">
        <f ca="1">IFERROR(__xludf.DUMMYFUNCTION("""COMPUTED_VALUE"""),21.74)</f>
        <v>21.74</v>
      </c>
      <c r="F816" s="1">
        <f ca="1">IFERROR(__xludf.DUMMYFUNCTION("""COMPUTED_VALUE"""),8163138)</f>
        <v>8163138</v>
      </c>
      <c r="G816" s="5">
        <f t="shared" ca="1" si="36"/>
        <v>-3.0358785648574065E-2</v>
      </c>
      <c r="H816" s="14">
        <f t="shared" si="37"/>
        <v>2018</v>
      </c>
      <c r="I816" s="5">
        <f t="shared" ca="1" si="38"/>
        <v>8.6999999999999925E-2</v>
      </c>
      <c r="J816" s="16"/>
    </row>
    <row r="817" spans="1:10" x14ac:dyDescent="0.2">
      <c r="A817" s="3">
        <v>43461</v>
      </c>
      <c r="B817" s="1">
        <f ca="1">IFERROR(__xludf.DUMMYFUNCTION("""COMPUTED_VALUE"""),21.32)</f>
        <v>21.32</v>
      </c>
      <c r="C817" s="1">
        <f ca="1">IFERROR(__xludf.DUMMYFUNCTION("""COMPUTED_VALUE"""),21.48)</f>
        <v>21.48</v>
      </c>
      <c r="D817" s="1">
        <f ca="1">IFERROR(__xludf.DUMMYFUNCTION("""COMPUTED_VALUE"""),20.1)</f>
        <v>20.100000000000001</v>
      </c>
      <c r="E817" s="1">
        <f ca="1">IFERROR(__xludf.DUMMYFUNCTION("""COMPUTED_VALUE"""),21.08)</f>
        <v>21.08</v>
      </c>
      <c r="F817" s="1">
        <f ca="1">IFERROR(__xludf.DUMMYFUNCTION("""COMPUTED_VALUE"""),8575133)</f>
        <v>8575133</v>
      </c>
      <c r="G817" s="5">
        <f t="shared" ca="1" si="36"/>
        <v>5.5977229601518186E-2</v>
      </c>
      <c r="H817" s="14">
        <f t="shared" si="37"/>
        <v>2018</v>
      </c>
      <c r="I817" s="5">
        <f t="shared" ca="1" si="38"/>
        <v>-1.1257035647279643E-2</v>
      </c>
      <c r="J817" s="16"/>
    </row>
    <row r="818" spans="1:10" x14ac:dyDescent="0.2">
      <c r="A818" s="3">
        <v>43462</v>
      </c>
      <c r="B818" s="1">
        <f ca="1">IFERROR(__xludf.DUMMYFUNCTION("""COMPUTED_VALUE"""),21.54)</f>
        <v>21.54</v>
      </c>
      <c r="C818" s="1">
        <f ca="1">IFERROR(__xludf.DUMMYFUNCTION("""COMPUTED_VALUE"""),22.42)</f>
        <v>22.42</v>
      </c>
      <c r="D818" s="1">
        <f ca="1">IFERROR(__xludf.DUMMYFUNCTION("""COMPUTED_VALUE"""),21.23)</f>
        <v>21.23</v>
      </c>
      <c r="E818" s="1">
        <f ca="1">IFERROR(__xludf.DUMMYFUNCTION("""COMPUTED_VALUE"""),22.26)</f>
        <v>22.26</v>
      </c>
      <c r="F818" s="1">
        <f ca="1">IFERROR(__xludf.DUMMYFUNCTION("""COMPUTED_VALUE"""),9938992)</f>
        <v>9938992</v>
      </c>
      <c r="G818" s="5">
        <f t="shared" ca="1" si="36"/>
        <v>-3.1446540880503272E-3</v>
      </c>
      <c r="H818" s="14">
        <f t="shared" si="37"/>
        <v>2018</v>
      </c>
      <c r="I818" s="5">
        <f t="shared" ca="1" si="38"/>
        <v>3.3426183844011255E-2</v>
      </c>
      <c r="J818" s="16"/>
    </row>
    <row r="819" spans="1:10" x14ac:dyDescent="0.2">
      <c r="A819" s="3">
        <v>43465</v>
      </c>
      <c r="B819" s="1">
        <f ca="1">IFERROR(__xludf.DUMMYFUNCTION("""COMPUTED_VALUE"""),22.52)</f>
        <v>22.52</v>
      </c>
      <c r="C819" s="1">
        <f ca="1">IFERROR(__xludf.DUMMYFUNCTION("""COMPUTED_VALUE"""),22.61)</f>
        <v>22.61</v>
      </c>
      <c r="D819" s="1">
        <f ca="1">IFERROR(__xludf.DUMMYFUNCTION("""COMPUTED_VALUE"""),21.68)</f>
        <v>21.68</v>
      </c>
      <c r="E819" s="1">
        <f ca="1">IFERROR(__xludf.DUMMYFUNCTION("""COMPUTED_VALUE"""),22.19)</f>
        <v>22.19</v>
      </c>
      <c r="F819" s="1">
        <f ca="1">IFERROR(__xludf.DUMMYFUNCTION("""COMPUTED_VALUE"""),6302338)</f>
        <v>6302338</v>
      </c>
      <c r="G819" s="5">
        <f t="shared" ca="1" si="36"/>
        <v>-6.8499324019828722E-2</v>
      </c>
      <c r="H819" s="14">
        <f t="shared" si="37"/>
        <v>2018</v>
      </c>
      <c r="I819" s="5">
        <f t="shared" ca="1" si="38"/>
        <v>-1.4653641207815199E-2</v>
      </c>
      <c r="J819" s="16"/>
    </row>
    <row r="820" spans="1:10" x14ac:dyDescent="0.2">
      <c r="A820" s="3">
        <v>43467</v>
      </c>
      <c r="B820" s="1">
        <f ca="1">IFERROR(__xludf.DUMMYFUNCTION("""COMPUTED_VALUE"""),20.41)</f>
        <v>20.41</v>
      </c>
      <c r="C820" s="1">
        <f ca="1">IFERROR(__xludf.DUMMYFUNCTION("""COMPUTED_VALUE"""),21.01)</f>
        <v>21.01</v>
      </c>
      <c r="D820" s="1">
        <f ca="1">IFERROR(__xludf.DUMMYFUNCTION("""COMPUTED_VALUE"""),19.92)</f>
        <v>19.920000000000002</v>
      </c>
      <c r="E820" s="1">
        <f ca="1">IFERROR(__xludf.DUMMYFUNCTION("""COMPUTED_VALUE"""),20.67)</f>
        <v>20.67</v>
      </c>
      <c r="F820" s="1">
        <f ca="1">IFERROR(__xludf.DUMMYFUNCTION("""COMPUTED_VALUE"""),11658648)</f>
        <v>11658648</v>
      </c>
      <c r="G820" s="5">
        <f t="shared" ca="1" si="36"/>
        <v>-3.1446540880503242E-2</v>
      </c>
      <c r="H820" s="14">
        <f t="shared" si="37"/>
        <v>2019</v>
      </c>
      <c r="I820" s="5">
        <f t="shared" ca="1" si="38"/>
        <v>1.273885350318479E-2</v>
      </c>
      <c r="J820" s="16"/>
    </row>
    <row r="821" spans="1:10" x14ac:dyDescent="0.2">
      <c r="A821" s="3">
        <v>43468</v>
      </c>
      <c r="B821" s="1">
        <f ca="1">IFERROR(__xludf.DUMMYFUNCTION("""COMPUTED_VALUE"""),20.47)</f>
        <v>20.47</v>
      </c>
      <c r="C821" s="1">
        <f ca="1">IFERROR(__xludf.DUMMYFUNCTION("""COMPUTED_VALUE"""),20.63)</f>
        <v>20.63</v>
      </c>
      <c r="D821" s="1">
        <f ca="1">IFERROR(__xludf.DUMMYFUNCTION("""COMPUTED_VALUE"""),19.83)</f>
        <v>19.829999999999998</v>
      </c>
      <c r="E821" s="1">
        <f ca="1">IFERROR(__xludf.DUMMYFUNCTION("""COMPUTED_VALUE"""),20.02)</f>
        <v>20.02</v>
      </c>
      <c r="F821" s="1">
        <f ca="1">IFERROR(__xludf.DUMMYFUNCTION("""COMPUTED_VALUE"""),6965184)</f>
        <v>6965184</v>
      </c>
      <c r="G821" s="5">
        <f t="shared" ca="1" si="36"/>
        <v>5.7942057942057951E-2</v>
      </c>
      <c r="H821" s="14">
        <f t="shared" si="37"/>
        <v>2019</v>
      </c>
      <c r="I821" s="5">
        <f t="shared" ca="1" si="38"/>
        <v>-2.1983390327308224E-2</v>
      </c>
      <c r="J821" s="16"/>
    </row>
    <row r="822" spans="1:10" x14ac:dyDescent="0.2">
      <c r="A822" s="3">
        <v>43469</v>
      </c>
      <c r="B822" s="1">
        <f ca="1">IFERROR(__xludf.DUMMYFUNCTION("""COMPUTED_VALUE"""),20.4)</f>
        <v>20.399999999999999</v>
      </c>
      <c r="C822" s="1">
        <f ca="1">IFERROR(__xludf.DUMMYFUNCTION("""COMPUTED_VALUE"""),21.2)</f>
        <v>21.2</v>
      </c>
      <c r="D822" s="1">
        <f ca="1">IFERROR(__xludf.DUMMYFUNCTION("""COMPUTED_VALUE"""),20.18)</f>
        <v>20.18</v>
      </c>
      <c r="E822" s="1">
        <f ca="1">IFERROR(__xludf.DUMMYFUNCTION("""COMPUTED_VALUE"""),21.18)</f>
        <v>21.18</v>
      </c>
      <c r="F822" s="1">
        <f ca="1">IFERROR(__xludf.DUMMYFUNCTION("""COMPUTED_VALUE"""),7394116)</f>
        <v>7394116</v>
      </c>
      <c r="G822" s="5">
        <f t="shared" ca="1" si="36"/>
        <v>5.4296506137865845E-2</v>
      </c>
      <c r="H822" s="14">
        <f t="shared" si="37"/>
        <v>2019</v>
      </c>
      <c r="I822" s="5">
        <f t="shared" ca="1" si="38"/>
        <v>3.8235294117647117E-2</v>
      </c>
      <c r="J822" s="16"/>
    </row>
    <row r="823" spans="1:10" x14ac:dyDescent="0.2">
      <c r="A823" s="3">
        <v>43472</v>
      </c>
      <c r="B823" s="1">
        <f ca="1">IFERROR(__xludf.DUMMYFUNCTION("""COMPUTED_VALUE"""),21.45)</f>
        <v>21.45</v>
      </c>
      <c r="C823" s="1">
        <f ca="1">IFERROR(__xludf.DUMMYFUNCTION("""COMPUTED_VALUE"""),22.45)</f>
        <v>22.45</v>
      </c>
      <c r="D823" s="1">
        <f ca="1">IFERROR(__xludf.DUMMYFUNCTION("""COMPUTED_VALUE"""),21.18)</f>
        <v>21.18</v>
      </c>
      <c r="E823" s="1">
        <f ca="1">IFERROR(__xludf.DUMMYFUNCTION("""COMPUTED_VALUE"""),22.33)</f>
        <v>22.33</v>
      </c>
      <c r="F823" s="1">
        <f ca="1">IFERROR(__xludf.DUMMYFUNCTION("""COMPUTED_VALUE"""),7551225)</f>
        <v>7551225</v>
      </c>
      <c r="G823" s="5">
        <f t="shared" ca="1" si="36"/>
        <v>1.3434841021048429E-3</v>
      </c>
      <c r="H823" s="14">
        <f t="shared" si="37"/>
        <v>2019</v>
      </c>
      <c r="I823" s="5">
        <f t="shared" ca="1" si="38"/>
        <v>4.1025641025640984E-2</v>
      </c>
      <c r="J823" s="16"/>
    </row>
    <row r="824" spans="1:10" x14ac:dyDescent="0.2">
      <c r="A824" s="3">
        <v>43473</v>
      </c>
      <c r="B824" s="1">
        <f ca="1">IFERROR(__xludf.DUMMYFUNCTION("""COMPUTED_VALUE"""),22.8)</f>
        <v>22.8</v>
      </c>
      <c r="C824" s="1">
        <f ca="1">IFERROR(__xludf.DUMMYFUNCTION("""COMPUTED_VALUE"""),22.93)</f>
        <v>22.93</v>
      </c>
      <c r="D824" s="1">
        <f ca="1">IFERROR(__xludf.DUMMYFUNCTION("""COMPUTED_VALUE"""),21.8)</f>
        <v>21.8</v>
      </c>
      <c r="E824" s="1">
        <f ca="1">IFERROR(__xludf.DUMMYFUNCTION("""COMPUTED_VALUE"""),22.36)</f>
        <v>22.36</v>
      </c>
      <c r="F824" s="1">
        <f ca="1">IFERROR(__xludf.DUMMYFUNCTION("""COMPUTED_VALUE"""),7008516)</f>
        <v>7008516</v>
      </c>
      <c r="G824" s="5">
        <f t="shared" ca="1" si="36"/>
        <v>9.3917710196780354E-3</v>
      </c>
      <c r="H824" s="14">
        <f t="shared" si="37"/>
        <v>2019</v>
      </c>
      <c r="I824" s="5">
        <f t="shared" ca="1" si="38"/>
        <v>-1.9298245614035144E-2</v>
      </c>
      <c r="J824" s="16"/>
    </row>
    <row r="825" spans="1:10" x14ac:dyDescent="0.2">
      <c r="A825" s="3">
        <v>43474</v>
      </c>
      <c r="B825" s="1">
        <f ca="1">IFERROR(__xludf.DUMMYFUNCTION("""COMPUTED_VALUE"""),22.37)</f>
        <v>22.37</v>
      </c>
      <c r="C825" s="1">
        <f ca="1">IFERROR(__xludf.DUMMYFUNCTION("""COMPUTED_VALUE"""),22.9)</f>
        <v>22.9</v>
      </c>
      <c r="D825" s="1">
        <f ca="1">IFERROR(__xludf.DUMMYFUNCTION("""COMPUTED_VALUE"""),22.1)</f>
        <v>22.1</v>
      </c>
      <c r="E825" s="1">
        <f ca="1">IFERROR(__xludf.DUMMYFUNCTION("""COMPUTED_VALUE"""),22.57)</f>
        <v>22.57</v>
      </c>
      <c r="F825" s="1">
        <f ca="1">IFERROR(__xludf.DUMMYFUNCTION("""COMPUTED_VALUE"""),5432945)</f>
        <v>5432945</v>
      </c>
      <c r="G825" s="5">
        <f t="shared" ca="1" si="36"/>
        <v>1.9051838723969858E-2</v>
      </c>
      <c r="H825" s="14">
        <f t="shared" si="37"/>
        <v>2019</v>
      </c>
      <c r="I825" s="5">
        <f t="shared" ca="1" si="38"/>
        <v>8.9405453732677373E-3</v>
      </c>
      <c r="J825" s="16"/>
    </row>
    <row r="826" spans="1:10" x14ac:dyDescent="0.2">
      <c r="A826" s="3">
        <v>43475</v>
      </c>
      <c r="B826" s="1">
        <f ca="1">IFERROR(__xludf.DUMMYFUNCTION("""COMPUTED_VALUE"""),22.29)</f>
        <v>22.29</v>
      </c>
      <c r="C826" s="1">
        <f ca="1">IFERROR(__xludf.DUMMYFUNCTION("""COMPUTED_VALUE"""),23.03)</f>
        <v>23.03</v>
      </c>
      <c r="D826" s="1">
        <f ca="1">IFERROR(__xludf.DUMMYFUNCTION("""COMPUTED_VALUE"""),22.12)</f>
        <v>22.12</v>
      </c>
      <c r="E826" s="1">
        <f ca="1">IFERROR(__xludf.DUMMYFUNCTION("""COMPUTED_VALUE"""),23)</f>
        <v>23</v>
      </c>
      <c r="F826" s="1">
        <f ca="1">IFERROR(__xludf.DUMMYFUNCTION("""COMPUTED_VALUE"""),6056354)</f>
        <v>6056354</v>
      </c>
      <c r="G826" s="5">
        <f t="shared" ca="1" si="36"/>
        <v>6.5217391304347207E-3</v>
      </c>
      <c r="H826" s="14">
        <f t="shared" si="37"/>
        <v>2019</v>
      </c>
      <c r="I826" s="5">
        <f t="shared" ca="1" si="38"/>
        <v>3.1852848811126107E-2</v>
      </c>
      <c r="J826" s="16"/>
    </row>
    <row r="827" spans="1:10" x14ac:dyDescent="0.2">
      <c r="A827" s="3">
        <v>43476</v>
      </c>
      <c r="B827" s="1">
        <f ca="1">IFERROR(__xludf.DUMMYFUNCTION("""COMPUTED_VALUE"""),22.81)</f>
        <v>22.81</v>
      </c>
      <c r="C827" s="1">
        <f ca="1">IFERROR(__xludf.DUMMYFUNCTION("""COMPUTED_VALUE"""),23.23)</f>
        <v>23.23</v>
      </c>
      <c r="D827" s="1">
        <f ca="1">IFERROR(__xludf.DUMMYFUNCTION("""COMPUTED_VALUE"""),22.58)</f>
        <v>22.58</v>
      </c>
      <c r="E827" s="1">
        <f ca="1">IFERROR(__xludf.DUMMYFUNCTION("""COMPUTED_VALUE"""),23.15)</f>
        <v>23.15</v>
      </c>
      <c r="F827" s="1">
        <f ca="1">IFERROR(__xludf.DUMMYFUNCTION("""COMPUTED_VALUE"""),5039052)</f>
        <v>5039052</v>
      </c>
      <c r="G827" s="5">
        <f t="shared" ca="1" si="36"/>
        <v>-3.7149028077753755E-2</v>
      </c>
      <c r="H827" s="14">
        <f t="shared" si="37"/>
        <v>2019</v>
      </c>
      <c r="I827" s="5">
        <f t="shared" ca="1" si="38"/>
        <v>1.4905743095133707E-2</v>
      </c>
      <c r="J827" s="16"/>
    </row>
    <row r="828" spans="1:10" x14ac:dyDescent="0.2">
      <c r="A828" s="3">
        <v>43479</v>
      </c>
      <c r="B828" s="1">
        <f ca="1">IFERROR(__xludf.DUMMYFUNCTION("""COMPUTED_VALUE"""),22.83)</f>
        <v>22.83</v>
      </c>
      <c r="C828" s="1">
        <f ca="1">IFERROR(__xludf.DUMMYFUNCTION("""COMPUTED_VALUE"""),22.83)</f>
        <v>22.83</v>
      </c>
      <c r="D828" s="1">
        <f ca="1">IFERROR(__xludf.DUMMYFUNCTION("""COMPUTED_VALUE"""),22.27)</f>
        <v>22.27</v>
      </c>
      <c r="E828" s="1">
        <f ca="1">IFERROR(__xludf.DUMMYFUNCTION("""COMPUTED_VALUE"""),22.29)</f>
        <v>22.29</v>
      </c>
      <c r="F828" s="1">
        <f ca="1">IFERROR(__xludf.DUMMYFUNCTION("""COMPUTED_VALUE"""),5247284)</f>
        <v>5247284</v>
      </c>
      <c r="G828" s="5">
        <f t="shared" ca="1" si="36"/>
        <v>3.0058322117541576E-2</v>
      </c>
      <c r="H828" s="14">
        <f t="shared" si="37"/>
        <v>2019</v>
      </c>
      <c r="I828" s="5">
        <f t="shared" ca="1" si="38"/>
        <v>-2.3653088042049897E-2</v>
      </c>
      <c r="J828" s="16"/>
    </row>
    <row r="829" spans="1:10" x14ac:dyDescent="0.2">
      <c r="A829" s="3">
        <v>43480</v>
      </c>
      <c r="B829" s="1">
        <f ca="1">IFERROR(__xludf.DUMMYFUNCTION("""COMPUTED_VALUE"""),22.33)</f>
        <v>22.33</v>
      </c>
      <c r="C829" s="1">
        <f ca="1">IFERROR(__xludf.DUMMYFUNCTION("""COMPUTED_VALUE"""),23.25)</f>
        <v>23.25</v>
      </c>
      <c r="D829" s="1">
        <f ca="1">IFERROR(__xludf.DUMMYFUNCTION("""COMPUTED_VALUE"""),22.3)</f>
        <v>22.3</v>
      </c>
      <c r="E829" s="1">
        <f ca="1">IFERROR(__xludf.DUMMYFUNCTION("""COMPUTED_VALUE"""),22.96)</f>
        <v>22.96</v>
      </c>
      <c r="F829" s="1">
        <f ca="1">IFERROR(__xludf.DUMMYFUNCTION("""COMPUTED_VALUE"""),6056590)</f>
        <v>6056590</v>
      </c>
      <c r="G829" s="5">
        <f t="shared" ca="1" si="36"/>
        <v>4.790940766550498E-3</v>
      </c>
      <c r="H829" s="14">
        <f t="shared" si="37"/>
        <v>2019</v>
      </c>
      <c r="I829" s="5">
        <f t="shared" ca="1" si="38"/>
        <v>2.8213166144200743E-2</v>
      </c>
      <c r="J829" s="16"/>
    </row>
    <row r="830" spans="1:10" x14ac:dyDescent="0.2">
      <c r="A830" s="3">
        <v>43481</v>
      </c>
      <c r="B830" s="1">
        <f ca="1">IFERROR(__xludf.DUMMYFUNCTION("""COMPUTED_VALUE"""),22.99)</f>
        <v>22.99</v>
      </c>
      <c r="C830" s="1">
        <f ca="1">IFERROR(__xludf.DUMMYFUNCTION("""COMPUTED_VALUE"""),23.47)</f>
        <v>23.47</v>
      </c>
      <c r="D830" s="1">
        <f ca="1">IFERROR(__xludf.DUMMYFUNCTION("""COMPUTED_VALUE"""),22.9)</f>
        <v>22.9</v>
      </c>
      <c r="E830" s="1">
        <f ca="1">IFERROR(__xludf.DUMMYFUNCTION("""COMPUTED_VALUE"""),23.07)</f>
        <v>23.07</v>
      </c>
      <c r="F830" s="1">
        <f ca="1">IFERROR(__xludf.DUMMYFUNCTION("""COMPUTED_VALUE"""),4691739)</f>
        <v>4691739</v>
      </c>
      <c r="G830" s="5">
        <f t="shared" ca="1" si="36"/>
        <v>3.467706978760221E-3</v>
      </c>
      <c r="H830" s="14">
        <f t="shared" si="37"/>
        <v>2019</v>
      </c>
      <c r="I830" s="5">
        <f t="shared" ca="1" si="38"/>
        <v>3.479773814702125E-3</v>
      </c>
      <c r="J830" s="16"/>
    </row>
    <row r="831" spans="1:10" x14ac:dyDescent="0.2">
      <c r="A831" s="3">
        <v>43482</v>
      </c>
      <c r="B831" s="1">
        <f ca="1">IFERROR(__xludf.DUMMYFUNCTION("""COMPUTED_VALUE"""),23.08)</f>
        <v>23.08</v>
      </c>
      <c r="C831" s="1">
        <f ca="1">IFERROR(__xludf.DUMMYFUNCTION("""COMPUTED_VALUE"""),23.43)</f>
        <v>23.43</v>
      </c>
      <c r="D831" s="1">
        <f ca="1">IFERROR(__xludf.DUMMYFUNCTION("""COMPUTED_VALUE"""),22.94)</f>
        <v>22.94</v>
      </c>
      <c r="E831" s="1">
        <f ca="1">IFERROR(__xludf.DUMMYFUNCTION("""COMPUTED_VALUE"""),23.15)</f>
        <v>23.15</v>
      </c>
      <c r="F831" s="1">
        <f ca="1">IFERROR(__xludf.DUMMYFUNCTION("""COMPUTED_VALUE"""),3676733)</f>
        <v>3676733</v>
      </c>
      <c r="G831" s="5">
        <f t="shared" ca="1" si="36"/>
        <v>-0.12958963282937366</v>
      </c>
      <c r="H831" s="14">
        <f t="shared" si="37"/>
        <v>2019</v>
      </c>
      <c r="I831" s="5">
        <f t="shared" ca="1" si="38"/>
        <v>3.0329289428076382E-3</v>
      </c>
      <c r="J831" s="16"/>
    </row>
    <row r="832" spans="1:10" x14ac:dyDescent="0.2">
      <c r="A832" s="3">
        <v>43483</v>
      </c>
      <c r="B832" s="1">
        <f ca="1">IFERROR(__xludf.DUMMYFUNCTION("""COMPUTED_VALUE"""),21.53)</f>
        <v>21.53</v>
      </c>
      <c r="C832" s="1">
        <f ca="1">IFERROR(__xludf.DUMMYFUNCTION("""COMPUTED_VALUE"""),21.81)</f>
        <v>21.81</v>
      </c>
      <c r="D832" s="1">
        <f ca="1">IFERROR(__xludf.DUMMYFUNCTION("""COMPUTED_VALUE"""),19.98)</f>
        <v>19.98</v>
      </c>
      <c r="E832" s="1">
        <f ca="1">IFERROR(__xludf.DUMMYFUNCTION("""COMPUTED_VALUE"""),20.15)</f>
        <v>20.149999999999999</v>
      </c>
      <c r="F832" s="1">
        <f ca="1">IFERROR(__xludf.DUMMYFUNCTION("""COMPUTED_VALUE"""),24150763)</f>
        <v>24150763</v>
      </c>
      <c r="G832" s="5">
        <f t="shared" ca="1" si="36"/>
        <v>-1.091811414392054E-2</v>
      </c>
      <c r="H832" s="14">
        <f t="shared" si="37"/>
        <v>2019</v>
      </c>
      <c r="I832" s="5">
        <f t="shared" ca="1" si="38"/>
        <v>-6.4096609382257433E-2</v>
      </c>
      <c r="J832" s="16"/>
    </row>
    <row r="833" spans="1:10" x14ac:dyDescent="0.2">
      <c r="A833" s="3">
        <v>43487</v>
      </c>
      <c r="B833" s="1">
        <f ca="1">IFERROR(__xludf.DUMMYFUNCTION("""COMPUTED_VALUE"""),20.32)</f>
        <v>20.32</v>
      </c>
      <c r="C833" s="1">
        <f ca="1">IFERROR(__xludf.DUMMYFUNCTION("""COMPUTED_VALUE"""),20.53)</f>
        <v>20.53</v>
      </c>
      <c r="D833" s="1">
        <f ca="1">IFERROR(__xludf.DUMMYFUNCTION("""COMPUTED_VALUE"""),19.7)</f>
        <v>19.7</v>
      </c>
      <c r="E833" s="1">
        <f ca="1">IFERROR(__xludf.DUMMYFUNCTION("""COMPUTED_VALUE"""),19.93)</f>
        <v>19.93</v>
      </c>
      <c r="F833" s="1">
        <f ca="1">IFERROR(__xludf.DUMMYFUNCTION("""COMPUTED_VALUE"""),12066741)</f>
        <v>12066741</v>
      </c>
      <c r="G833" s="5">
        <f t="shared" ca="1" si="36"/>
        <v>-3.8133467134972301E-2</v>
      </c>
      <c r="H833" s="14">
        <f t="shared" si="37"/>
        <v>2019</v>
      </c>
      <c r="I833" s="5">
        <f t="shared" ca="1" si="38"/>
        <v>-1.91929133858268E-2</v>
      </c>
      <c r="J833" s="16"/>
    </row>
    <row r="834" spans="1:10" x14ac:dyDescent="0.2">
      <c r="A834" s="3">
        <v>43488</v>
      </c>
      <c r="B834" s="1">
        <f ca="1">IFERROR(__xludf.DUMMYFUNCTION("""COMPUTED_VALUE"""),19.5)</f>
        <v>19.5</v>
      </c>
      <c r="C834" s="1">
        <f ca="1">IFERROR(__xludf.DUMMYFUNCTION("""COMPUTED_VALUE"""),19.63)</f>
        <v>19.63</v>
      </c>
      <c r="D834" s="1">
        <f ca="1">IFERROR(__xludf.DUMMYFUNCTION("""COMPUTED_VALUE"""),18.78)</f>
        <v>18.78</v>
      </c>
      <c r="E834" s="1">
        <f ca="1">IFERROR(__xludf.DUMMYFUNCTION("""COMPUTED_VALUE"""),19.17)</f>
        <v>19.170000000000002</v>
      </c>
      <c r="F834" s="1">
        <f ca="1">IFERROR(__xludf.DUMMYFUNCTION("""COMPUTED_VALUE"""),12529993)</f>
        <v>12529993</v>
      </c>
      <c r="G834" s="5">
        <f t="shared" ca="1" si="36"/>
        <v>1.3562858633281064E-2</v>
      </c>
      <c r="H834" s="14">
        <f t="shared" si="37"/>
        <v>2019</v>
      </c>
      <c r="I834" s="5">
        <f t="shared" ca="1" si="38"/>
        <v>-1.6923076923076836E-2</v>
      </c>
      <c r="J834" s="16"/>
    </row>
    <row r="835" spans="1:10" x14ac:dyDescent="0.2">
      <c r="A835" s="3">
        <v>43489</v>
      </c>
      <c r="B835" s="1">
        <f ca="1">IFERROR(__xludf.DUMMYFUNCTION("""COMPUTED_VALUE"""),18.87)</f>
        <v>18.87</v>
      </c>
      <c r="C835" s="1">
        <f ca="1">IFERROR(__xludf.DUMMYFUNCTION("""COMPUTED_VALUE"""),19.58)</f>
        <v>19.579999999999998</v>
      </c>
      <c r="D835" s="1">
        <f ca="1">IFERROR(__xludf.DUMMYFUNCTION("""COMPUTED_VALUE"""),18.62)</f>
        <v>18.62</v>
      </c>
      <c r="E835" s="1">
        <f ca="1">IFERROR(__xludf.DUMMYFUNCTION("""COMPUTED_VALUE"""),19.43)</f>
        <v>19.43</v>
      </c>
      <c r="F835" s="1">
        <f ca="1">IFERROR(__xludf.DUMMYFUNCTION("""COMPUTED_VALUE"""),8012155)</f>
        <v>8012155</v>
      </c>
      <c r="G835" s="5">
        <f t="shared" ref="G835:G898" ca="1" si="39">(E836-E835)/E835</f>
        <v>1.9042717447246577E-2</v>
      </c>
      <c r="H835" s="14">
        <f t="shared" ref="H835:H898" si="40">YEAR(A835)</f>
        <v>2019</v>
      </c>
      <c r="I835" s="5">
        <f t="shared" ref="I835:I898" ca="1" si="41">((E835 - B835) / B835)</f>
        <v>2.9676735559088431E-2</v>
      </c>
      <c r="J835" s="16"/>
    </row>
    <row r="836" spans="1:10" x14ac:dyDescent="0.2">
      <c r="A836" s="3">
        <v>43490</v>
      </c>
      <c r="B836" s="1">
        <f ca="1">IFERROR(__xludf.DUMMYFUNCTION("""COMPUTED_VALUE"""),19.63)</f>
        <v>19.63</v>
      </c>
      <c r="C836" s="1">
        <f ca="1">IFERROR(__xludf.DUMMYFUNCTION("""COMPUTED_VALUE"""),19.9)</f>
        <v>19.899999999999999</v>
      </c>
      <c r="D836" s="1">
        <f ca="1">IFERROR(__xludf.DUMMYFUNCTION("""COMPUTED_VALUE"""),19.3)</f>
        <v>19.3</v>
      </c>
      <c r="E836" s="1">
        <f ca="1">IFERROR(__xludf.DUMMYFUNCTION("""COMPUTED_VALUE"""),19.8)</f>
        <v>19.8</v>
      </c>
      <c r="F836" s="1">
        <f ca="1">IFERROR(__xludf.DUMMYFUNCTION("""COMPUTED_VALUE"""),7258078)</f>
        <v>7258078</v>
      </c>
      <c r="G836" s="5">
        <f t="shared" ca="1" si="39"/>
        <v>-2.0202020202019773E-3</v>
      </c>
      <c r="H836" s="14">
        <f t="shared" si="40"/>
        <v>2019</v>
      </c>
      <c r="I836" s="5">
        <f t="shared" ca="1" si="41"/>
        <v>8.6602139582272909E-3</v>
      </c>
      <c r="J836" s="16"/>
    </row>
    <row r="837" spans="1:10" x14ac:dyDescent="0.2">
      <c r="A837" s="3">
        <v>43493</v>
      </c>
      <c r="B837" s="1">
        <f ca="1">IFERROR(__xludf.DUMMYFUNCTION("""COMPUTED_VALUE"""),19.53)</f>
        <v>19.53</v>
      </c>
      <c r="C837" s="1">
        <f ca="1">IFERROR(__xludf.DUMMYFUNCTION("""COMPUTED_VALUE"""),19.83)</f>
        <v>19.829999999999998</v>
      </c>
      <c r="D837" s="1">
        <f ca="1">IFERROR(__xludf.DUMMYFUNCTION("""COMPUTED_VALUE"""),19.18)</f>
        <v>19.18</v>
      </c>
      <c r="E837" s="1">
        <f ca="1">IFERROR(__xludf.DUMMYFUNCTION("""COMPUTED_VALUE"""),19.76)</f>
        <v>19.760000000000002</v>
      </c>
      <c r="F837" s="1">
        <f ca="1">IFERROR(__xludf.DUMMYFUNCTION("""COMPUTED_VALUE"""),6423279)</f>
        <v>6423279</v>
      </c>
      <c r="G837" s="5">
        <f t="shared" ca="1" si="39"/>
        <v>3.5425101214573242E-3</v>
      </c>
      <c r="H837" s="14">
        <f t="shared" si="40"/>
        <v>2019</v>
      </c>
      <c r="I837" s="5">
        <f t="shared" ca="1" si="41"/>
        <v>1.1776753712237605E-2</v>
      </c>
      <c r="J837" s="16"/>
    </row>
    <row r="838" spans="1:10" x14ac:dyDescent="0.2">
      <c r="A838" s="3">
        <v>43494</v>
      </c>
      <c r="B838" s="1">
        <f ca="1">IFERROR(__xludf.DUMMYFUNCTION("""COMPUTED_VALUE"""),19.68)</f>
        <v>19.68</v>
      </c>
      <c r="C838" s="1">
        <f ca="1">IFERROR(__xludf.DUMMYFUNCTION("""COMPUTED_VALUE"""),19.9)</f>
        <v>19.899999999999999</v>
      </c>
      <c r="D838" s="1">
        <f ca="1">IFERROR(__xludf.DUMMYFUNCTION("""COMPUTED_VALUE"""),19.45)</f>
        <v>19.45</v>
      </c>
      <c r="E838" s="1">
        <f ca="1">IFERROR(__xludf.DUMMYFUNCTION("""COMPUTED_VALUE"""),19.83)</f>
        <v>19.829999999999998</v>
      </c>
      <c r="F838" s="1">
        <f ca="1">IFERROR(__xludf.DUMMYFUNCTION("""COMPUTED_VALUE"""),4621692)</f>
        <v>4621692</v>
      </c>
      <c r="G838" s="5">
        <f t="shared" ca="1" si="39"/>
        <v>3.7821482602118005E-2</v>
      </c>
      <c r="H838" s="14">
        <f t="shared" si="40"/>
        <v>2019</v>
      </c>
      <c r="I838" s="5">
        <f t="shared" ca="1" si="41"/>
        <v>7.621951219512123E-3</v>
      </c>
      <c r="J838" s="16"/>
    </row>
    <row r="839" spans="1:10" x14ac:dyDescent="0.2">
      <c r="A839" s="3">
        <v>43495</v>
      </c>
      <c r="B839" s="1">
        <f ca="1">IFERROR(__xludf.DUMMYFUNCTION("""COMPUTED_VALUE"""),20.03)</f>
        <v>20.03</v>
      </c>
      <c r="C839" s="1">
        <f ca="1">IFERROR(__xludf.DUMMYFUNCTION("""COMPUTED_VALUE"""),20.6)</f>
        <v>20.6</v>
      </c>
      <c r="D839" s="1">
        <f ca="1">IFERROR(__xludf.DUMMYFUNCTION("""COMPUTED_VALUE"""),19.9)</f>
        <v>19.899999999999999</v>
      </c>
      <c r="E839" s="1">
        <f ca="1">IFERROR(__xludf.DUMMYFUNCTION("""COMPUTED_VALUE"""),20.58)</f>
        <v>20.58</v>
      </c>
      <c r="F839" s="1">
        <f ca="1">IFERROR(__xludf.DUMMYFUNCTION("""COMPUTED_VALUE"""),11250318)</f>
        <v>11250318</v>
      </c>
      <c r="G839" s="5">
        <f t="shared" ca="1" si="39"/>
        <v>-5.3449951409134814E-3</v>
      </c>
      <c r="H839" s="14">
        <f t="shared" si="40"/>
        <v>2019</v>
      </c>
      <c r="I839" s="5">
        <f t="shared" ca="1" si="41"/>
        <v>2.7458811782326367E-2</v>
      </c>
      <c r="J839" s="16"/>
    </row>
    <row r="840" spans="1:10" x14ac:dyDescent="0.2">
      <c r="A840" s="3">
        <v>43496</v>
      </c>
      <c r="B840" s="1">
        <f ca="1">IFERROR(__xludf.DUMMYFUNCTION("""COMPUTED_VALUE"""),20.07)</f>
        <v>20.07</v>
      </c>
      <c r="C840" s="1">
        <f ca="1">IFERROR(__xludf.DUMMYFUNCTION("""COMPUTED_VALUE"""),20.77)</f>
        <v>20.77</v>
      </c>
      <c r="D840" s="1">
        <f ca="1">IFERROR(__xludf.DUMMYFUNCTION("""COMPUTED_VALUE"""),19.6)</f>
        <v>19.600000000000001</v>
      </c>
      <c r="E840" s="1">
        <f ca="1">IFERROR(__xludf.DUMMYFUNCTION("""COMPUTED_VALUE"""),20.47)</f>
        <v>20.47</v>
      </c>
      <c r="F840" s="1">
        <f ca="1">IFERROR(__xludf.DUMMYFUNCTION("""COMPUTED_VALUE"""),12569245)</f>
        <v>12569245</v>
      </c>
      <c r="G840" s="5">
        <f t="shared" ca="1" si="39"/>
        <v>1.6609672691744008E-2</v>
      </c>
      <c r="H840" s="14">
        <f t="shared" si="40"/>
        <v>2019</v>
      </c>
      <c r="I840" s="5">
        <f t="shared" ca="1" si="41"/>
        <v>1.9930244145490709E-2</v>
      </c>
      <c r="J840" s="16"/>
    </row>
    <row r="841" spans="1:10" x14ac:dyDescent="0.2">
      <c r="A841" s="3">
        <v>43497</v>
      </c>
      <c r="B841" s="1">
        <f ca="1">IFERROR(__xludf.DUMMYFUNCTION("""COMPUTED_VALUE"""),20.36)</f>
        <v>20.36</v>
      </c>
      <c r="C841" s="1">
        <f ca="1">IFERROR(__xludf.DUMMYFUNCTION("""COMPUTED_VALUE"""),21.07)</f>
        <v>21.07</v>
      </c>
      <c r="D841" s="1">
        <f ca="1">IFERROR(__xludf.DUMMYFUNCTION("""COMPUTED_VALUE"""),20.23)</f>
        <v>20.23</v>
      </c>
      <c r="E841" s="1">
        <f ca="1">IFERROR(__xludf.DUMMYFUNCTION("""COMPUTED_VALUE"""),20.81)</f>
        <v>20.81</v>
      </c>
      <c r="F841" s="1">
        <f ca="1">IFERROR(__xludf.DUMMYFUNCTION("""COMPUTED_VALUE"""),7283441)</f>
        <v>7283441</v>
      </c>
      <c r="G841" s="5">
        <f t="shared" ca="1" si="39"/>
        <v>2.4026910139356423E-3</v>
      </c>
      <c r="H841" s="14">
        <f t="shared" si="40"/>
        <v>2019</v>
      </c>
      <c r="I841" s="5">
        <f t="shared" ca="1" si="41"/>
        <v>2.210216110019643E-2</v>
      </c>
      <c r="J841" s="16"/>
    </row>
    <row r="842" spans="1:10" x14ac:dyDescent="0.2">
      <c r="A842" s="3">
        <v>43500</v>
      </c>
      <c r="B842" s="1">
        <f ca="1">IFERROR(__xludf.DUMMYFUNCTION("""COMPUTED_VALUE"""),20.87)</f>
        <v>20.87</v>
      </c>
      <c r="C842" s="1">
        <f ca="1">IFERROR(__xludf.DUMMYFUNCTION("""COMPUTED_VALUE"""),21.02)</f>
        <v>21.02</v>
      </c>
      <c r="D842" s="1">
        <f ca="1">IFERROR(__xludf.DUMMYFUNCTION("""COMPUTED_VALUE"""),20.13)</f>
        <v>20.13</v>
      </c>
      <c r="E842" s="1">
        <f ca="1">IFERROR(__xludf.DUMMYFUNCTION("""COMPUTED_VALUE"""),20.86)</f>
        <v>20.86</v>
      </c>
      <c r="F842" s="1">
        <f ca="1">IFERROR(__xludf.DUMMYFUNCTION("""COMPUTED_VALUE"""),7352082)</f>
        <v>7352082</v>
      </c>
      <c r="G842" s="5">
        <f t="shared" ca="1" si="39"/>
        <v>2.6845637583892728E-2</v>
      </c>
      <c r="H842" s="14">
        <f t="shared" si="40"/>
        <v>2019</v>
      </c>
      <c r="I842" s="5">
        <f t="shared" ca="1" si="41"/>
        <v>-4.7915668423581997E-4</v>
      </c>
      <c r="J842" s="16"/>
    </row>
    <row r="843" spans="1:10" x14ac:dyDescent="0.2">
      <c r="A843" s="3">
        <v>43501</v>
      </c>
      <c r="B843" s="1">
        <f ca="1">IFERROR(__xludf.DUMMYFUNCTION("""COMPUTED_VALUE"""),20.83)</f>
        <v>20.83</v>
      </c>
      <c r="C843" s="1">
        <f ca="1">IFERROR(__xludf.DUMMYFUNCTION("""COMPUTED_VALUE"""),21.5)</f>
        <v>21.5</v>
      </c>
      <c r="D843" s="1">
        <f ca="1">IFERROR(__xludf.DUMMYFUNCTION("""COMPUTED_VALUE"""),20.82)</f>
        <v>20.82</v>
      </c>
      <c r="E843" s="1">
        <f ca="1">IFERROR(__xludf.DUMMYFUNCTION("""COMPUTED_VALUE"""),21.42)</f>
        <v>21.42</v>
      </c>
      <c r="F843" s="1">
        <f ca="1">IFERROR(__xludf.DUMMYFUNCTION("""COMPUTED_VALUE"""),6742765)</f>
        <v>6742765</v>
      </c>
      <c r="G843" s="5">
        <f t="shared" ca="1" si="39"/>
        <v>-1.2605042016806867E-2</v>
      </c>
      <c r="H843" s="14">
        <f t="shared" si="40"/>
        <v>2019</v>
      </c>
      <c r="I843" s="5">
        <f t="shared" ca="1" si="41"/>
        <v>2.8324531925108185E-2</v>
      </c>
      <c r="J843" s="16"/>
    </row>
    <row r="844" spans="1:10" x14ac:dyDescent="0.2">
      <c r="A844" s="3">
        <v>43502</v>
      </c>
      <c r="B844" s="1">
        <f ca="1">IFERROR(__xludf.DUMMYFUNCTION("""COMPUTED_VALUE"""),21.31)</f>
        <v>21.31</v>
      </c>
      <c r="C844" s="1">
        <f ca="1">IFERROR(__xludf.DUMMYFUNCTION("""COMPUTED_VALUE"""),21.62)</f>
        <v>21.62</v>
      </c>
      <c r="D844" s="1">
        <f ca="1">IFERROR(__xludf.DUMMYFUNCTION("""COMPUTED_VALUE"""),21.04)</f>
        <v>21.04</v>
      </c>
      <c r="E844" s="1">
        <f ca="1">IFERROR(__xludf.DUMMYFUNCTION("""COMPUTED_VALUE"""),21.15)</f>
        <v>21.15</v>
      </c>
      <c r="F844" s="1">
        <f ca="1">IFERROR(__xludf.DUMMYFUNCTION("""COMPUTED_VALUE"""),5038546)</f>
        <v>5038546</v>
      </c>
      <c r="G844" s="5">
        <f t="shared" ca="1" si="39"/>
        <v>-3.0732860520094496E-2</v>
      </c>
      <c r="H844" s="14">
        <f t="shared" si="40"/>
        <v>2019</v>
      </c>
      <c r="I844" s="5">
        <f t="shared" ca="1" si="41"/>
        <v>-7.50821210699203E-3</v>
      </c>
      <c r="J844" s="16"/>
    </row>
    <row r="845" spans="1:10" x14ac:dyDescent="0.2">
      <c r="A845" s="3">
        <v>43503</v>
      </c>
      <c r="B845" s="1">
        <f ca="1">IFERROR(__xludf.DUMMYFUNCTION("""COMPUTED_VALUE"""),20.89)</f>
        <v>20.89</v>
      </c>
      <c r="C845" s="1">
        <f ca="1">IFERROR(__xludf.DUMMYFUNCTION("""COMPUTED_VALUE"""),20.98)</f>
        <v>20.98</v>
      </c>
      <c r="D845" s="1">
        <f ca="1">IFERROR(__xludf.DUMMYFUNCTION("""COMPUTED_VALUE"""),20.2)</f>
        <v>20.2</v>
      </c>
      <c r="E845" s="1">
        <f ca="1">IFERROR(__xludf.DUMMYFUNCTION("""COMPUTED_VALUE"""),20.5)</f>
        <v>20.5</v>
      </c>
      <c r="F845" s="1">
        <f ca="1">IFERROR(__xludf.DUMMYFUNCTION("""COMPUTED_VALUE"""),6520611)</f>
        <v>6520611</v>
      </c>
      <c r="G845" s="5">
        <f t="shared" ca="1" si="39"/>
        <v>-5.365853658536558E-3</v>
      </c>
      <c r="H845" s="14">
        <f t="shared" si="40"/>
        <v>2019</v>
      </c>
      <c r="I845" s="5">
        <f t="shared" ca="1" si="41"/>
        <v>-1.8669219722355222E-2</v>
      </c>
      <c r="J845" s="16"/>
    </row>
    <row r="846" spans="1:10" x14ac:dyDescent="0.2">
      <c r="A846" s="3">
        <v>43504</v>
      </c>
      <c r="B846" s="1">
        <f ca="1">IFERROR(__xludf.DUMMYFUNCTION("""COMPUTED_VALUE"""),20.46)</f>
        <v>20.46</v>
      </c>
      <c r="C846" s="1">
        <f ca="1">IFERROR(__xludf.DUMMYFUNCTION("""COMPUTED_VALUE"""),20.5)</f>
        <v>20.5</v>
      </c>
      <c r="D846" s="1">
        <f ca="1">IFERROR(__xludf.DUMMYFUNCTION("""COMPUTED_VALUE"""),19.9)</f>
        <v>19.899999999999999</v>
      </c>
      <c r="E846" s="1">
        <f ca="1">IFERROR(__xludf.DUMMYFUNCTION("""COMPUTED_VALUE"""),20.39)</f>
        <v>20.39</v>
      </c>
      <c r="F846" s="1">
        <f ca="1">IFERROR(__xludf.DUMMYFUNCTION("""COMPUTED_VALUE"""),5844212)</f>
        <v>5844212</v>
      </c>
      <c r="G846" s="5">
        <f t="shared" ca="1" si="39"/>
        <v>2.3050514958312843E-2</v>
      </c>
      <c r="H846" s="14">
        <f t="shared" si="40"/>
        <v>2019</v>
      </c>
      <c r="I846" s="5">
        <f t="shared" ca="1" si="41"/>
        <v>-3.42130987292279E-3</v>
      </c>
      <c r="J846" s="16"/>
    </row>
    <row r="847" spans="1:10" x14ac:dyDescent="0.2">
      <c r="A847" s="3">
        <v>43507</v>
      </c>
      <c r="B847" s="1">
        <f ca="1">IFERROR(__xludf.DUMMYFUNCTION("""COMPUTED_VALUE"""),20.77)</f>
        <v>20.77</v>
      </c>
      <c r="C847" s="1">
        <f ca="1">IFERROR(__xludf.DUMMYFUNCTION("""COMPUTED_VALUE"""),21.24)</f>
        <v>21.24</v>
      </c>
      <c r="D847" s="1">
        <f ca="1">IFERROR(__xludf.DUMMYFUNCTION("""COMPUTED_VALUE"""),20.7)</f>
        <v>20.7</v>
      </c>
      <c r="E847" s="1">
        <f ca="1">IFERROR(__xludf.DUMMYFUNCTION("""COMPUTED_VALUE"""),20.86)</f>
        <v>20.86</v>
      </c>
      <c r="F847" s="1">
        <f ca="1">IFERROR(__xludf.DUMMYFUNCTION("""COMPUTED_VALUE"""),7129713)</f>
        <v>7129713</v>
      </c>
      <c r="G847" s="5">
        <f t="shared" ca="1" si="39"/>
        <v>-3.355704697986591E-3</v>
      </c>
      <c r="H847" s="14">
        <f t="shared" si="40"/>
        <v>2019</v>
      </c>
      <c r="I847" s="5">
        <f t="shared" ca="1" si="41"/>
        <v>4.3331728454501619E-3</v>
      </c>
      <c r="J847" s="16"/>
    </row>
    <row r="848" spans="1:10" x14ac:dyDescent="0.2">
      <c r="A848" s="3">
        <v>43508</v>
      </c>
      <c r="B848" s="1">
        <f ca="1">IFERROR(__xludf.DUMMYFUNCTION("""COMPUTED_VALUE"""),21.08)</f>
        <v>21.08</v>
      </c>
      <c r="C848" s="1">
        <f ca="1">IFERROR(__xludf.DUMMYFUNCTION("""COMPUTED_VALUE"""),21.21)</f>
        <v>21.21</v>
      </c>
      <c r="D848" s="1">
        <f ca="1">IFERROR(__xludf.DUMMYFUNCTION("""COMPUTED_VALUE"""),20.64)</f>
        <v>20.64</v>
      </c>
      <c r="E848" s="1">
        <f ca="1">IFERROR(__xludf.DUMMYFUNCTION("""COMPUTED_VALUE"""),20.79)</f>
        <v>20.79</v>
      </c>
      <c r="F848" s="1">
        <f ca="1">IFERROR(__xludf.DUMMYFUNCTION("""COMPUTED_VALUE"""),5517570)</f>
        <v>5517570</v>
      </c>
      <c r="G848" s="5">
        <f t="shared" ca="1" si="39"/>
        <v>-1.2025012025012025E-2</v>
      </c>
      <c r="H848" s="14">
        <f t="shared" si="40"/>
        <v>2019</v>
      </c>
      <c r="I848" s="5">
        <f t="shared" ca="1" si="41"/>
        <v>-1.3757115749525577E-2</v>
      </c>
      <c r="J848" s="16"/>
    </row>
    <row r="849" spans="1:10" x14ac:dyDescent="0.2">
      <c r="A849" s="3">
        <v>43509</v>
      </c>
      <c r="B849" s="1">
        <f ca="1">IFERROR(__xludf.DUMMYFUNCTION("""COMPUTED_VALUE"""),20.82)</f>
        <v>20.82</v>
      </c>
      <c r="C849" s="1">
        <f ca="1">IFERROR(__xludf.DUMMYFUNCTION("""COMPUTED_VALUE"""),20.85)</f>
        <v>20.85</v>
      </c>
      <c r="D849" s="1">
        <f ca="1">IFERROR(__xludf.DUMMYFUNCTION("""COMPUTED_VALUE"""),20.37)</f>
        <v>20.37</v>
      </c>
      <c r="E849" s="1">
        <f ca="1">IFERROR(__xludf.DUMMYFUNCTION("""COMPUTED_VALUE"""),20.54)</f>
        <v>20.54</v>
      </c>
      <c r="F849" s="1">
        <f ca="1">IFERROR(__xludf.DUMMYFUNCTION("""COMPUTED_VALUE"""),5141617)</f>
        <v>5141617</v>
      </c>
      <c r="G849" s="5">
        <f t="shared" ca="1" si="39"/>
        <v>-1.4118792599805217E-2</v>
      </c>
      <c r="H849" s="14">
        <f t="shared" si="40"/>
        <v>2019</v>
      </c>
      <c r="I849" s="5">
        <f t="shared" ca="1" si="41"/>
        <v>-1.3448607108549527E-2</v>
      </c>
      <c r="J849" s="16"/>
    </row>
    <row r="850" spans="1:10" x14ac:dyDescent="0.2">
      <c r="A850" s="3">
        <v>43510</v>
      </c>
      <c r="B850" s="1">
        <f ca="1">IFERROR(__xludf.DUMMYFUNCTION("""COMPUTED_VALUE"""),20.23)</f>
        <v>20.23</v>
      </c>
      <c r="C850" s="1">
        <f ca="1">IFERROR(__xludf.DUMMYFUNCTION("""COMPUTED_VALUE"""),20.45)</f>
        <v>20.45</v>
      </c>
      <c r="D850" s="1">
        <f ca="1">IFERROR(__xludf.DUMMYFUNCTION("""COMPUTED_VALUE"""),20.07)</f>
        <v>20.07</v>
      </c>
      <c r="E850" s="1">
        <f ca="1">IFERROR(__xludf.DUMMYFUNCTION("""COMPUTED_VALUE"""),20.25)</f>
        <v>20.25</v>
      </c>
      <c r="F850" s="1">
        <f ca="1">IFERROR(__xludf.DUMMYFUNCTION("""COMPUTED_VALUE"""),5200832)</f>
        <v>5200832</v>
      </c>
      <c r="G850" s="5">
        <f t="shared" ca="1" si="39"/>
        <v>1.3827160493827217E-2</v>
      </c>
      <c r="H850" s="14">
        <f t="shared" si="40"/>
        <v>2019</v>
      </c>
      <c r="I850" s="5">
        <f t="shared" ca="1" si="41"/>
        <v>9.8863074641619242E-4</v>
      </c>
      <c r="J850" s="16"/>
    </row>
    <row r="851" spans="1:10" x14ac:dyDescent="0.2">
      <c r="A851" s="3">
        <v>43511</v>
      </c>
      <c r="B851" s="1">
        <f ca="1">IFERROR(__xludf.DUMMYFUNCTION("""COMPUTED_VALUE"""),20.3)</f>
        <v>20.3</v>
      </c>
      <c r="C851" s="1">
        <f ca="1">IFERROR(__xludf.DUMMYFUNCTION("""COMPUTED_VALUE"""),20.53)</f>
        <v>20.53</v>
      </c>
      <c r="D851" s="1">
        <f ca="1">IFERROR(__xludf.DUMMYFUNCTION("""COMPUTED_VALUE"""),20.26)</f>
        <v>20.260000000000002</v>
      </c>
      <c r="E851" s="1">
        <f ca="1">IFERROR(__xludf.DUMMYFUNCTION("""COMPUTED_VALUE"""),20.53)</f>
        <v>20.53</v>
      </c>
      <c r="F851" s="1">
        <f ca="1">IFERROR(__xludf.DUMMYFUNCTION("""COMPUTED_VALUE"""),3904947)</f>
        <v>3904947</v>
      </c>
      <c r="G851" s="5">
        <f t="shared" ca="1" si="39"/>
        <v>-7.3063809059913361E-3</v>
      </c>
      <c r="H851" s="14">
        <f t="shared" si="40"/>
        <v>2019</v>
      </c>
      <c r="I851" s="5">
        <f t="shared" ca="1" si="41"/>
        <v>1.1330049261083764E-2</v>
      </c>
      <c r="J851" s="16"/>
    </row>
    <row r="852" spans="1:10" x14ac:dyDescent="0.2">
      <c r="A852" s="3">
        <v>43515</v>
      </c>
      <c r="B852" s="1">
        <f ca="1">IFERROR(__xludf.DUMMYFUNCTION("""COMPUTED_VALUE"""),20.44)</f>
        <v>20.440000000000001</v>
      </c>
      <c r="C852" s="1">
        <f ca="1">IFERROR(__xludf.DUMMYFUNCTION("""COMPUTED_VALUE"""),20.77)</f>
        <v>20.77</v>
      </c>
      <c r="D852" s="1">
        <f ca="1">IFERROR(__xludf.DUMMYFUNCTION("""COMPUTED_VALUE"""),20.36)</f>
        <v>20.36</v>
      </c>
      <c r="E852" s="1">
        <f ca="1">IFERROR(__xludf.DUMMYFUNCTION("""COMPUTED_VALUE"""),20.38)</f>
        <v>20.38</v>
      </c>
      <c r="F852" s="1">
        <f ca="1">IFERROR(__xludf.DUMMYFUNCTION("""COMPUTED_VALUE"""),4168443)</f>
        <v>4168443</v>
      </c>
      <c r="G852" s="5">
        <f t="shared" ca="1" si="39"/>
        <v>-1.03042198233561E-2</v>
      </c>
      <c r="H852" s="14">
        <f t="shared" si="40"/>
        <v>2019</v>
      </c>
      <c r="I852" s="5">
        <f t="shared" ca="1" si="41"/>
        <v>-2.9354207436400326E-3</v>
      </c>
      <c r="J852" s="16"/>
    </row>
    <row r="853" spans="1:10" x14ac:dyDescent="0.2">
      <c r="A853" s="3">
        <v>43516</v>
      </c>
      <c r="B853" s="1">
        <f ca="1">IFERROR(__xludf.DUMMYFUNCTION("""COMPUTED_VALUE"""),20.29)</f>
        <v>20.29</v>
      </c>
      <c r="C853" s="1">
        <f ca="1">IFERROR(__xludf.DUMMYFUNCTION("""COMPUTED_VALUE"""),20.42)</f>
        <v>20.420000000000002</v>
      </c>
      <c r="D853" s="1">
        <f ca="1">IFERROR(__xludf.DUMMYFUNCTION("""COMPUTED_VALUE"""),19.93)</f>
        <v>19.93</v>
      </c>
      <c r="E853" s="1">
        <f ca="1">IFERROR(__xludf.DUMMYFUNCTION("""COMPUTED_VALUE"""),20.17)</f>
        <v>20.170000000000002</v>
      </c>
      <c r="F853" s="1">
        <f ca="1">IFERROR(__xludf.DUMMYFUNCTION("""COMPUTED_VALUE"""),7142117)</f>
        <v>7142117</v>
      </c>
      <c r="G853" s="5">
        <f t="shared" ca="1" si="39"/>
        <v>-3.7183936539414972E-2</v>
      </c>
      <c r="H853" s="14">
        <f t="shared" si="40"/>
        <v>2019</v>
      </c>
      <c r="I853" s="5">
        <f t="shared" ca="1" si="41"/>
        <v>-5.9142434696893764E-3</v>
      </c>
      <c r="J853" s="16"/>
    </row>
    <row r="854" spans="1:10" x14ac:dyDescent="0.2">
      <c r="A854" s="3">
        <v>43517</v>
      </c>
      <c r="B854" s="1">
        <f ca="1">IFERROR(__xludf.DUMMYFUNCTION("""COMPUTED_VALUE"""),20.12)</f>
        <v>20.12</v>
      </c>
      <c r="C854" s="1">
        <f ca="1">IFERROR(__xludf.DUMMYFUNCTION("""COMPUTED_VALUE"""),20.22)</f>
        <v>20.22</v>
      </c>
      <c r="D854" s="1">
        <f ca="1">IFERROR(__xludf.DUMMYFUNCTION("""COMPUTED_VALUE"""),19.37)</f>
        <v>19.37</v>
      </c>
      <c r="E854" s="1">
        <f ca="1">IFERROR(__xludf.DUMMYFUNCTION("""COMPUTED_VALUE"""),19.42)</f>
        <v>19.420000000000002</v>
      </c>
      <c r="F854" s="1">
        <f ca="1">IFERROR(__xludf.DUMMYFUNCTION("""COMPUTED_VALUE"""),8909182)</f>
        <v>8909182</v>
      </c>
      <c r="G854" s="5">
        <f t="shared" ca="1" si="39"/>
        <v>1.1843460350154317E-2</v>
      </c>
      <c r="H854" s="14">
        <f t="shared" si="40"/>
        <v>2019</v>
      </c>
      <c r="I854" s="5">
        <f t="shared" ca="1" si="41"/>
        <v>-3.4791252485089429E-2</v>
      </c>
      <c r="J854" s="16"/>
    </row>
    <row r="855" spans="1:10" x14ac:dyDescent="0.2">
      <c r="A855" s="3">
        <v>43518</v>
      </c>
      <c r="B855" s="1">
        <f ca="1">IFERROR(__xludf.DUMMYFUNCTION("""COMPUTED_VALUE"""),19.63)</f>
        <v>19.63</v>
      </c>
      <c r="C855" s="1">
        <f ca="1">IFERROR(__xludf.DUMMYFUNCTION("""COMPUTED_VALUE"""),19.77)</f>
        <v>19.77</v>
      </c>
      <c r="D855" s="1">
        <f ca="1">IFERROR(__xludf.DUMMYFUNCTION("""COMPUTED_VALUE"""),19.47)</f>
        <v>19.47</v>
      </c>
      <c r="E855" s="1">
        <f ca="1">IFERROR(__xludf.DUMMYFUNCTION("""COMPUTED_VALUE"""),19.65)</f>
        <v>19.649999999999999</v>
      </c>
      <c r="F855" s="1">
        <f ca="1">IFERROR(__xludf.DUMMYFUNCTION("""COMPUTED_VALUE"""),5740558)</f>
        <v>5740558</v>
      </c>
      <c r="G855" s="5">
        <f t="shared" ca="1" si="39"/>
        <v>1.3740458015267335E-2</v>
      </c>
      <c r="H855" s="14">
        <f t="shared" si="40"/>
        <v>2019</v>
      </c>
      <c r="I855" s="5">
        <f t="shared" ca="1" si="41"/>
        <v>1.0188487009678846E-3</v>
      </c>
      <c r="J855" s="16"/>
    </row>
    <row r="856" spans="1:10" x14ac:dyDescent="0.2">
      <c r="A856" s="3">
        <v>43521</v>
      </c>
      <c r="B856" s="1">
        <f ca="1">IFERROR(__xludf.DUMMYFUNCTION("""COMPUTED_VALUE"""),19.86)</f>
        <v>19.86</v>
      </c>
      <c r="C856" s="1">
        <f ca="1">IFERROR(__xludf.DUMMYFUNCTION("""COMPUTED_VALUE"""),20.19)</f>
        <v>20.190000000000001</v>
      </c>
      <c r="D856" s="1">
        <f ca="1">IFERROR(__xludf.DUMMYFUNCTION("""COMPUTED_VALUE"""),19.8)</f>
        <v>19.8</v>
      </c>
      <c r="E856" s="1">
        <f ca="1">IFERROR(__xludf.DUMMYFUNCTION("""COMPUTED_VALUE"""),19.92)</f>
        <v>19.920000000000002</v>
      </c>
      <c r="F856" s="1">
        <f ca="1">IFERROR(__xludf.DUMMYFUNCTION("""COMPUTED_VALUE"""),6626522)</f>
        <v>6626522</v>
      </c>
      <c r="G856" s="5">
        <f t="shared" ca="1" si="39"/>
        <v>-3.0120481927711981E-3</v>
      </c>
      <c r="H856" s="14">
        <f t="shared" si="40"/>
        <v>2019</v>
      </c>
      <c r="I856" s="5">
        <f t="shared" ca="1" si="41"/>
        <v>3.0211480362538909E-3</v>
      </c>
      <c r="J856" s="16"/>
    </row>
    <row r="857" spans="1:10" x14ac:dyDescent="0.2">
      <c r="A857" s="3">
        <v>43522</v>
      </c>
      <c r="B857" s="1">
        <f ca="1">IFERROR(__xludf.DUMMYFUNCTION("""COMPUTED_VALUE"""),19.48)</f>
        <v>19.48</v>
      </c>
      <c r="C857" s="1">
        <f ca="1">IFERROR(__xludf.DUMMYFUNCTION("""COMPUTED_VALUE"""),20.13)</f>
        <v>20.13</v>
      </c>
      <c r="D857" s="1">
        <f ca="1">IFERROR(__xludf.DUMMYFUNCTION("""COMPUTED_VALUE"""),19.25)</f>
        <v>19.25</v>
      </c>
      <c r="E857" s="1">
        <f ca="1">IFERROR(__xludf.DUMMYFUNCTION("""COMPUTED_VALUE"""),19.86)</f>
        <v>19.86</v>
      </c>
      <c r="F857" s="1">
        <f ca="1">IFERROR(__xludf.DUMMYFUNCTION("""COMPUTED_VALUE"""),8582535)</f>
        <v>8582535</v>
      </c>
      <c r="G857" s="5">
        <f t="shared" ca="1" si="39"/>
        <v>5.6394763343403875E-2</v>
      </c>
      <c r="H857" s="14">
        <f t="shared" si="40"/>
        <v>2019</v>
      </c>
      <c r="I857" s="5">
        <f t="shared" ca="1" si="41"/>
        <v>1.9507186858316171E-2</v>
      </c>
      <c r="J857" s="16"/>
    </row>
    <row r="858" spans="1:10" x14ac:dyDescent="0.2">
      <c r="A858" s="3">
        <v>43523</v>
      </c>
      <c r="B858" s="1">
        <f ca="1">IFERROR(__xludf.DUMMYFUNCTION("""COMPUTED_VALUE"""),20.12)</f>
        <v>20.12</v>
      </c>
      <c r="C858" s="1">
        <f ca="1">IFERROR(__xludf.DUMMYFUNCTION("""COMPUTED_VALUE"""),21.09)</f>
        <v>21.09</v>
      </c>
      <c r="D858" s="1">
        <f ca="1">IFERROR(__xludf.DUMMYFUNCTION("""COMPUTED_VALUE"""),20.04)</f>
        <v>20.04</v>
      </c>
      <c r="E858" s="1">
        <f ca="1">IFERROR(__xludf.DUMMYFUNCTION("""COMPUTED_VALUE"""),20.98)</f>
        <v>20.98</v>
      </c>
      <c r="F858" s="1">
        <f ca="1">IFERROR(__xludf.DUMMYFUNCTION("""COMPUTED_VALUE"""),11183908)</f>
        <v>11183908</v>
      </c>
      <c r="G858" s="5">
        <f t="shared" ca="1" si="39"/>
        <v>1.6682554814108574E-2</v>
      </c>
      <c r="H858" s="14">
        <f t="shared" si="40"/>
        <v>2019</v>
      </c>
      <c r="I858" s="5">
        <f t="shared" ca="1" si="41"/>
        <v>4.2743538767395596E-2</v>
      </c>
      <c r="J858" s="16"/>
    </row>
    <row r="859" spans="1:10" x14ac:dyDescent="0.2">
      <c r="A859" s="3">
        <v>43524</v>
      </c>
      <c r="B859" s="1">
        <f ca="1">IFERROR(__xludf.DUMMYFUNCTION("""COMPUTED_VALUE"""),21.26)</f>
        <v>21.26</v>
      </c>
      <c r="C859" s="1">
        <f ca="1">IFERROR(__xludf.DUMMYFUNCTION("""COMPUTED_VALUE"""),21.33)</f>
        <v>21.33</v>
      </c>
      <c r="D859" s="1">
        <f ca="1">IFERROR(__xludf.DUMMYFUNCTION("""COMPUTED_VALUE"""),20.72)</f>
        <v>20.72</v>
      </c>
      <c r="E859" s="1">
        <f ca="1">IFERROR(__xludf.DUMMYFUNCTION("""COMPUTED_VALUE"""),21.33)</f>
        <v>21.33</v>
      </c>
      <c r="F859" s="1">
        <f ca="1">IFERROR(__xludf.DUMMYFUNCTION("""COMPUTED_VALUE"""),10520653)</f>
        <v>10520653</v>
      </c>
      <c r="G859" s="5">
        <f t="shared" ca="1" si="39"/>
        <v>-7.8762306610407867E-2</v>
      </c>
      <c r="H859" s="14">
        <f t="shared" si="40"/>
        <v>2019</v>
      </c>
      <c r="I859" s="5">
        <f t="shared" ca="1" si="41"/>
        <v>3.292568203198341E-3</v>
      </c>
      <c r="J859" s="16"/>
    </row>
    <row r="860" spans="1:10" x14ac:dyDescent="0.2">
      <c r="A860" s="3">
        <v>43525</v>
      </c>
      <c r="B860" s="1">
        <f ca="1">IFERROR(__xludf.DUMMYFUNCTION("""COMPUTED_VALUE"""),20.46)</f>
        <v>20.46</v>
      </c>
      <c r="C860" s="1">
        <f ca="1">IFERROR(__xludf.DUMMYFUNCTION("""COMPUTED_VALUE"""),20.48)</f>
        <v>20.48</v>
      </c>
      <c r="D860" s="1">
        <f ca="1">IFERROR(__xludf.DUMMYFUNCTION("""COMPUTED_VALUE"""),19.46)</f>
        <v>19.46</v>
      </c>
      <c r="E860" s="1">
        <f ca="1">IFERROR(__xludf.DUMMYFUNCTION("""COMPUTED_VALUE"""),19.65)</f>
        <v>19.649999999999999</v>
      </c>
      <c r="F860" s="1">
        <f ca="1">IFERROR(__xludf.DUMMYFUNCTION("""COMPUTED_VALUE"""),22911375)</f>
        <v>22911375</v>
      </c>
      <c r="G860" s="5">
        <f t="shared" ca="1" si="39"/>
        <v>-3.206106870229003E-2</v>
      </c>
      <c r="H860" s="14">
        <f t="shared" si="40"/>
        <v>2019</v>
      </c>
      <c r="I860" s="5">
        <f t="shared" ca="1" si="41"/>
        <v>-3.9589442815249377E-2</v>
      </c>
      <c r="J860" s="16"/>
    </row>
    <row r="861" spans="1:10" x14ac:dyDescent="0.2">
      <c r="A861" s="3">
        <v>43528</v>
      </c>
      <c r="B861" s="1">
        <f ca="1">IFERROR(__xludf.DUMMYFUNCTION("""COMPUTED_VALUE"""),19.87)</f>
        <v>19.87</v>
      </c>
      <c r="C861" s="1">
        <f ca="1">IFERROR(__xludf.DUMMYFUNCTION("""COMPUTED_VALUE"""),19.93)</f>
        <v>19.93</v>
      </c>
      <c r="D861" s="1">
        <f ca="1">IFERROR(__xludf.DUMMYFUNCTION("""COMPUTED_VALUE"""),18.85)</f>
        <v>18.850000000000001</v>
      </c>
      <c r="E861" s="1">
        <f ca="1">IFERROR(__xludf.DUMMYFUNCTION("""COMPUTED_VALUE"""),19.02)</f>
        <v>19.02</v>
      </c>
      <c r="F861" s="1">
        <f ca="1">IFERROR(__xludf.DUMMYFUNCTION("""COMPUTED_VALUE"""),17096818)</f>
        <v>17096818</v>
      </c>
      <c r="G861" s="5">
        <f t="shared" ca="1" si="39"/>
        <v>-3.0494216614090342E-2</v>
      </c>
      <c r="H861" s="14">
        <f t="shared" si="40"/>
        <v>2019</v>
      </c>
      <c r="I861" s="5">
        <f t="shared" ca="1" si="41"/>
        <v>-4.2778057372924075E-2</v>
      </c>
      <c r="J861" s="16"/>
    </row>
    <row r="862" spans="1:10" x14ac:dyDescent="0.2">
      <c r="A862" s="3">
        <v>43529</v>
      </c>
      <c r="B862" s="1">
        <f ca="1">IFERROR(__xludf.DUMMYFUNCTION("""COMPUTED_VALUE"""),18.8)</f>
        <v>18.8</v>
      </c>
      <c r="C862" s="1">
        <f ca="1">IFERROR(__xludf.DUMMYFUNCTION("""COMPUTED_VALUE"""),18.93)</f>
        <v>18.93</v>
      </c>
      <c r="D862" s="1">
        <f ca="1">IFERROR(__xludf.DUMMYFUNCTION("""COMPUTED_VALUE"""),18.01)</f>
        <v>18.010000000000002</v>
      </c>
      <c r="E862" s="1">
        <f ca="1">IFERROR(__xludf.DUMMYFUNCTION("""COMPUTED_VALUE"""),18.44)</f>
        <v>18.440000000000001</v>
      </c>
      <c r="F862" s="1">
        <f ca="1">IFERROR(__xludf.DUMMYFUNCTION("""COMPUTED_VALUE"""),18764740)</f>
        <v>18764740</v>
      </c>
      <c r="G862" s="5">
        <f t="shared" ca="1" si="39"/>
        <v>-1.0845986984815387E-3</v>
      </c>
      <c r="H862" s="14">
        <f t="shared" si="40"/>
        <v>2019</v>
      </c>
      <c r="I862" s="5">
        <f t="shared" ca="1" si="41"/>
        <v>-1.9148936170212735E-2</v>
      </c>
      <c r="J862" s="16"/>
    </row>
    <row r="863" spans="1:10" x14ac:dyDescent="0.2">
      <c r="A863" s="3">
        <v>43530</v>
      </c>
      <c r="B863" s="1">
        <f ca="1">IFERROR(__xludf.DUMMYFUNCTION("""COMPUTED_VALUE"""),18.43)</f>
        <v>18.43</v>
      </c>
      <c r="C863" s="1">
        <f ca="1">IFERROR(__xludf.DUMMYFUNCTION("""COMPUTED_VALUE"""),18.77)</f>
        <v>18.77</v>
      </c>
      <c r="D863" s="1">
        <f ca="1">IFERROR(__xludf.DUMMYFUNCTION("""COMPUTED_VALUE"""),18.29)</f>
        <v>18.29</v>
      </c>
      <c r="E863" s="1">
        <f ca="1">IFERROR(__xludf.DUMMYFUNCTION("""COMPUTED_VALUE"""),18.42)</f>
        <v>18.420000000000002</v>
      </c>
      <c r="F863" s="1">
        <f ca="1">IFERROR(__xludf.DUMMYFUNCTION("""COMPUTED_VALUE"""),10335485)</f>
        <v>10335485</v>
      </c>
      <c r="G863" s="5">
        <f t="shared" ca="1" si="39"/>
        <v>1.0857763300759812E-3</v>
      </c>
      <c r="H863" s="14">
        <f t="shared" si="40"/>
        <v>2019</v>
      </c>
      <c r="I863" s="5">
        <f t="shared" ca="1" si="41"/>
        <v>-5.4259359739544275E-4</v>
      </c>
      <c r="J863" s="16"/>
    </row>
    <row r="864" spans="1:10" x14ac:dyDescent="0.2">
      <c r="A864" s="3">
        <v>43531</v>
      </c>
      <c r="B864" s="1">
        <f ca="1">IFERROR(__xludf.DUMMYFUNCTION("""COMPUTED_VALUE"""),18.59)</f>
        <v>18.59</v>
      </c>
      <c r="C864" s="1">
        <f ca="1">IFERROR(__xludf.DUMMYFUNCTION("""COMPUTED_VALUE"""),18.98)</f>
        <v>18.98</v>
      </c>
      <c r="D864" s="1">
        <f ca="1">IFERROR(__xludf.DUMMYFUNCTION("""COMPUTED_VALUE"""),18.28)</f>
        <v>18.28</v>
      </c>
      <c r="E864" s="1">
        <f ca="1">IFERROR(__xludf.DUMMYFUNCTION("""COMPUTED_VALUE"""),18.44)</f>
        <v>18.440000000000001</v>
      </c>
      <c r="F864" s="1">
        <f ca="1">IFERROR(__xludf.DUMMYFUNCTION("""COMPUTED_VALUE"""),9442483)</f>
        <v>9442483</v>
      </c>
      <c r="G864" s="5">
        <f t="shared" ca="1" si="39"/>
        <v>2.7114967462039043E-2</v>
      </c>
      <c r="H864" s="14">
        <f t="shared" si="40"/>
        <v>2019</v>
      </c>
      <c r="I864" s="5">
        <f t="shared" ca="1" si="41"/>
        <v>-8.0688542227002995E-3</v>
      </c>
      <c r="J864" s="16"/>
    </row>
    <row r="865" spans="1:10" x14ac:dyDescent="0.2">
      <c r="A865" s="3">
        <v>43532</v>
      </c>
      <c r="B865" s="1">
        <f ca="1">IFERROR(__xludf.DUMMYFUNCTION("""COMPUTED_VALUE"""),18.46)</f>
        <v>18.46</v>
      </c>
      <c r="C865" s="1">
        <f ca="1">IFERROR(__xludf.DUMMYFUNCTION("""COMPUTED_VALUE"""),19.04)</f>
        <v>19.04</v>
      </c>
      <c r="D865" s="1">
        <f ca="1">IFERROR(__xludf.DUMMYFUNCTION("""COMPUTED_VALUE"""),18.39)</f>
        <v>18.39</v>
      </c>
      <c r="E865" s="1">
        <f ca="1">IFERROR(__xludf.DUMMYFUNCTION("""COMPUTED_VALUE"""),18.94)</f>
        <v>18.940000000000001</v>
      </c>
      <c r="F865" s="1">
        <f ca="1">IFERROR(__xludf.DUMMYFUNCTION("""COMPUTED_VALUE"""),8819625)</f>
        <v>8819625</v>
      </c>
      <c r="G865" s="5">
        <f t="shared" ca="1" si="39"/>
        <v>2.3759239704329423E-2</v>
      </c>
      <c r="H865" s="14">
        <f t="shared" si="40"/>
        <v>2019</v>
      </c>
      <c r="I865" s="5">
        <f t="shared" ca="1" si="41"/>
        <v>2.6002166847237291E-2</v>
      </c>
      <c r="J865" s="16"/>
    </row>
    <row r="866" spans="1:10" x14ac:dyDescent="0.2">
      <c r="A866" s="3">
        <v>43535</v>
      </c>
      <c r="B866" s="1">
        <f ca="1">IFERROR(__xludf.DUMMYFUNCTION("""COMPUTED_VALUE"""),18.9)</f>
        <v>18.899999999999999</v>
      </c>
      <c r="C866" s="1">
        <f ca="1">IFERROR(__xludf.DUMMYFUNCTION("""COMPUTED_VALUE"""),19.42)</f>
        <v>19.420000000000002</v>
      </c>
      <c r="D866" s="1">
        <f ca="1">IFERROR(__xludf.DUMMYFUNCTION("""COMPUTED_VALUE"""),18.7)</f>
        <v>18.7</v>
      </c>
      <c r="E866" s="1">
        <f ca="1">IFERROR(__xludf.DUMMYFUNCTION("""COMPUTED_VALUE"""),19.39)</f>
        <v>19.39</v>
      </c>
      <c r="F866" s="1">
        <f ca="1">IFERROR(__xludf.DUMMYFUNCTION("""COMPUTED_VALUE"""),7392278)</f>
        <v>7392278</v>
      </c>
      <c r="G866" s="5">
        <f t="shared" ca="1" si="39"/>
        <v>-2.5786487880350695E-2</v>
      </c>
      <c r="H866" s="14">
        <f t="shared" si="40"/>
        <v>2019</v>
      </c>
      <c r="I866" s="5">
        <f t="shared" ca="1" si="41"/>
        <v>2.5925925925926033E-2</v>
      </c>
      <c r="J866" s="16"/>
    </row>
    <row r="867" spans="1:10" x14ac:dyDescent="0.2">
      <c r="A867" s="3">
        <v>43536</v>
      </c>
      <c r="B867" s="1">
        <f ca="1">IFERROR(__xludf.DUMMYFUNCTION("""COMPUTED_VALUE"""),19.1)</f>
        <v>19.100000000000001</v>
      </c>
      <c r="C867" s="1">
        <f ca="1">IFERROR(__xludf.DUMMYFUNCTION("""COMPUTED_VALUE"""),19.2)</f>
        <v>19.2</v>
      </c>
      <c r="D867" s="1">
        <f ca="1">IFERROR(__xludf.DUMMYFUNCTION("""COMPUTED_VALUE"""),18.74)</f>
        <v>18.739999999999998</v>
      </c>
      <c r="E867" s="1">
        <f ca="1">IFERROR(__xludf.DUMMYFUNCTION("""COMPUTED_VALUE"""),18.89)</f>
        <v>18.89</v>
      </c>
      <c r="F867" s="1">
        <f ca="1">IFERROR(__xludf.DUMMYFUNCTION("""COMPUTED_VALUE"""),7504137)</f>
        <v>7504137</v>
      </c>
      <c r="G867" s="5">
        <f t="shared" ca="1" si="39"/>
        <v>1.9587083112758124E-2</v>
      </c>
      <c r="H867" s="14">
        <f t="shared" si="40"/>
        <v>2019</v>
      </c>
      <c r="I867" s="5">
        <f t="shared" ca="1" si="41"/>
        <v>-1.0994764397905803E-2</v>
      </c>
      <c r="J867" s="16"/>
    </row>
    <row r="868" spans="1:10" x14ac:dyDescent="0.2">
      <c r="A868" s="3">
        <v>43537</v>
      </c>
      <c r="B868" s="1">
        <f ca="1">IFERROR(__xludf.DUMMYFUNCTION("""COMPUTED_VALUE"""),18.93)</f>
        <v>18.93</v>
      </c>
      <c r="C868" s="1">
        <f ca="1">IFERROR(__xludf.DUMMYFUNCTION("""COMPUTED_VALUE"""),19.47)</f>
        <v>19.47</v>
      </c>
      <c r="D868" s="1">
        <f ca="1">IFERROR(__xludf.DUMMYFUNCTION("""COMPUTED_VALUE"""),18.85)</f>
        <v>18.850000000000001</v>
      </c>
      <c r="E868" s="1">
        <f ca="1">IFERROR(__xludf.DUMMYFUNCTION("""COMPUTED_VALUE"""),19.26)</f>
        <v>19.260000000000002</v>
      </c>
      <c r="F868" s="1">
        <f ca="1">IFERROR(__xludf.DUMMYFUNCTION("""COMPUTED_VALUE"""),6844719)</f>
        <v>6844719</v>
      </c>
      <c r="G868" s="5">
        <f t="shared" ca="1" si="39"/>
        <v>3.6344755970922496E-3</v>
      </c>
      <c r="H868" s="14">
        <f t="shared" si="40"/>
        <v>2019</v>
      </c>
      <c r="I868" s="5">
        <f t="shared" ca="1" si="41"/>
        <v>1.7432646592710082E-2</v>
      </c>
      <c r="J868" s="16"/>
    </row>
    <row r="869" spans="1:10" x14ac:dyDescent="0.2">
      <c r="A869" s="3">
        <v>43538</v>
      </c>
      <c r="B869" s="1">
        <f ca="1">IFERROR(__xludf.DUMMYFUNCTION("""COMPUTED_VALUE"""),19.5)</f>
        <v>19.5</v>
      </c>
      <c r="C869" s="1">
        <f ca="1">IFERROR(__xludf.DUMMYFUNCTION("""COMPUTED_VALUE"""),19.69)</f>
        <v>19.690000000000001</v>
      </c>
      <c r="D869" s="1">
        <f ca="1">IFERROR(__xludf.DUMMYFUNCTION("""COMPUTED_VALUE"""),19.22)</f>
        <v>19.22</v>
      </c>
      <c r="E869" s="1">
        <f ca="1">IFERROR(__xludf.DUMMYFUNCTION("""COMPUTED_VALUE"""),19.33)</f>
        <v>19.329999999999998</v>
      </c>
      <c r="F869" s="1">
        <f ca="1">IFERROR(__xludf.DUMMYFUNCTION("""COMPUTED_VALUE"""),7103447)</f>
        <v>7103447</v>
      </c>
      <c r="G869" s="5">
        <f t="shared" ca="1" si="39"/>
        <v>-5.0181065700982873E-2</v>
      </c>
      <c r="H869" s="14">
        <f t="shared" si="40"/>
        <v>2019</v>
      </c>
      <c r="I869" s="5">
        <f t="shared" ca="1" si="41"/>
        <v>-8.717948717948806E-3</v>
      </c>
      <c r="J869" s="16"/>
    </row>
    <row r="870" spans="1:10" x14ac:dyDescent="0.2">
      <c r="A870" s="3">
        <v>43539</v>
      </c>
      <c r="B870" s="1">
        <f ca="1">IFERROR(__xludf.DUMMYFUNCTION("""COMPUTED_VALUE"""),18.9)</f>
        <v>18.899999999999999</v>
      </c>
      <c r="C870" s="1">
        <f ca="1">IFERROR(__xludf.DUMMYFUNCTION("""COMPUTED_VALUE"""),18.91)</f>
        <v>18.91</v>
      </c>
      <c r="D870" s="1">
        <f ca="1">IFERROR(__xludf.DUMMYFUNCTION("""COMPUTED_VALUE"""),18.29)</f>
        <v>18.29</v>
      </c>
      <c r="E870" s="1">
        <f ca="1">IFERROR(__xludf.DUMMYFUNCTION("""COMPUTED_VALUE"""),18.36)</f>
        <v>18.36</v>
      </c>
      <c r="F870" s="1">
        <f ca="1">IFERROR(__xludf.DUMMYFUNCTION("""COMPUTED_VALUE"""),14785531)</f>
        <v>14785531</v>
      </c>
      <c r="G870" s="5">
        <f t="shared" ca="1" si="39"/>
        <v>-2.1241830065359509E-2</v>
      </c>
      <c r="H870" s="14">
        <f t="shared" si="40"/>
        <v>2019</v>
      </c>
      <c r="I870" s="5">
        <f t="shared" ca="1" si="41"/>
        <v>-2.8571428571428529E-2</v>
      </c>
      <c r="J870" s="16"/>
    </row>
    <row r="871" spans="1:10" x14ac:dyDescent="0.2">
      <c r="A871" s="3">
        <v>43542</v>
      </c>
      <c r="B871" s="1">
        <f ca="1">IFERROR(__xludf.DUMMYFUNCTION("""COMPUTED_VALUE"""),18.4)</f>
        <v>18.399999999999999</v>
      </c>
      <c r="C871" s="1">
        <f ca="1">IFERROR(__xludf.DUMMYFUNCTION("""COMPUTED_VALUE"""),18.54)</f>
        <v>18.54</v>
      </c>
      <c r="D871" s="1">
        <f ca="1">IFERROR(__xludf.DUMMYFUNCTION("""COMPUTED_VALUE"""),17.82)</f>
        <v>17.82</v>
      </c>
      <c r="E871" s="1">
        <f ca="1">IFERROR(__xludf.DUMMYFUNCTION("""COMPUTED_VALUE"""),17.97)</f>
        <v>17.97</v>
      </c>
      <c r="F871" s="1">
        <f ca="1">IFERROR(__xludf.DUMMYFUNCTION("""COMPUTED_VALUE"""),10280980)</f>
        <v>10280980</v>
      </c>
      <c r="G871" s="5">
        <f t="shared" ca="1" si="39"/>
        <v>-7.7907623817473886E-3</v>
      </c>
      <c r="H871" s="14">
        <f t="shared" si="40"/>
        <v>2019</v>
      </c>
      <c r="I871" s="5">
        <f t="shared" ca="1" si="41"/>
        <v>-2.3369565217391291E-2</v>
      </c>
      <c r="J871" s="16"/>
    </row>
    <row r="872" spans="1:10" x14ac:dyDescent="0.2">
      <c r="A872" s="3">
        <v>43543</v>
      </c>
      <c r="B872" s="1">
        <f ca="1">IFERROR(__xludf.DUMMYFUNCTION("""COMPUTED_VALUE"""),17.83)</f>
        <v>17.829999999999998</v>
      </c>
      <c r="C872" s="1">
        <f ca="1">IFERROR(__xludf.DUMMYFUNCTION("""COMPUTED_VALUE"""),18.22)</f>
        <v>18.22</v>
      </c>
      <c r="D872" s="1">
        <f ca="1">IFERROR(__xludf.DUMMYFUNCTION("""COMPUTED_VALUE"""),17.56)</f>
        <v>17.559999999999999</v>
      </c>
      <c r="E872" s="1">
        <f ca="1">IFERROR(__xludf.DUMMYFUNCTION("""COMPUTED_VALUE"""),17.83)</f>
        <v>17.829999999999998</v>
      </c>
      <c r="F872" s="1">
        <f ca="1">IFERROR(__xludf.DUMMYFUNCTION("""COMPUTED_VALUE"""),11800630)</f>
        <v>11800630</v>
      </c>
      <c r="G872" s="5">
        <f t="shared" ca="1" si="39"/>
        <v>2.2994952327537867E-2</v>
      </c>
      <c r="H872" s="14">
        <f t="shared" si="40"/>
        <v>2019</v>
      </c>
      <c r="I872" s="5">
        <f t="shared" ca="1" si="41"/>
        <v>0</v>
      </c>
      <c r="J872" s="16"/>
    </row>
    <row r="873" spans="1:10" x14ac:dyDescent="0.2">
      <c r="A873" s="3">
        <v>43544</v>
      </c>
      <c r="B873" s="1">
        <f ca="1">IFERROR(__xludf.DUMMYFUNCTION("""COMPUTED_VALUE"""),17.98)</f>
        <v>17.98</v>
      </c>
      <c r="C873" s="1">
        <f ca="1">IFERROR(__xludf.DUMMYFUNCTION("""COMPUTED_VALUE"""),18.33)</f>
        <v>18.329999999999998</v>
      </c>
      <c r="D873" s="1">
        <f ca="1">IFERROR(__xludf.DUMMYFUNCTION("""COMPUTED_VALUE"""),17.75)</f>
        <v>17.75</v>
      </c>
      <c r="E873" s="1">
        <f ca="1">IFERROR(__xludf.DUMMYFUNCTION("""COMPUTED_VALUE"""),18.24)</f>
        <v>18.239999999999998</v>
      </c>
      <c r="F873" s="1">
        <f ca="1">IFERROR(__xludf.DUMMYFUNCTION("""COMPUTED_VALUE"""),6908224)</f>
        <v>6908224</v>
      </c>
      <c r="G873" s="5">
        <f t="shared" ca="1" si="39"/>
        <v>1.6447368421053257E-3</v>
      </c>
      <c r="H873" s="14">
        <f t="shared" si="40"/>
        <v>2019</v>
      </c>
      <c r="I873" s="5">
        <f t="shared" ca="1" si="41"/>
        <v>1.4460511679643937E-2</v>
      </c>
      <c r="J873" s="16"/>
    </row>
    <row r="874" spans="1:10" x14ac:dyDescent="0.2">
      <c r="A874" s="3">
        <v>43545</v>
      </c>
      <c r="B874" s="1">
        <f ca="1">IFERROR(__xludf.DUMMYFUNCTION("""COMPUTED_VALUE"""),18.17)</f>
        <v>18.170000000000002</v>
      </c>
      <c r="C874" s="1">
        <f ca="1">IFERROR(__xludf.DUMMYFUNCTION("""COMPUTED_VALUE"""),18.43)</f>
        <v>18.43</v>
      </c>
      <c r="D874" s="1">
        <f ca="1">IFERROR(__xludf.DUMMYFUNCTION("""COMPUTED_VALUE"""),17.9)</f>
        <v>17.899999999999999</v>
      </c>
      <c r="E874" s="1">
        <f ca="1">IFERROR(__xludf.DUMMYFUNCTION("""COMPUTED_VALUE"""),18.27)</f>
        <v>18.27</v>
      </c>
      <c r="F874" s="1">
        <f ca="1">IFERROR(__xludf.DUMMYFUNCTION("""COMPUTED_VALUE"""),5947098)</f>
        <v>5947098</v>
      </c>
      <c r="G874" s="5">
        <f t="shared" ca="1" si="39"/>
        <v>-3.4482758620689599E-2</v>
      </c>
      <c r="H874" s="14">
        <f t="shared" si="40"/>
        <v>2019</v>
      </c>
      <c r="I874" s="5">
        <f t="shared" ca="1" si="41"/>
        <v>5.5035773252613022E-3</v>
      </c>
      <c r="J874" s="16"/>
    </row>
    <row r="875" spans="1:10" x14ac:dyDescent="0.2">
      <c r="A875" s="3">
        <v>43546</v>
      </c>
      <c r="B875" s="1">
        <f ca="1">IFERROR(__xludf.DUMMYFUNCTION("""COMPUTED_VALUE"""),18.17)</f>
        <v>18.170000000000002</v>
      </c>
      <c r="C875" s="1">
        <f ca="1">IFERROR(__xludf.DUMMYFUNCTION("""COMPUTED_VALUE"""),18.19)</f>
        <v>18.190000000000001</v>
      </c>
      <c r="D875" s="1">
        <f ca="1">IFERROR(__xludf.DUMMYFUNCTION("""COMPUTED_VALUE"""),17.6)</f>
        <v>17.600000000000001</v>
      </c>
      <c r="E875" s="1">
        <f ca="1">IFERROR(__xludf.DUMMYFUNCTION("""COMPUTED_VALUE"""),17.64)</f>
        <v>17.64</v>
      </c>
      <c r="F875" s="1">
        <f ca="1">IFERROR(__xludf.DUMMYFUNCTION("""COMPUTED_VALUE"""),8745609)</f>
        <v>8745609</v>
      </c>
      <c r="G875" s="5">
        <f t="shared" ca="1" si="39"/>
        <v>-1.5873015873015938E-2</v>
      </c>
      <c r="H875" s="14">
        <f t="shared" si="40"/>
        <v>2019</v>
      </c>
      <c r="I875" s="5">
        <f t="shared" ca="1" si="41"/>
        <v>-2.9168959823885586E-2</v>
      </c>
      <c r="J875" s="16"/>
    </row>
    <row r="876" spans="1:10" x14ac:dyDescent="0.2">
      <c r="A876" s="3">
        <v>43549</v>
      </c>
      <c r="B876" s="1">
        <f ca="1">IFERROR(__xludf.DUMMYFUNCTION("""COMPUTED_VALUE"""),17.31)</f>
        <v>17.309999999999999</v>
      </c>
      <c r="C876" s="1">
        <f ca="1">IFERROR(__xludf.DUMMYFUNCTION("""COMPUTED_VALUE"""),17.55)</f>
        <v>17.55</v>
      </c>
      <c r="D876" s="1">
        <f ca="1">IFERROR(__xludf.DUMMYFUNCTION("""COMPUTED_VALUE"""),16.96)</f>
        <v>16.96</v>
      </c>
      <c r="E876" s="1">
        <f ca="1">IFERROR(__xludf.DUMMYFUNCTION("""COMPUTED_VALUE"""),17.36)</f>
        <v>17.36</v>
      </c>
      <c r="F876" s="1">
        <f ca="1">IFERROR(__xludf.DUMMYFUNCTION("""COMPUTED_VALUE"""),10215029)</f>
        <v>10215029</v>
      </c>
      <c r="G876" s="5">
        <f t="shared" ca="1" si="39"/>
        <v>2.822580645161302E-2</v>
      </c>
      <c r="H876" s="14">
        <f t="shared" si="40"/>
        <v>2019</v>
      </c>
      <c r="I876" s="5">
        <f t="shared" ca="1" si="41"/>
        <v>2.8885037550549228E-3</v>
      </c>
      <c r="J876" s="16"/>
    </row>
    <row r="877" spans="1:10" x14ac:dyDescent="0.2">
      <c r="A877" s="3">
        <v>43550</v>
      </c>
      <c r="B877" s="1">
        <f ca="1">IFERROR(__xludf.DUMMYFUNCTION("""COMPUTED_VALUE"""),17.63)</f>
        <v>17.63</v>
      </c>
      <c r="C877" s="1">
        <f ca="1">IFERROR(__xludf.DUMMYFUNCTION("""COMPUTED_VALUE"""),18.02)</f>
        <v>18.02</v>
      </c>
      <c r="D877" s="1">
        <f ca="1">IFERROR(__xludf.DUMMYFUNCTION("""COMPUTED_VALUE"""),17.63)</f>
        <v>17.63</v>
      </c>
      <c r="E877" s="1">
        <f ca="1">IFERROR(__xludf.DUMMYFUNCTION("""COMPUTED_VALUE"""),17.85)</f>
        <v>17.850000000000001</v>
      </c>
      <c r="F877" s="1">
        <f ca="1">IFERROR(__xludf.DUMMYFUNCTION("""COMPUTED_VALUE"""),7350948)</f>
        <v>7350948</v>
      </c>
      <c r="G877" s="5">
        <f t="shared" ca="1" si="39"/>
        <v>2.6330532212885088E-2</v>
      </c>
      <c r="H877" s="14">
        <f t="shared" si="40"/>
        <v>2019</v>
      </c>
      <c r="I877" s="5">
        <f t="shared" ca="1" si="41"/>
        <v>1.2478729438457313E-2</v>
      </c>
      <c r="J877" s="16"/>
    </row>
    <row r="878" spans="1:10" x14ac:dyDescent="0.2">
      <c r="A878" s="3">
        <v>43551</v>
      </c>
      <c r="B878" s="1">
        <f ca="1">IFERROR(__xludf.DUMMYFUNCTION("""COMPUTED_VALUE"""),17.92)</f>
        <v>17.920000000000002</v>
      </c>
      <c r="C878" s="1">
        <f ca="1">IFERROR(__xludf.DUMMYFUNCTION("""COMPUTED_VALUE"""),18.36)</f>
        <v>18.36</v>
      </c>
      <c r="D878" s="1">
        <f ca="1">IFERROR(__xludf.DUMMYFUNCTION("""COMPUTED_VALUE"""),17.88)</f>
        <v>17.88</v>
      </c>
      <c r="E878" s="1">
        <f ca="1">IFERROR(__xludf.DUMMYFUNCTION("""COMPUTED_VALUE"""),18.32)</f>
        <v>18.32</v>
      </c>
      <c r="F878" s="1">
        <f ca="1">IFERROR(__xludf.DUMMYFUNCTION("""COMPUTED_VALUE"""),8779166)</f>
        <v>8779166</v>
      </c>
      <c r="G878" s="5">
        <f t="shared" ca="1" si="39"/>
        <v>1.3646288209606987E-2</v>
      </c>
      <c r="H878" s="14">
        <f t="shared" si="40"/>
        <v>2019</v>
      </c>
      <c r="I878" s="5">
        <f t="shared" ca="1" si="41"/>
        <v>2.2321428571428489E-2</v>
      </c>
      <c r="J878" s="16"/>
    </row>
    <row r="879" spans="1:10" x14ac:dyDescent="0.2">
      <c r="A879" s="3">
        <v>43552</v>
      </c>
      <c r="B879" s="1">
        <f ca="1">IFERROR(__xludf.DUMMYFUNCTION("""COMPUTED_VALUE"""),18.48)</f>
        <v>18.48</v>
      </c>
      <c r="C879" s="1">
        <f ca="1">IFERROR(__xludf.DUMMYFUNCTION("""COMPUTED_VALUE"""),18.69)</f>
        <v>18.690000000000001</v>
      </c>
      <c r="D879" s="1">
        <f ca="1">IFERROR(__xludf.DUMMYFUNCTION("""COMPUTED_VALUE"""),18.34)</f>
        <v>18.34</v>
      </c>
      <c r="E879" s="1">
        <f ca="1">IFERROR(__xludf.DUMMYFUNCTION("""COMPUTED_VALUE"""),18.57)</f>
        <v>18.57</v>
      </c>
      <c r="F879" s="1">
        <f ca="1">IFERROR(__xludf.DUMMYFUNCTION("""COMPUTED_VALUE"""),6774093)</f>
        <v>6774093</v>
      </c>
      <c r="G879" s="5">
        <f t="shared" ca="1" si="39"/>
        <v>4.8465266558965995E-3</v>
      </c>
      <c r="H879" s="14">
        <f t="shared" si="40"/>
        <v>2019</v>
      </c>
      <c r="I879" s="5">
        <f t="shared" ca="1" si="41"/>
        <v>4.8701298701298622E-3</v>
      </c>
      <c r="J879" s="16"/>
    </row>
    <row r="880" spans="1:10" x14ac:dyDescent="0.2">
      <c r="A880" s="3">
        <v>43553</v>
      </c>
      <c r="B880" s="1">
        <f ca="1">IFERROR(__xludf.DUMMYFUNCTION("""COMPUTED_VALUE"""),18.58)</f>
        <v>18.579999999999998</v>
      </c>
      <c r="C880" s="1">
        <f ca="1">IFERROR(__xludf.DUMMYFUNCTION("""COMPUTED_VALUE"""),18.68)</f>
        <v>18.68</v>
      </c>
      <c r="D880" s="1">
        <f ca="1">IFERROR(__xludf.DUMMYFUNCTION("""COMPUTED_VALUE"""),18.3)</f>
        <v>18.3</v>
      </c>
      <c r="E880" s="1">
        <f ca="1">IFERROR(__xludf.DUMMYFUNCTION("""COMPUTED_VALUE"""),18.66)</f>
        <v>18.66</v>
      </c>
      <c r="F880" s="1">
        <f ca="1">IFERROR(__xludf.DUMMYFUNCTION("""COMPUTED_VALUE"""),5991338)</f>
        <v>5991338</v>
      </c>
      <c r="G880" s="5">
        <f t="shared" ca="1" si="39"/>
        <v>3.3226152197213345E-2</v>
      </c>
      <c r="H880" s="14">
        <f t="shared" si="40"/>
        <v>2019</v>
      </c>
      <c r="I880" s="5">
        <f t="shared" ca="1" si="41"/>
        <v>4.3057050592035448E-3</v>
      </c>
      <c r="J880" s="16"/>
    </row>
    <row r="881" spans="1:10" x14ac:dyDescent="0.2">
      <c r="A881" s="3">
        <v>43556</v>
      </c>
      <c r="B881" s="1">
        <f ca="1">IFERROR(__xludf.DUMMYFUNCTION("""COMPUTED_VALUE"""),18.84)</f>
        <v>18.84</v>
      </c>
      <c r="C881" s="1">
        <f ca="1">IFERROR(__xludf.DUMMYFUNCTION("""COMPUTED_VALUE"""),19.28)</f>
        <v>19.28</v>
      </c>
      <c r="D881" s="1">
        <f ca="1">IFERROR(__xludf.DUMMYFUNCTION("""COMPUTED_VALUE"""),18.75)</f>
        <v>18.75</v>
      </c>
      <c r="E881" s="1">
        <f ca="1">IFERROR(__xludf.DUMMYFUNCTION("""COMPUTED_VALUE"""),19.28)</f>
        <v>19.28</v>
      </c>
      <c r="F881" s="1">
        <f ca="1">IFERROR(__xludf.DUMMYFUNCTION("""COMPUTED_VALUE"""),8110439)</f>
        <v>8110439</v>
      </c>
      <c r="G881" s="5">
        <f t="shared" ca="1" si="39"/>
        <v>-1.1410788381742863E-2</v>
      </c>
      <c r="H881" s="14">
        <f t="shared" si="40"/>
        <v>2019</v>
      </c>
      <c r="I881" s="5">
        <f t="shared" ca="1" si="41"/>
        <v>2.3354564755838709E-2</v>
      </c>
      <c r="J881" s="16"/>
    </row>
    <row r="882" spans="1:10" x14ac:dyDescent="0.2">
      <c r="A882" s="3">
        <v>43557</v>
      </c>
      <c r="B882" s="1">
        <f ca="1">IFERROR(__xludf.DUMMYFUNCTION("""COMPUTED_VALUE"""),19.22)</f>
        <v>19.22</v>
      </c>
      <c r="C882" s="1">
        <f ca="1">IFERROR(__xludf.DUMMYFUNCTION("""COMPUTED_VALUE"""),19.3)</f>
        <v>19.3</v>
      </c>
      <c r="D882" s="1">
        <f ca="1">IFERROR(__xludf.DUMMYFUNCTION("""COMPUTED_VALUE"""),18.93)</f>
        <v>18.93</v>
      </c>
      <c r="E882" s="1">
        <f ca="1">IFERROR(__xludf.DUMMYFUNCTION("""COMPUTED_VALUE"""),19.06)</f>
        <v>19.059999999999999</v>
      </c>
      <c r="F882" s="1">
        <f ca="1">IFERROR(__xludf.DUMMYFUNCTION("""COMPUTED_VALUE"""),5478940)</f>
        <v>5478940</v>
      </c>
      <c r="G882" s="5">
        <f t="shared" ca="1" si="39"/>
        <v>2.0461699895068238E-2</v>
      </c>
      <c r="H882" s="14">
        <f t="shared" si="40"/>
        <v>2019</v>
      </c>
      <c r="I882" s="5">
        <f t="shared" ca="1" si="41"/>
        <v>-8.3246618106139515E-3</v>
      </c>
      <c r="J882" s="16"/>
    </row>
    <row r="883" spans="1:10" x14ac:dyDescent="0.2">
      <c r="A883" s="3">
        <v>43558</v>
      </c>
      <c r="B883" s="1">
        <f ca="1">IFERROR(__xludf.DUMMYFUNCTION("""COMPUTED_VALUE"""),19.15)</f>
        <v>19.149999999999999</v>
      </c>
      <c r="C883" s="1">
        <f ca="1">IFERROR(__xludf.DUMMYFUNCTION("""COMPUTED_VALUE"""),19.74)</f>
        <v>19.739999999999998</v>
      </c>
      <c r="D883" s="1">
        <f ca="1">IFERROR(__xludf.DUMMYFUNCTION("""COMPUTED_VALUE"""),19.14)</f>
        <v>19.14</v>
      </c>
      <c r="E883" s="1">
        <f ca="1">IFERROR(__xludf.DUMMYFUNCTION("""COMPUTED_VALUE"""),19.45)</f>
        <v>19.45</v>
      </c>
      <c r="F883" s="1">
        <f ca="1">IFERROR(__xludf.DUMMYFUNCTION("""COMPUTED_VALUE"""),7929864)</f>
        <v>7929864</v>
      </c>
      <c r="G883" s="5">
        <f t="shared" ca="1" si="39"/>
        <v>-8.2262210796915064E-2</v>
      </c>
      <c r="H883" s="14">
        <f t="shared" si="40"/>
        <v>2019</v>
      </c>
      <c r="I883" s="5">
        <f t="shared" ca="1" si="41"/>
        <v>1.5665796344647556E-2</v>
      </c>
      <c r="J883" s="16"/>
    </row>
    <row r="884" spans="1:10" x14ac:dyDescent="0.2">
      <c r="A884" s="3">
        <v>43559</v>
      </c>
      <c r="B884" s="1">
        <f ca="1">IFERROR(__xludf.DUMMYFUNCTION("""COMPUTED_VALUE"""),17.46)</f>
        <v>17.46</v>
      </c>
      <c r="C884" s="1">
        <f ca="1">IFERROR(__xludf.DUMMYFUNCTION("""COMPUTED_VALUE"""),18.08)</f>
        <v>18.079999999999998</v>
      </c>
      <c r="D884" s="1">
        <f ca="1">IFERROR(__xludf.DUMMYFUNCTION("""COMPUTED_VALUE"""),17.37)</f>
        <v>17.37</v>
      </c>
      <c r="E884" s="1">
        <f ca="1">IFERROR(__xludf.DUMMYFUNCTION("""COMPUTED_VALUE"""),17.85)</f>
        <v>17.850000000000001</v>
      </c>
      <c r="F884" s="1">
        <f ca="1">IFERROR(__xludf.DUMMYFUNCTION("""COMPUTED_VALUE"""),23720729)</f>
        <v>23720729</v>
      </c>
      <c r="G884" s="5">
        <f t="shared" ca="1" si="39"/>
        <v>2.689075630252083E-2</v>
      </c>
      <c r="H884" s="14">
        <f t="shared" si="40"/>
        <v>2019</v>
      </c>
      <c r="I884" s="5">
        <f t="shared" ca="1" si="41"/>
        <v>2.2336769759450203E-2</v>
      </c>
      <c r="J884" s="16"/>
    </row>
    <row r="885" spans="1:10" x14ac:dyDescent="0.2">
      <c r="A885" s="3">
        <v>43560</v>
      </c>
      <c r="B885" s="1">
        <f ca="1">IFERROR(__xludf.DUMMYFUNCTION("""COMPUTED_VALUE"""),17.99)</f>
        <v>17.989999999999998</v>
      </c>
      <c r="C885" s="1">
        <f ca="1">IFERROR(__xludf.DUMMYFUNCTION("""COMPUTED_VALUE"""),18.41)</f>
        <v>18.41</v>
      </c>
      <c r="D885" s="1">
        <f ca="1">IFERROR(__xludf.DUMMYFUNCTION("""COMPUTED_VALUE"""),17.74)</f>
        <v>17.739999999999998</v>
      </c>
      <c r="E885" s="1">
        <f ca="1">IFERROR(__xludf.DUMMYFUNCTION("""COMPUTED_VALUE"""),18.33)</f>
        <v>18.329999999999998</v>
      </c>
      <c r="F885" s="1">
        <f ca="1">IFERROR(__xludf.DUMMYFUNCTION("""COMPUTED_VALUE"""),13038257)</f>
        <v>13038257</v>
      </c>
      <c r="G885" s="5">
        <f t="shared" ca="1" si="39"/>
        <v>-6.5466448445170456E-3</v>
      </c>
      <c r="H885" s="14">
        <f t="shared" si="40"/>
        <v>2019</v>
      </c>
      <c r="I885" s="5">
        <f t="shared" ca="1" si="41"/>
        <v>1.8899388549193992E-2</v>
      </c>
      <c r="J885" s="16"/>
    </row>
    <row r="886" spans="1:10" x14ac:dyDescent="0.2">
      <c r="A886" s="3">
        <v>43563</v>
      </c>
      <c r="B886" s="1">
        <f ca="1">IFERROR(__xludf.DUMMYFUNCTION("""COMPUTED_VALUE"""),18.51)</f>
        <v>18.510000000000002</v>
      </c>
      <c r="C886" s="1">
        <f ca="1">IFERROR(__xludf.DUMMYFUNCTION("""COMPUTED_VALUE"""),18.74)</f>
        <v>18.739999999999998</v>
      </c>
      <c r="D886" s="1">
        <f ca="1">IFERROR(__xludf.DUMMYFUNCTION("""COMPUTED_VALUE"""),18.03)</f>
        <v>18.03</v>
      </c>
      <c r="E886" s="1">
        <f ca="1">IFERROR(__xludf.DUMMYFUNCTION("""COMPUTED_VALUE"""),18.21)</f>
        <v>18.21</v>
      </c>
      <c r="F886" s="1">
        <f ca="1">IFERROR(__xludf.DUMMYFUNCTION("""COMPUTED_VALUE"""),10410436)</f>
        <v>10410436</v>
      </c>
      <c r="G886" s="5">
        <f t="shared" ca="1" si="39"/>
        <v>-3.2948929159803552E-3</v>
      </c>
      <c r="H886" s="14">
        <f t="shared" si="40"/>
        <v>2019</v>
      </c>
      <c r="I886" s="5">
        <f t="shared" ca="1" si="41"/>
        <v>-1.6207455429497607E-2</v>
      </c>
      <c r="J886" s="16"/>
    </row>
    <row r="887" spans="1:10" x14ac:dyDescent="0.2">
      <c r="A887" s="3">
        <v>43564</v>
      </c>
      <c r="B887" s="1">
        <f ca="1">IFERROR(__xludf.DUMMYFUNCTION("""COMPUTED_VALUE"""),18.11)</f>
        <v>18.11</v>
      </c>
      <c r="C887" s="1">
        <f ca="1">IFERROR(__xludf.DUMMYFUNCTION("""COMPUTED_VALUE"""),18.33)</f>
        <v>18.329999999999998</v>
      </c>
      <c r="D887" s="1">
        <f ca="1">IFERROR(__xludf.DUMMYFUNCTION("""COMPUTED_VALUE"""),17.97)</f>
        <v>17.97</v>
      </c>
      <c r="E887" s="1">
        <f ca="1">IFERROR(__xludf.DUMMYFUNCTION("""COMPUTED_VALUE"""),18.15)</f>
        <v>18.149999999999999</v>
      </c>
      <c r="F887" s="1">
        <f ca="1">IFERROR(__xludf.DUMMYFUNCTION("""COMPUTED_VALUE"""),5904031)</f>
        <v>5904031</v>
      </c>
      <c r="G887" s="5">
        <f t="shared" ca="1" si="39"/>
        <v>1.3774104683195593E-2</v>
      </c>
      <c r="H887" s="14">
        <f t="shared" si="40"/>
        <v>2019</v>
      </c>
      <c r="I887" s="5">
        <f t="shared" ca="1" si="41"/>
        <v>2.2087244616233654E-3</v>
      </c>
      <c r="J887" s="16"/>
    </row>
    <row r="888" spans="1:10" x14ac:dyDescent="0.2">
      <c r="A888" s="3">
        <v>43565</v>
      </c>
      <c r="B888" s="1">
        <f ca="1">IFERROR(__xludf.DUMMYFUNCTION("""COMPUTED_VALUE"""),18.45)</f>
        <v>18.45</v>
      </c>
      <c r="C888" s="1">
        <f ca="1">IFERROR(__xludf.DUMMYFUNCTION("""COMPUTED_VALUE"""),18.56)</f>
        <v>18.559999999999999</v>
      </c>
      <c r="D888" s="1">
        <f ca="1">IFERROR(__xludf.DUMMYFUNCTION("""COMPUTED_VALUE"""),18.19)</f>
        <v>18.190000000000001</v>
      </c>
      <c r="E888" s="1">
        <f ca="1">IFERROR(__xludf.DUMMYFUNCTION("""COMPUTED_VALUE"""),18.4)</f>
        <v>18.399999999999999</v>
      </c>
      <c r="F888" s="1">
        <f ca="1">IFERROR(__xludf.DUMMYFUNCTION("""COMPUTED_VALUE"""),7061314)</f>
        <v>7061314</v>
      </c>
      <c r="G888" s="5">
        <f t="shared" ca="1" si="39"/>
        <v>-2.7717391304347722E-2</v>
      </c>
      <c r="H888" s="14">
        <f t="shared" si="40"/>
        <v>2019</v>
      </c>
      <c r="I888" s="5">
        <f t="shared" ca="1" si="41"/>
        <v>-2.7100271002710413E-3</v>
      </c>
      <c r="J888" s="16"/>
    </row>
    <row r="889" spans="1:10" x14ac:dyDescent="0.2">
      <c r="A889" s="3">
        <v>43566</v>
      </c>
      <c r="B889" s="1">
        <f ca="1">IFERROR(__xludf.DUMMYFUNCTION("""COMPUTED_VALUE"""),17.89)</f>
        <v>17.89</v>
      </c>
      <c r="C889" s="1">
        <f ca="1">IFERROR(__xludf.DUMMYFUNCTION("""COMPUTED_VALUE"""),18.03)</f>
        <v>18.03</v>
      </c>
      <c r="D889" s="1">
        <f ca="1">IFERROR(__xludf.DUMMYFUNCTION("""COMPUTED_VALUE"""),17.71)</f>
        <v>17.71</v>
      </c>
      <c r="E889" s="1">
        <f ca="1">IFERROR(__xludf.DUMMYFUNCTION("""COMPUTED_VALUE"""),17.89)</f>
        <v>17.89</v>
      </c>
      <c r="F889" s="1">
        <f ca="1">IFERROR(__xludf.DUMMYFUNCTION("""COMPUTED_VALUE"""),9835927)</f>
        <v>9835927</v>
      </c>
      <c r="G889" s="5">
        <f t="shared" ca="1" si="39"/>
        <v>-2.2358859698154918E-3</v>
      </c>
      <c r="H889" s="14">
        <f t="shared" si="40"/>
        <v>2019</v>
      </c>
      <c r="I889" s="5">
        <f t="shared" ca="1" si="41"/>
        <v>0</v>
      </c>
      <c r="J889" s="16"/>
    </row>
    <row r="890" spans="1:10" x14ac:dyDescent="0.2">
      <c r="A890" s="3">
        <v>43567</v>
      </c>
      <c r="B890" s="1">
        <f ca="1">IFERROR(__xludf.DUMMYFUNCTION("""COMPUTED_VALUE"""),18.01)</f>
        <v>18.010000000000002</v>
      </c>
      <c r="C890" s="1">
        <f ca="1">IFERROR(__xludf.DUMMYFUNCTION("""COMPUTED_VALUE"""),18.13)</f>
        <v>18.13</v>
      </c>
      <c r="D890" s="1">
        <f ca="1">IFERROR(__xludf.DUMMYFUNCTION("""COMPUTED_VALUE"""),17.79)</f>
        <v>17.79</v>
      </c>
      <c r="E890" s="1">
        <f ca="1">IFERROR(__xludf.DUMMYFUNCTION("""COMPUTED_VALUE"""),17.85)</f>
        <v>17.850000000000001</v>
      </c>
      <c r="F890" s="1">
        <f ca="1">IFERROR(__xludf.DUMMYFUNCTION("""COMPUTED_VALUE"""),6745974)</f>
        <v>6745974</v>
      </c>
      <c r="G890" s="5">
        <f t="shared" ca="1" si="39"/>
        <v>-5.0420168067226807E-3</v>
      </c>
      <c r="H890" s="14">
        <f t="shared" si="40"/>
        <v>2019</v>
      </c>
      <c r="I890" s="5">
        <f t="shared" ca="1" si="41"/>
        <v>-8.8839533592448717E-3</v>
      </c>
      <c r="J890" s="16"/>
    </row>
    <row r="891" spans="1:10" x14ac:dyDescent="0.2">
      <c r="A891" s="3">
        <v>43570</v>
      </c>
      <c r="B891" s="1">
        <f ca="1">IFERROR(__xludf.DUMMYFUNCTION("""COMPUTED_VALUE"""),17.91)</f>
        <v>17.91</v>
      </c>
      <c r="C891" s="1">
        <f ca="1">IFERROR(__xludf.DUMMYFUNCTION("""COMPUTED_VALUE"""),17.93)</f>
        <v>17.93</v>
      </c>
      <c r="D891" s="1">
        <f ca="1">IFERROR(__xludf.DUMMYFUNCTION("""COMPUTED_VALUE"""),17.24)</f>
        <v>17.239999999999998</v>
      </c>
      <c r="E891" s="1">
        <f ca="1">IFERROR(__xludf.DUMMYFUNCTION("""COMPUTED_VALUE"""),17.76)</f>
        <v>17.760000000000002</v>
      </c>
      <c r="F891" s="1">
        <f ca="1">IFERROR(__xludf.DUMMYFUNCTION("""COMPUTED_VALUE"""),10038579)</f>
        <v>10038579</v>
      </c>
      <c r="G891" s="5">
        <f t="shared" ca="1" si="39"/>
        <v>2.5900900900900747E-2</v>
      </c>
      <c r="H891" s="14">
        <f t="shared" si="40"/>
        <v>2019</v>
      </c>
      <c r="I891" s="5">
        <f t="shared" ca="1" si="41"/>
        <v>-8.3752093802344271E-3</v>
      </c>
      <c r="J891" s="16"/>
    </row>
    <row r="892" spans="1:10" x14ac:dyDescent="0.2">
      <c r="A892" s="3">
        <v>43571</v>
      </c>
      <c r="B892" s="1">
        <f ca="1">IFERROR(__xludf.DUMMYFUNCTION("""COMPUTED_VALUE"""),17.72)</f>
        <v>17.72</v>
      </c>
      <c r="C892" s="1">
        <f ca="1">IFERROR(__xludf.DUMMYFUNCTION("""COMPUTED_VALUE"""),18.33)</f>
        <v>18.329999999999998</v>
      </c>
      <c r="D892" s="1">
        <f ca="1">IFERROR(__xludf.DUMMYFUNCTION("""COMPUTED_VALUE"""),17.65)</f>
        <v>17.649999999999999</v>
      </c>
      <c r="E892" s="1">
        <f ca="1">IFERROR(__xludf.DUMMYFUNCTION("""COMPUTED_VALUE"""),18.22)</f>
        <v>18.22</v>
      </c>
      <c r="F892" s="1">
        <f ca="1">IFERROR(__xludf.DUMMYFUNCTION("""COMPUTED_VALUE"""),7272930)</f>
        <v>7272930</v>
      </c>
      <c r="G892" s="5">
        <f t="shared" ca="1" si="39"/>
        <v>-7.6838638858397678E-3</v>
      </c>
      <c r="H892" s="14">
        <f t="shared" si="40"/>
        <v>2019</v>
      </c>
      <c r="I892" s="5">
        <f t="shared" ca="1" si="41"/>
        <v>2.8216704288939055E-2</v>
      </c>
      <c r="J892" s="16"/>
    </row>
    <row r="893" spans="1:10" x14ac:dyDescent="0.2">
      <c r="A893" s="3">
        <v>43572</v>
      </c>
      <c r="B893" s="1">
        <f ca="1">IFERROR(__xludf.DUMMYFUNCTION("""COMPUTED_VALUE"""),18.32)</f>
        <v>18.32</v>
      </c>
      <c r="C893" s="1">
        <f ca="1">IFERROR(__xludf.DUMMYFUNCTION("""COMPUTED_VALUE"""),18.32)</f>
        <v>18.32</v>
      </c>
      <c r="D893" s="1">
        <f ca="1">IFERROR(__xludf.DUMMYFUNCTION("""COMPUTED_VALUE"""),17.9)</f>
        <v>17.899999999999999</v>
      </c>
      <c r="E893" s="1">
        <f ca="1">IFERROR(__xludf.DUMMYFUNCTION("""COMPUTED_VALUE"""),18.08)</f>
        <v>18.079999999999998</v>
      </c>
      <c r="F893" s="1">
        <f ca="1">IFERROR(__xludf.DUMMYFUNCTION("""COMPUTED_VALUE"""),5126468)</f>
        <v>5126468</v>
      </c>
      <c r="G893" s="5">
        <f t="shared" ca="1" si="39"/>
        <v>7.7433628318584391E-3</v>
      </c>
      <c r="H893" s="14">
        <f t="shared" si="40"/>
        <v>2019</v>
      </c>
      <c r="I893" s="5">
        <f t="shared" ca="1" si="41"/>
        <v>-1.3100436681222816E-2</v>
      </c>
      <c r="J893" s="16"/>
    </row>
    <row r="894" spans="1:10" x14ac:dyDescent="0.2">
      <c r="A894" s="3">
        <v>43573</v>
      </c>
      <c r="B894" s="1">
        <f ca="1">IFERROR(__xludf.DUMMYFUNCTION("""COMPUTED_VALUE"""),18.08)</f>
        <v>18.079999999999998</v>
      </c>
      <c r="C894" s="1">
        <f ca="1">IFERROR(__xludf.DUMMYFUNCTION("""COMPUTED_VALUE"""),18.32)</f>
        <v>18.32</v>
      </c>
      <c r="D894" s="1">
        <f ca="1">IFERROR(__xludf.DUMMYFUNCTION("""COMPUTED_VALUE"""),17.98)</f>
        <v>17.98</v>
      </c>
      <c r="E894" s="1">
        <f ca="1">IFERROR(__xludf.DUMMYFUNCTION("""COMPUTED_VALUE"""),18.22)</f>
        <v>18.22</v>
      </c>
      <c r="F894" s="1">
        <f ca="1">IFERROR(__xludf.DUMMYFUNCTION("""COMPUTED_VALUE"""),5876325)</f>
        <v>5876325</v>
      </c>
      <c r="G894" s="5">
        <f t="shared" ca="1" si="39"/>
        <v>-3.8419319429198649E-2</v>
      </c>
      <c r="H894" s="14">
        <f t="shared" si="40"/>
        <v>2019</v>
      </c>
      <c r="I894" s="5">
        <f t="shared" ca="1" si="41"/>
        <v>7.7433628318584391E-3</v>
      </c>
      <c r="J894" s="16"/>
    </row>
    <row r="895" spans="1:10" x14ac:dyDescent="0.2">
      <c r="A895" s="3">
        <v>43577</v>
      </c>
      <c r="B895" s="1">
        <f ca="1">IFERROR(__xludf.DUMMYFUNCTION("""COMPUTED_VALUE"""),17.93)</f>
        <v>17.93</v>
      </c>
      <c r="C895" s="1">
        <f ca="1">IFERROR(__xludf.DUMMYFUNCTION("""COMPUTED_VALUE"""),17.98)</f>
        <v>17.98</v>
      </c>
      <c r="D895" s="1">
        <f ca="1">IFERROR(__xludf.DUMMYFUNCTION("""COMPUTED_VALUE"""),17.5)</f>
        <v>17.5</v>
      </c>
      <c r="E895" s="1">
        <f ca="1">IFERROR(__xludf.DUMMYFUNCTION("""COMPUTED_VALUE"""),17.52)</f>
        <v>17.52</v>
      </c>
      <c r="F895" s="1">
        <f ca="1">IFERROR(__xludf.DUMMYFUNCTION("""COMPUTED_VALUE"""),12147141)</f>
        <v>12147141</v>
      </c>
      <c r="G895" s="5">
        <f t="shared" ca="1" si="39"/>
        <v>3.9954337899543542E-3</v>
      </c>
      <c r="H895" s="14">
        <f t="shared" si="40"/>
        <v>2019</v>
      </c>
      <c r="I895" s="5">
        <f t="shared" ca="1" si="41"/>
        <v>-2.2866703848298947E-2</v>
      </c>
      <c r="J895" s="16"/>
    </row>
    <row r="896" spans="1:10" x14ac:dyDescent="0.2">
      <c r="A896" s="3">
        <v>43578</v>
      </c>
      <c r="B896" s="1">
        <f ca="1">IFERROR(__xludf.DUMMYFUNCTION("""COMPUTED_VALUE"""),17.34)</f>
        <v>17.34</v>
      </c>
      <c r="C896" s="1">
        <f ca="1">IFERROR(__xludf.DUMMYFUNCTION("""COMPUTED_VALUE"""),17.71)</f>
        <v>17.71</v>
      </c>
      <c r="D896" s="1">
        <f ca="1">IFERROR(__xludf.DUMMYFUNCTION("""COMPUTED_VALUE"""),17.05)</f>
        <v>17.05</v>
      </c>
      <c r="E896" s="1">
        <f ca="1">IFERROR(__xludf.DUMMYFUNCTION("""COMPUTED_VALUE"""),17.59)</f>
        <v>17.59</v>
      </c>
      <c r="F896" s="1">
        <f ca="1">IFERROR(__xludf.DUMMYFUNCTION("""COMPUTED_VALUE"""),10943859)</f>
        <v>10943859</v>
      </c>
      <c r="G896" s="5">
        <f t="shared" ca="1" si="39"/>
        <v>-1.9897669130187687E-2</v>
      </c>
      <c r="H896" s="14">
        <f t="shared" si="40"/>
        <v>2019</v>
      </c>
      <c r="I896" s="5">
        <f t="shared" ca="1" si="41"/>
        <v>1.4417531718569781E-2</v>
      </c>
      <c r="J896" s="16"/>
    </row>
    <row r="897" spans="1:10" x14ac:dyDescent="0.2">
      <c r="A897" s="3">
        <v>43579</v>
      </c>
      <c r="B897" s="1">
        <f ca="1">IFERROR(__xludf.DUMMYFUNCTION("""COMPUTED_VALUE"""),17.59)</f>
        <v>17.59</v>
      </c>
      <c r="C897" s="1">
        <f ca="1">IFERROR(__xludf.DUMMYFUNCTION("""COMPUTED_VALUE"""),17.69)</f>
        <v>17.690000000000001</v>
      </c>
      <c r="D897" s="1">
        <f ca="1">IFERROR(__xludf.DUMMYFUNCTION("""COMPUTED_VALUE"""),17.2)</f>
        <v>17.2</v>
      </c>
      <c r="E897" s="1">
        <f ca="1">IFERROR(__xludf.DUMMYFUNCTION("""COMPUTED_VALUE"""),17.24)</f>
        <v>17.239999999999998</v>
      </c>
      <c r="F897" s="1">
        <f ca="1">IFERROR(__xludf.DUMMYFUNCTION("""COMPUTED_VALUE"""),10727454)</f>
        <v>10727454</v>
      </c>
      <c r="G897" s="5">
        <f t="shared" ca="1" si="39"/>
        <v>-4.2343387470997501E-2</v>
      </c>
      <c r="H897" s="14">
        <f t="shared" si="40"/>
        <v>2019</v>
      </c>
      <c r="I897" s="5">
        <f t="shared" ca="1" si="41"/>
        <v>-1.9897669130187687E-2</v>
      </c>
      <c r="J897" s="16"/>
    </row>
    <row r="898" spans="1:10" x14ac:dyDescent="0.2">
      <c r="A898" s="3">
        <v>43580</v>
      </c>
      <c r="B898" s="1">
        <f ca="1">IFERROR(__xludf.DUMMYFUNCTION("""COMPUTED_VALUE"""),17)</f>
        <v>17</v>
      </c>
      <c r="C898" s="1">
        <f ca="1">IFERROR(__xludf.DUMMYFUNCTION("""COMPUTED_VALUE"""),17.27)</f>
        <v>17.27</v>
      </c>
      <c r="D898" s="1">
        <f ca="1">IFERROR(__xludf.DUMMYFUNCTION("""COMPUTED_VALUE"""),16.4)</f>
        <v>16.399999999999999</v>
      </c>
      <c r="E898" s="1">
        <f ca="1">IFERROR(__xludf.DUMMYFUNCTION("""COMPUTED_VALUE"""),16.51)</f>
        <v>16.510000000000002</v>
      </c>
      <c r="F898" s="1">
        <f ca="1">IFERROR(__xludf.DUMMYFUNCTION("""COMPUTED_VALUE"""),21849393)</f>
        <v>21849393</v>
      </c>
      <c r="G898" s="5">
        <f t="shared" ca="1" si="39"/>
        <v>-5.0272562083585812E-2</v>
      </c>
      <c r="H898" s="14">
        <f t="shared" si="40"/>
        <v>2019</v>
      </c>
      <c r="I898" s="5">
        <f t="shared" ca="1" si="41"/>
        <v>-2.8823529411764613E-2</v>
      </c>
      <c r="J898" s="16"/>
    </row>
    <row r="899" spans="1:10" x14ac:dyDescent="0.2">
      <c r="A899" s="3">
        <v>43581</v>
      </c>
      <c r="B899" s="1">
        <f ca="1">IFERROR(__xludf.DUMMYFUNCTION("""COMPUTED_VALUE"""),16.43)</f>
        <v>16.43</v>
      </c>
      <c r="C899" s="1">
        <f ca="1">IFERROR(__xludf.DUMMYFUNCTION("""COMPUTED_VALUE"""),16.45)</f>
        <v>16.45</v>
      </c>
      <c r="D899" s="1">
        <f ca="1">IFERROR(__xludf.DUMMYFUNCTION("""COMPUTED_VALUE"""),15.41)</f>
        <v>15.41</v>
      </c>
      <c r="E899" s="1">
        <f ca="1">IFERROR(__xludf.DUMMYFUNCTION("""COMPUTED_VALUE"""),15.68)</f>
        <v>15.68</v>
      </c>
      <c r="F899" s="1">
        <f ca="1">IFERROR(__xludf.DUMMYFUNCTION("""COMPUTED_VALUE"""),22360709)</f>
        <v>22360709</v>
      </c>
      <c r="G899" s="5">
        <f t="shared" ref="G899:G962" ca="1" si="42">(E900-E899)/E899</f>
        <v>2.6785714285714395E-2</v>
      </c>
      <c r="H899" s="14">
        <f t="shared" ref="H899:H962" si="43">YEAR(A899)</f>
        <v>2019</v>
      </c>
      <c r="I899" s="5">
        <f t="shared" ref="I899:I962" ca="1" si="44">((E899 - B899) / B899)</f>
        <v>-4.564820450395618E-2</v>
      </c>
      <c r="J899" s="16"/>
    </row>
    <row r="900" spans="1:10" x14ac:dyDescent="0.2">
      <c r="A900" s="3">
        <v>43584</v>
      </c>
      <c r="B900" s="1">
        <f ca="1">IFERROR(__xludf.DUMMYFUNCTION("""COMPUTED_VALUE"""),15.72)</f>
        <v>15.72</v>
      </c>
      <c r="C900" s="1">
        <f ca="1">IFERROR(__xludf.DUMMYFUNCTION("""COMPUTED_VALUE"""),16.27)</f>
        <v>16.27</v>
      </c>
      <c r="D900" s="1">
        <f ca="1">IFERROR(__xludf.DUMMYFUNCTION("""COMPUTED_VALUE"""),15.48)</f>
        <v>15.48</v>
      </c>
      <c r="E900" s="1">
        <f ca="1">IFERROR(__xludf.DUMMYFUNCTION("""COMPUTED_VALUE"""),16.1)</f>
        <v>16.100000000000001</v>
      </c>
      <c r="F900" s="1">
        <f ca="1">IFERROR(__xludf.DUMMYFUNCTION("""COMPUTED_VALUE"""),16714476)</f>
        <v>16714476</v>
      </c>
      <c r="G900" s="5">
        <f t="shared" ca="1" si="42"/>
        <v>-1.1801242236024924E-2</v>
      </c>
      <c r="H900" s="14">
        <f t="shared" si="43"/>
        <v>2019</v>
      </c>
      <c r="I900" s="5">
        <f t="shared" ca="1" si="44"/>
        <v>2.4173027989821932E-2</v>
      </c>
      <c r="J900" s="16"/>
    </row>
    <row r="901" spans="1:10" x14ac:dyDescent="0.2">
      <c r="A901" s="3">
        <v>43585</v>
      </c>
      <c r="B901" s="1">
        <f ca="1">IFERROR(__xludf.DUMMYFUNCTION("""COMPUTED_VALUE"""),16.14)</f>
        <v>16.14</v>
      </c>
      <c r="C901" s="1">
        <f ca="1">IFERROR(__xludf.DUMMYFUNCTION("""COMPUTED_VALUE"""),16.28)</f>
        <v>16.28</v>
      </c>
      <c r="D901" s="1">
        <f ca="1">IFERROR(__xludf.DUMMYFUNCTION("""COMPUTED_VALUE"""),15.8)</f>
        <v>15.8</v>
      </c>
      <c r="E901" s="1">
        <f ca="1">IFERROR(__xludf.DUMMYFUNCTION("""COMPUTED_VALUE"""),15.91)</f>
        <v>15.91</v>
      </c>
      <c r="F901" s="1">
        <f ca="1">IFERROR(__xludf.DUMMYFUNCTION("""COMPUTED_VALUE"""),9464628)</f>
        <v>9464628</v>
      </c>
      <c r="G901" s="5">
        <f t="shared" ca="1" si="42"/>
        <v>-1.948460087994975E-2</v>
      </c>
      <c r="H901" s="14">
        <f t="shared" si="43"/>
        <v>2019</v>
      </c>
      <c r="I901" s="5">
        <f t="shared" ca="1" si="44"/>
        <v>-1.4250309789343272E-2</v>
      </c>
      <c r="J901" s="16"/>
    </row>
    <row r="902" spans="1:10" x14ac:dyDescent="0.2">
      <c r="A902" s="3">
        <v>43586</v>
      </c>
      <c r="B902" s="1">
        <f ca="1">IFERROR(__xludf.DUMMYFUNCTION("""COMPUTED_VALUE"""),15.92)</f>
        <v>15.92</v>
      </c>
      <c r="C902" s="1">
        <f ca="1">IFERROR(__xludf.DUMMYFUNCTION("""COMPUTED_VALUE"""),16)</f>
        <v>16</v>
      </c>
      <c r="D902" s="1">
        <f ca="1">IFERROR(__xludf.DUMMYFUNCTION("""COMPUTED_VALUE"""),15.43)</f>
        <v>15.43</v>
      </c>
      <c r="E902" s="1">
        <f ca="1">IFERROR(__xludf.DUMMYFUNCTION("""COMPUTED_VALUE"""),15.6)</f>
        <v>15.6</v>
      </c>
      <c r="F902" s="1">
        <f ca="1">IFERROR(__xludf.DUMMYFUNCTION("""COMPUTED_VALUE"""),10704354)</f>
        <v>10704354</v>
      </c>
      <c r="G902" s="5">
        <f t="shared" ca="1" si="42"/>
        <v>4.2948717948717942E-2</v>
      </c>
      <c r="H902" s="14">
        <f t="shared" si="43"/>
        <v>2019</v>
      </c>
      <c r="I902" s="5">
        <f t="shared" ca="1" si="44"/>
        <v>-2.0100502512562832E-2</v>
      </c>
      <c r="J902" s="16"/>
    </row>
    <row r="903" spans="1:10" x14ac:dyDescent="0.2">
      <c r="A903" s="3">
        <v>43587</v>
      </c>
      <c r="B903" s="1">
        <f ca="1">IFERROR(__xludf.DUMMYFUNCTION("""COMPUTED_VALUE"""),16.37)</f>
        <v>16.37</v>
      </c>
      <c r="C903" s="1">
        <f ca="1">IFERROR(__xludf.DUMMYFUNCTION("""COMPUTED_VALUE"""),16.48)</f>
        <v>16.48</v>
      </c>
      <c r="D903" s="1">
        <f ca="1">IFERROR(__xludf.DUMMYFUNCTION("""COMPUTED_VALUE"""),15.85)</f>
        <v>15.85</v>
      </c>
      <c r="E903" s="1">
        <f ca="1">IFERROR(__xludf.DUMMYFUNCTION("""COMPUTED_VALUE"""),16.27)</f>
        <v>16.27</v>
      </c>
      <c r="F903" s="1">
        <f ca="1">IFERROR(__xludf.DUMMYFUNCTION("""COMPUTED_VALUE"""),18159339)</f>
        <v>18159339</v>
      </c>
      <c r="G903" s="5">
        <f t="shared" ca="1" si="42"/>
        <v>4.4867854947756636E-2</v>
      </c>
      <c r="H903" s="14">
        <f t="shared" si="43"/>
        <v>2019</v>
      </c>
      <c r="I903" s="5">
        <f t="shared" ca="1" si="44"/>
        <v>-6.1087354917532932E-3</v>
      </c>
      <c r="J903" s="16"/>
    </row>
    <row r="904" spans="1:10" x14ac:dyDescent="0.2">
      <c r="A904" s="3">
        <v>43588</v>
      </c>
      <c r="B904" s="1">
        <f ca="1">IFERROR(__xludf.DUMMYFUNCTION("""COMPUTED_VALUE"""),16.26)</f>
        <v>16.260000000000002</v>
      </c>
      <c r="C904" s="1">
        <f ca="1">IFERROR(__xludf.DUMMYFUNCTION("""COMPUTED_VALUE"""),17.11)</f>
        <v>17.11</v>
      </c>
      <c r="D904" s="1">
        <f ca="1">IFERROR(__xludf.DUMMYFUNCTION("""COMPUTED_VALUE"""),16.23)</f>
        <v>16.23</v>
      </c>
      <c r="E904" s="1">
        <f ca="1">IFERROR(__xludf.DUMMYFUNCTION("""COMPUTED_VALUE"""),17)</f>
        <v>17</v>
      </c>
      <c r="F904" s="1">
        <f ca="1">IFERROR(__xludf.DUMMYFUNCTION("""COMPUTED_VALUE"""),23706771)</f>
        <v>23706771</v>
      </c>
      <c r="G904" s="5">
        <f t="shared" ca="1" si="42"/>
        <v>1.1764705882352691E-3</v>
      </c>
      <c r="H904" s="14">
        <f t="shared" si="43"/>
        <v>2019</v>
      </c>
      <c r="I904" s="5">
        <f t="shared" ca="1" si="44"/>
        <v>4.5510455104550943E-2</v>
      </c>
      <c r="J904" s="16"/>
    </row>
    <row r="905" spans="1:10" x14ac:dyDescent="0.2">
      <c r="A905" s="3">
        <v>43591</v>
      </c>
      <c r="B905" s="1">
        <f ca="1">IFERROR(__xludf.DUMMYFUNCTION("""COMPUTED_VALUE"""),16.67)</f>
        <v>16.670000000000002</v>
      </c>
      <c r="C905" s="1">
        <f ca="1">IFERROR(__xludf.DUMMYFUNCTION("""COMPUTED_VALUE"""),17.22)</f>
        <v>17.22</v>
      </c>
      <c r="D905" s="1">
        <f ca="1">IFERROR(__xludf.DUMMYFUNCTION("""COMPUTED_VALUE"""),16.57)</f>
        <v>16.57</v>
      </c>
      <c r="E905" s="1">
        <f ca="1">IFERROR(__xludf.DUMMYFUNCTION("""COMPUTED_VALUE"""),17.02)</f>
        <v>17.02</v>
      </c>
      <c r="F905" s="1">
        <f ca="1">IFERROR(__xludf.DUMMYFUNCTION("""COMPUTED_VALUE"""),10833943)</f>
        <v>10833943</v>
      </c>
      <c r="G905" s="5">
        <f t="shared" ca="1" si="42"/>
        <v>-3.2314923619271491E-2</v>
      </c>
      <c r="H905" s="14">
        <f t="shared" si="43"/>
        <v>2019</v>
      </c>
      <c r="I905" s="5">
        <f t="shared" ca="1" si="44"/>
        <v>2.0995800839831904E-2</v>
      </c>
      <c r="J905" s="16"/>
    </row>
    <row r="906" spans="1:10" x14ac:dyDescent="0.2">
      <c r="A906" s="3">
        <v>43592</v>
      </c>
      <c r="B906" s="1">
        <f ca="1">IFERROR(__xludf.DUMMYFUNCTION("""COMPUTED_VALUE"""),17.12)</f>
        <v>17.12</v>
      </c>
      <c r="C906" s="1">
        <f ca="1">IFERROR(__xludf.DUMMYFUNCTION("""COMPUTED_VALUE"""),17.15)</f>
        <v>17.149999999999999</v>
      </c>
      <c r="D906" s="1">
        <f ca="1">IFERROR(__xludf.DUMMYFUNCTION("""COMPUTED_VALUE"""),16.34)</f>
        <v>16.34</v>
      </c>
      <c r="E906" s="1">
        <f ca="1">IFERROR(__xludf.DUMMYFUNCTION("""COMPUTED_VALUE"""),16.47)</f>
        <v>16.47</v>
      </c>
      <c r="F906" s="1">
        <f ca="1">IFERROR(__xludf.DUMMYFUNCTION("""COMPUTED_VALUE"""),10131408)</f>
        <v>10131408</v>
      </c>
      <c r="G906" s="5">
        <f t="shared" ca="1" si="42"/>
        <v>-9.1074681238614806E-3</v>
      </c>
      <c r="H906" s="14">
        <f t="shared" si="43"/>
        <v>2019</v>
      </c>
      <c r="I906" s="5">
        <f t="shared" ca="1" si="44"/>
        <v>-3.796728971962629E-2</v>
      </c>
      <c r="J906" s="16"/>
    </row>
    <row r="907" spans="1:10" x14ac:dyDescent="0.2">
      <c r="A907" s="3">
        <v>43593</v>
      </c>
      <c r="B907" s="1">
        <f ca="1">IFERROR(__xludf.DUMMYFUNCTION("""COMPUTED_VALUE"""),16.46)</f>
        <v>16.46</v>
      </c>
      <c r="C907" s="1">
        <f ca="1">IFERROR(__xludf.DUMMYFUNCTION("""COMPUTED_VALUE"""),16.71)</f>
        <v>16.71</v>
      </c>
      <c r="D907" s="1">
        <f ca="1">IFERROR(__xludf.DUMMYFUNCTION("""COMPUTED_VALUE"""),16.28)</f>
        <v>16.28</v>
      </c>
      <c r="E907" s="1">
        <f ca="1">IFERROR(__xludf.DUMMYFUNCTION("""COMPUTED_VALUE"""),16.32)</f>
        <v>16.32</v>
      </c>
      <c r="F907" s="1">
        <f ca="1">IFERROR(__xludf.DUMMYFUNCTION("""COMPUTED_VALUE"""),6176440)</f>
        <v>6176440</v>
      </c>
      <c r="G907" s="5">
        <f t="shared" ca="1" si="42"/>
        <v>-1.1642156862745176E-2</v>
      </c>
      <c r="H907" s="14">
        <f t="shared" si="43"/>
        <v>2019</v>
      </c>
      <c r="I907" s="5">
        <f t="shared" ca="1" si="44"/>
        <v>-8.5054678007290743E-3</v>
      </c>
      <c r="J907" s="16"/>
    </row>
    <row r="908" spans="1:10" x14ac:dyDescent="0.2">
      <c r="A908" s="3">
        <v>43594</v>
      </c>
      <c r="B908" s="1">
        <f ca="1">IFERROR(__xludf.DUMMYFUNCTION("""COMPUTED_VALUE"""),16.13)</f>
        <v>16.13</v>
      </c>
      <c r="C908" s="1">
        <f ca="1">IFERROR(__xludf.DUMMYFUNCTION("""COMPUTED_VALUE"""),16.25)</f>
        <v>16.25</v>
      </c>
      <c r="D908" s="1">
        <f ca="1">IFERROR(__xludf.DUMMYFUNCTION("""COMPUTED_VALUE"""),15.8)</f>
        <v>15.8</v>
      </c>
      <c r="E908" s="1">
        <f ca="1">IFERROR(__xludf.DUMMYFUNCTION("""COMPUTED_VALUE"""),16.13)</f>
        <v>16.13</v>
      </c>
      <c r="F908" s="1">
        <f ca="1">IFERROR(__xludf.DUMMYFUNCTION("""COMPUTED_VALUE"""),6711382)</f>
        <v>6711382</v>
      </c>
      <c r="G908" s="5">
        <f t="shared" ca="1" si="42"/>
        <v>-9.9194048357097563E-3</v>
      </c>
      <c r="H908" s="14">
        <f t="shared" si="43"/>
        <v>2019</v>
      </c>
      <c r="I908" s="5">
        <f t="shared" ca="1" si="44"/>
        <v>0</v>
      </c>
      <c r="J908" s="16"/>
    </row>
    <row r="909" spans="1:10" x14ac:dyDescent="0.2">
      <c r="A909" s="3">
        <v>43595</v>
      </c>
      <c r="B909" s="1">
        <f ca="1">IFERROR(__xludf.DUMMYFUNCTION("""COMPUTED_VALUE"""),15.98)</f>
        <v>15.98</v>
      </c>
      <c r="C909" s="1">
        <f ca="1">IFERROR(__xludf.DUMMYFUNCTION("""COMPUTED_VALUE"""),16.13)</f>
        <v>16.13</v>
      </c>
      <c r="D909" s="1">
        <f ca="1">IFERROR(__xludf.DUMMYFUNCTION("""COMPUTED_VALUE"""),15.73)</f>
        <v>15.73</v>
      </c>
      <c r="E909" s="1">
        <f ca="1">IFERROR(__xludf.DUMMYFUNCTION("""COMPUTED_VALUE"""),15.97)</f>
        <v>15.97</v>
      </c>
      <c r="F909" s="1">
        <f ca="1">IFERROR(__xludf.DUMMYFUNCTION("""COMPUTED_VALUE"""),7008336)</f>
        <v>7008336</v>
      </c>
      <c r="G909" s="5">
        <f t="shared" ca="1" si="42"/>
        <v>-5.2598622417031921E-2</v>
      </c>
      <c r="H909" s="14">
        <f t="shared" si="43"/>
        <v>2019</v>
      </c>
      <c r="I909" s="5">
        <f t="shared" ca="1" si="44"/>
        <v>-6.2578222778471759E-4</v>
      </c>
      <c r="J909" s="16"/>
    </row>
    <row r="910" spans="1:10" x14ac:dyDescent="0.2">
      <c r="A910" s="3">
        <v>43598</v>
      </c>
      <c r="B910" s="1">
        <f ca="1">IFERROR(__xludf.DUMMYFUNCTION("""COMPUTED_VALUE"""),15.47)</f>
        <v>15.47</v>
      </c>
      <c r="C910" s="1">
        <f ca="1">IFERROR(__xludf.DUMMYFUNCTION("""COMPUTED_VALUE"""),15.5)</f>
        <v>15.5</v>
      </c>
      <c r="D910" s="1">
        <f ca="1">IFERROR(__xludf.DUMMYFUNCTION("""COMPUTED_VALUE"""),14.97)</f>
        <v>14.97</v>
      </c>
      <c r="E910" s="1">
        <f ca="1">IFERROR(__xludf.DUMMYFUNCTION("""COMPUTED_VALUE"""),15.13)</f>
        <v>15.13</v>
      </c>
      <c r="F910" s="1">
        <f ca="1">IFERROR(__xludf.DUMMYFUNCTION("""COMPUTED_VALUE"""),10834796)</f>
        <v>10834796</v>
      </c>
      <c r="G910" s="5">
        <f t="shared" ca="1" si="42"/>
        <v>2.3793787177792427E-2</v>
      </c>
      <c r="H910" s="14">
        <f t="shared" si="43"/>
        <v>2019</v>
      </c>
      <c r="I910" s="5">
        <f t="shared" ca="1" si="44"/>
        <v>-2.1978021978021969E-2</v>
      </c>
      <c r="J910" s="16"/>
    </row>
    <row r="911" spans="1:10" x14ac:dyDescent="0.2">
      <c r="A911" s="3">
        <v>43599</v>
      </c>
      <c r="B911" s="1">
        <f ca="1">IFERROR(__xludf.DUMMYFUNCTION("""COMPUTED_VALUE"""),15.29)</f>
        <v>15.29</v>
      </c>
      <c r="C911" s="1">
        <f ca="1">IFERROR(__xludf.DUMMYFUNCTION("""COMPUTED_VALUE"""),15.63)</f>
        <v>15.63</v>
      </c>
      <c r="D911" s="1">
        <f ca="1">IFERROR(__xludf.DUMMYFUNCTION("""COMPUTED_VALUE"""),15.2)</f>
        <v>15.2</v>
      </c>
      <c r="E911" s="1">
        <f ca="1">IFERROR(__xludf.DUMMYFUNCTION("""COMPUTED_VALUE"""),15.49)</f>
        <v>15.49</v>
      </c>
      <c r="F911" s="1">
        <f ca="1">IFERROR(__xludf.DUMMYFUNCTION("""COMPUTED_VALUE"""),7252412)</f>
        <v>7252412</v>
      </c>
      <c r="G911" s="5">
        <f t="shared" ca="1" si="42"/>
        <v>-1.9367333763718115E-3</v>
      </c>
      <c r="H911" s="14">
        <f t="shared" si="43"/>
        <v>2019</v>
      </c>
      <c r="I911" s="5">
        <f t="shared" ca="1" si="44"/>
        <v>1.3080444735121065E-2</v>
      </c>
      <c r="J911" s="16"/>
    </row>
    <row r="912" spans="1:10" x14ac:dyDescent="0.2">
      <c r="A912" s="3">
        <v>43600</v>
      </c>
      <c r="B912" s="1">
        <f ca="1">IFERROR(__xludf.DUMMYFUNCTION("""COMPUTED_VALUE"""),15.29)</f>
        <v>15.29</v>
      </c>
      <c r="C912" s="1">
        <f ca="1">IFERROR(__xludf.DUMMYFUNCTION("""COMPUTED_VALUE"""),15.5)</f>
        <v>15.5</v>
      </c>
      <c r="D912" s="1">
        <f ca="1">IFERROR(__xludf.DUMMYFUNCTION("""COMPUTED_VALUE"""),15.02)</f>
        <v>15.02</v>
      </c>
      <c r="E912" s="1">
        <f ca="1">IFERROR(__xludf.DUMMYFUNCTION("""COMPUTED_VALUE"""),15.46)</f>
        <v>15.46</v>
      </c>
      <c r="F912" s="1">
        <f ca="1">IFERROR(__xludf.DUMMYFUNCTION("""COMPUTED_VALUE"""),7295976)</f>
        <v>7295976</v>
      </c>
      <c r="G912" s="5">
        <f t="shared" ca="1" si="42"/>
        <v>-1.5523932729624851E-2</v>
      </c>
      <c r="H912" s="14">
        <f t="shared" si="43"/>
        <v>2019</v>
      </c>
      <c r="I912" s="5">
        <f t="shared" ca="1" si="44"/>
        <v>1.1118378024852956E-2</v>
      </c>
      <c r="J912" s="16"/>
    </row>
    <row r="913" spans="1:10" x14ac:dyDescent="0.2">
      <c r="A913" s="3">
        <v>43601</v>
      </c>
      <c r="B913" s="1">
        <f ca="1">IFERROR(__xludf.DUMMYFUNCTION("""COMPUTED_VALUE"""),15.3)</f>
        <v>15.3</v>
      </c>
      <c r="C913" s="1">
        <f ca="1">IFERROR(__xludf.DUMMYFUNCTION("""COMPUTED_VALUE"""),15.4)</f>
        <v>15.4</v>
      </c>
      <c r="D913" s="1">
        <f ca="1">IFERROR(__xludf.DUMMYFUNCTION("""COMPUTED_VALUE"""),15.1)</f>
        <v>15.1</v>
      </c>
      <c r="E913" s="1">
        <f ca="1">IFERROR(__xludf.DUMMYFUNCTION("""COMPUTED_VALUE"""),15.22)</f>
        <v>15.22</v>
      </c>
      <c r="F913" s="1">
        <f ca="1">IFERROR(__xludf.DUMMYFUNCTION("""COMPUTED_VALUE"""),7483273)</f>
        <v>7483273</v>
      </c>
      <c r="G913" s="5">
        <f t="shared" ca="1" si="42"/>
        <v>-7.5558475689881749E-2</v>
      </c>
      <c r="H913" s="14">
        <f t="shared" si="43"/>
        <v>2019</v>
      </c>
      <c r="I913" s="5">
        <f t="shared" ca="1" si="44"/>
        <v>-5.2287581699346445E-3</v>
      </c>
      <c r="J913" s="16"/>
    </row>
    <row r="914" spans="1:10" x14ac:dyDescent="0.2">
      <c r="A914" s="3">
        <v>43602</v>
      </c>
      <c r="B914" s="1">
        <f ca="1">IFERROR(__xludf.DUMMYFUNCTION("""COMPUTED_VALUE"""),14.8)</f>
        <v>14.8</v>
      </c>
      <c r="C914" s="1">
        <f ca="1">IFERROR(__xludf.DUMMYFUNCTION("""COMPUTED_VALUE"""),14.82)</f>
        <v>14.82</v>
      </c>
      <c r="D914" s="1">
        <f ca="1">IFERROR(__xludf.DUMMYFUNCTION("""COMPUTED_VALUE"""),13.93)</f>
        <v>13.93</v>
      </c>
      <c r="E914" s="1">
        <f ca="1">IFERROR(__xludf.DUMMYFUNCTION("""COMPUTED_VALUE"""),14.07)</f>
        <v>14.07</v>
      </c>
      <c r="F914" s="1">
        <f ca="1">IFERROR(__xludf.DUMMYFUNCTION("""COMPUTED_VALUE"""),17786666)</f>
        <v>17786666</v>
      </c>
      <c r="G914" s="5">
        <f t="shared" ca="1" si="42"/>
        <v>-2.7007818052594227E-2</v>
      </c>
      <c r="H914" s="14">
        <f t="shared" si="43"/>
        <v>2019</v>
      </c>
      <c r="I914" s="5">
        <f t="shared" ca="1" si="44"/>
        <v>-4.9324324324324348E-2</v>
      </c>
      <c r="J914" s="16"/>
    </row>
    <row r="915" spans="1:10" x14ac:dyDescent="0.2">
      <c r="A915" s="3">
        <v>43605</v>
      </c>
      <c r="B915" s="1">
        <f ca="1">IFERROR(__xludf.DUMMYFUNCTION("""COMPUTED_VALUE"""),13.52)</f>
        <v>13.52</v>
      </c>
      <c r="C915" s="1">
        <f ca="1">IFERROR(__xludf.DUMMYFUNCTION("""COMPUTED_VALUE"""),13.73)</f>
        <v>13.73</v>
      </c>
      <c r="D915" s="1">
        <f ca="1">IFERROR(__xludf.DUMMYFUNCTION("""COMPUTED_VALUE"""),13.02)</f>
        <v>13.02</v>
      </c>
      <c r="E915" s="1">
        <f ca="1">IFERROR(__xludf.DUMMYFUNCTION("""COMPUTED_VALUE"""),13.69)</f>
        <v>13.69</v>
      </c>
      <c r="F915" s="1">
        <f ca="1">IFERROR(__xludf.DUMMYFUNCTION("""COMPUTED_VALUE"""),20526195)</f>
        <v>20526195</v>
      </c>
      <c r="G915" s="5">
        <f t="shared" ca="1" si="42"/>
        <v>-1.4609203798392676E-3</v>
      </c>
      <c r="H915" s="14">
        <f t="shared" si="43"/>
        <v>2019</v>
      </c>
      <c r="I915" s="5">
        <f t="shared" ca="1" si="44"/>
        <v>1.2573964497041415E-2</v>
      </c>
      <c r="J915" s="16"/>
    </row>
    <row r="916" spans="1:10" x14ac:dyDescent="0.2">
      <c r="A916" s="3">
        <v>43606</v>
      </c>
      <c r="B916" s="1">
        <f ca="1">IFERROR(__xludf.DUMMYFUNCTION("""COMPUTED_VALUE"""),13.18)</f>
        <v>13.18</v>
      </c>
      <c r="C916" s="1">
        <f ca="1">IFERROR(__xludf.DUMMYFUNCTION("""COMPUTED_VALUE"""),13.83)</f>
        <v>13.83</v>
      </c>
      <c r="D916" s="1">
        <f ca="1">IFERROR(__xludf.DUMMYFUNCTION("""COMPUTED_VALUE"""),13.07)</f>
        <v>13.07</v>
      </c>
      <c r="E916" s="1">
        <f ca="1">IFERROR(__xludf.DUMMYFUNCTION("""COMPUTED_VALUE"""),13.67)</f>
        <v>13.67</v>
      </c>
      <c r="F916" s="1">
        <f ca="1">IFERROR(__xludf.DUMMYFUNCTION("""COMPUTED_VALUE"""),18003899)</f>
        <v>18003899</v>
      </c>
      <c r="G916" s="5">
        <f t="shared" ca="1" si="42"/>
        <v>-5.9985369422092191E-2</v>
      </c>
      <c r="H916" s="14">
        <f t="shared" si="43"/>
        <v>2019</v>
      </c>
      <c r="I916" s="5">
        <f t="shared" ca="1" si="44"/>
        <v>3.7177541729893793E-2</v>
      </c>
      <c r="J916" s="16"/>
    </row>
    <row r="917" spans="1:10" x14ac:dyDescent="0.2">
      <c r="A917" s="3">
        <v>43607</v>
      </c>
      <c r="B917" s="1">
        <f ca="1">IFERROR(__xludf.DUMMYFUNCTION("""COMPUTED_VALUE"""),13.27)</f>
        <v>13.27</v>
      </c>
      <c r="C917" s="1">
        <f ca="1">IFERROR(__xludf.DUMMYFUNCTION("""COMPUTED_VALUE"""),13.6)</f>
        <v>13.6</v>
      </c>
      <c r="D917" s="1">
        <f ca="1">IFERROR(__xludf.DUMMYFUNCTION("""COMPUTED_VALUE"""),12.79)</f>
        <v>12.79</v>
      </c>
      <c r="E917" s="1">
        <f ca="1">IFERROR(__xludf.DUMMYFUNCTION("""COMPUTED_VALUE"""),12.85)</f>
        <v>12.85</v>
      </c>
      <c r="F917" s="1">
        <f ca="1">IFERROR(__xludf.DUMMYFUNCTION("""COMPUTED_VALUE"""),18685187)</f>
        <v>18685187</v>
      </c>
      <c r="G917" s="5">
        <f t="shared" ca="1" si="42"/>
        <v>1.4007782101167293E-2</v>
      </c>
      <c r="H917" s="14">
        <f t="shared" si="43"/>
        <v>2019</v>
      </c>
      <c r="I917" s="5">
        <f t="shared" ca="1" si="44"/>
        <v>-3.1650339110776179E-2</v>
      </c>
      <c r="J917" s="16"/>
    </row>
    <row r="918" spans="1:10" x14ac:dyDescent="0.2">
      <c r="A918" s="3">
        <v>43608</v>
      </c>
      <c r="B918" s="1">
        <f ca="1">IFERROR(__xludf.DUMMYFUNCTION("""COMPUTED_VALUE"""),12.96)</f>
        <v>12.96</v>
      </c>
      <c r="C918" s="1">
        <f ca="1">IFERROR(__xludf.DUMMYFUNCTION("""COMPUTED_VALUE"""),13.3)</f>
        <v>13.3</v>
      </c>
      <c r="D918" s="1">
        <f ca="1">IFERROR(__xludf.DUMMYFUNCTION("""COMPUTED_VALUE"""),12.41)</f>
        <v>12.41</v>
      </c>
      <c r="E918" s="1">
        <f ca="1">IFERROR(__xludf.DUMMYFUNCTION("""COMPUTED_VALUE"""),13.03)</f>
        <v>13.03</v>
      </c>
      <c r="F918" s="1">
        <f ca="1">IFERROR(__xludf.DUMMYFUNCTION("""COMPUTED_VALUE"""),26547142)</f>
        <v>26547142</v>
      </c>
      <c r="G918" s="5">
        <f t="shared" ca="1" si="42"/>
        <v>-2.4558710667689831E-2</v>
      </c>
      <c r="H918" s="14">
        <f t="shared" si="43"/>
        <v>2019</v>
      </c>
      <c r="I918" s="5">
        <f t="shared" ca="1" si="44"/>
        <v>5.4012345679011189E-3</v>
      </c>
      <c r="J918" s="16"/>
    </row>
    <row r="919" spans="1:10" x14ac:dyDescent="0.2">
      <c r="A919" s="3">
        <v>43609</v>
      </c>
      <c r="B919" s="1">
        <f ca="1">IFERROR(__xludf.DUMMYFUNCTION("""COMPUTED_VALUE"""),13.32)</f>
        <v>13.32</v>
      </c>
      <c r="C919" s="1">
        <f ca="1">IFERROR(__xludf.DUMMYFUNCTION("""COMPUTED_VALUE"""),13.33)</f>
        <v>13.33</v>
      </c>
      <c r="D919" s="1">
        <f ca="1">IFERROR(__xludf.DUMMYFUNCTION("""COMPUTED_VALUE"""),12.58)</f>
        <v>12.58</v>
      </c>
      <c r="E919" s="1">
        <f ca="1">IFERROR(__xludf.DUMMYFUNCTION("""COMPUTED_VALUE"""),12.71)</f>
        <v>12.71</v>
      </c>
      <c r="F919" s="1">
        <f ca="1">IFERROR(__xludf.DUMMYFUNCTION("""COMPUTED_VALUE"""),14136572)</f>
        <v>14136572</v>
      </c>
      <c r="G919" s="5">
        <f t="shared" ca="1" si="42"/>
        <v>-1.0228166797797072E-2</v>
      </c>
      <c r="H919" s="14">
        <f t="shared" si="43"/>
        <v>2019</v>
      </c>
      <c r="I919" s="5">
        <f t="shared" ca="1" si="44"/>
        <v>-4.5795795795795749E-2</v>
      </c>
      <c r="J919" s="16"/>
    </row>
    <row r="920" spans="1:10" x14ac:dyDescent="0.2">
      <c r="A920" s="3">
        <v>43613</v>
      </c>
      <c r="B920" s="1">
        <f ca="1">IFERROR(__xludf.DUMMYFUNCTION("""COMPUTED_VALUE"""),12.75)</f>
        <v>12.75</v>
      </c>
      <c r="C920" s="1">
        <f ca="1">IFERROR(__xludf.DUMMYFUNCTION("""COMPUTED_VALUE"""),13)</f>
        <v>13</v>
      </c>
      <c r="D920" s="1">
        <f ca="1">IFERROR(__xludf.DUMMYFUNCTION("""COMPUTED_VALUE"""),12.52)</f>
        <v>12.52</v>
      </c>
      <c r="E920" s="1">
        <f ca="1">IFERROR(__xludf.DUMMYFUNCTION("""COMPUTED_VALUE"""),12.58)</f>
        <v>12.58</v>
      </c>
      <c r="F920" s="1">
        <f ca="1">IFERROR(__xludf.DUMMYFUNCTION("""COMPUTED_VALUE"""),10312901)</f>
        <v>10312901</v>
      </c>
      <c r="G920" s="5">
        <f t="shared" ca="1" si="42"/>
        <v>6.3593004769475414E-3</v>
      </c>
      <c r="H920" s="14">
        <f t="shared" si="43"/>
        <v>2019</v>
      </c>
      <c r="I920" s="5">
        <f t="shared" ca="1" si="44"/>
        <v>-1.3333333333333327E-2</v>
      </c>
      <c r="J920" s="16"/>
    </row>
    <row r="921" spans="1:10" x14ac:dyDescent="0.2">
      <c r="A921" s="3">
        <v>43614</v>
      </c>
      <c r="B921" s="1">
        <f ca="1">IFERROR(__xludf.DUMMYFUNCTION("""COMPUTED_VALUE"""),12.47)</f>
        <v>12.47</v>
      </c>
      <c r="C921" s="1">
        <f ca="1">IFERROR(__xludf.DUMMYFUNCTION("""COMPUTED_VALUE"""),12.83)</f>
        <v>12.83</v>
      </c>
      <c r="D921" s="1">
        <f ca="1">IFERROR(__xludf.DUMMYFUNCTION("""COMPUTED_VALUE"""),12.34)</f>
        <v>12.34</v>
      </c>
      <c r="E921" s="1">
        <f ca="1">IFERROR(__xludf.DUMMYFUNCTION("""COMPUTED_VALUE"""),12.66)</f>
        <v>12.66</v>
      </c>
      <c r="F921" s="1">
        <f ca="1">IFERROR(__xludf.DUMMYFUNCTION("""COMPUTED_VALUE"""),11968638)</f>
        <v>11968638</v>
      </c>
      <c r="G921" s="5">
        <f t="shared" ca="1" si="42"/>
        <v>-8.688783570300113E-3</v>
      </c>
      <c r="H921" s="14">
        <f t="shared" si="43"/>
        <v>2019</v>
      </c>
      <c r="I921" s="5">
        <f t="shared" ca="1" si="44"/>
        <v>1.5236567762630273E-2</v>
      </c>
      <c r="J921" s="16"/>
    </row>
    <row r="922" spans="1:10" x14ac:dyDescent="0.2">
      <c r="A922" s="3">
        <v>43615</v>
      </c>
      <c r="B922" s="1">
        <f ca="1">IFERROR(__xludf.DUMMYFUNCTION("""COMPUTED_VALUE"""),12.58)</f>
        <v>12.58</v>
      </c>
      <c r="C922" s="1">
        <f ca="1">IFERROR(__xludf.DUMMYFUNCTION("""COMPUTED_VALUE"""),12.82)</f>
        <v>12.82</v>
      </c>
      <c r="D922" s="1">
        <f ca="1">IFERROR(__xludf.DUMMYFUNCTION("""COMPUTED_VALUE"""),12.47)</f>
        <v>12.47</v>
      </c>
      <c r="E922" s="1">
        <f ca="1">IFERROR(__xludf.DUMMYFUNCTION("""COMPUTED_VALUE"""),12.55)</f>
        <v>12.55</v>
      </c>
      <c r="F922" s="1">
        <f ca="1">IFERROR(__xludf.DUMMYFUNCTION("""COMPUTED_VALUE"""),7926475)</f>
        <v>7926475</v>
      </c>
      <c r="G922" s="5">
        <f t="shared" ca="1" si="42"/>
        <v>-1.6733067729083732E-2</v>
      </c>
      <c r="H922" s="14">
        <f t="shared" si="43"/>
        <v>2019</v>
      </c>
      <c r="I922" s="5">
        <f t="shared" ca="1" si="44"/>
        <v>-2.384737678855275E-3</v>
      </c>
      <c r="J922" s="16"/>
    </row>
    <row r="923" spans="1:10" x14ac:dyDescent="0.2">
      <c r="A923" s="3">
        <v>43616</v>
      </c>
      <c r="B923" s="1">
        <f ca="1">IFERROR(__xludf.DUMMYFUNCTION("""COMPUTED_VALUE"""),12.34)</f>
        <v>12.34</v>
      </c>
      <c r="C923" s="1">
        <f ca="1">IFERROR(__xludf.DUMMYFUNCTION("""COMPUTED_VALUE"""),12.66)</f>
        <v>12.66</v>
      </c>
      <c r="D923" s="1">
        <f ca="1">IFERROR(__xludf.DUMMYFUNCTION("""COMPUTED_VALUE"""),12.27)</f>
        <v>12.27</v>
      </c>
      <c r="E923" s="1">
        <f ca="1">IFERROR(__xludf.DUMMYFUNCTION("""COMPUTED_VALUE"""),12.34)</f>
        <v>12.34</v>
      </c>
      <c r="F923" s="1">
        <f ca="1">IFERROR(__xludf.DUMMYFUNCTION("""COMPUTED_VALUE"""),10406732)</f>
        <v>10406732</v>
      </c>
      <c r="G923" s="5">
        <f t="shared" ca="1" si="42"/>
        <v>-3.3225283630470025E-2</v>
      </c>
      <c r="H923" s="14">
        <f t="shared" si="43"/>
        <v>2019</v>
      </c>
      <c r="I923" s="5">
        <f t="shared" ca="1" si="44"/>
        <v>0</v>
      </c>
      <c r="J923" s="16"/>
    </row>
    <row r="924" spans="1:10" x14ac:dyDescent="0.2">
      <c r="A924" s="3">
        <v>43619</v>
      </c>
      <c r="B924" s="1">
        <f ca="1">IFERROR(__xludf.DUMMYFUNCTION("""COMPUTED_VALUE"""),12.37)</f>
        <v>12.37</v>
      </c>
      <c r="C924" s="1">
        <f ca="1">IFERROR(__xludf.DUMMYFUNCTION("""COMPUTED_VALUE"""),12.45)</f>
        <v>12.45</v>
      </c>
      <c r="D924" s="1">
        <f ca="1">IFERROR(__xludf.DUMMYFUNCTION("""COMPUTED_VALUE"""),11.8)</f>
        <v>11.8</v>
      </c>
      <c r="E924" s="1">
        <f ca="1">IFERROR(__xludf.DUMMYFUNCTION("""COMPUTED_VALUE"""),11.93)</f>
        <v>11.93</v>
      </c>
      <c r="F924" s="1">
        <f ca="1">IFERROR(__xludf.DUMMYFUNCTION("""COMPUTED_VALUE"""),13064410)</f>
        <v>13064410</v>
      </c>
      <c r="G924" s="5">
        <f t="shared" ca="1" si="42"/>
        <v>8.2145850796311856E-2</v>
      </c>
      <c r="H924" s="14">
        <f t="shared" si="43"/>
        <v>2019</v>
      </c>
      <c r="I924" s="5">
        <f t="shared" ca="1" si="44"/>
        <v>-3.55699272433306E-2</v>
      </c>
      <c r="J924" s="16"/>
    </row>
    <row r="925" spans="1:10" x14ac:dyDescent="0.2">
      <c r="A925" s="3">
        <v>43620</v>
      </c>
      <c r="B925" s="1">
        <f ca="1">IFERROR(__xludf.DUMMYFUNCTION("""COMPUTED_VALUE"""),12.07)</f>
        <v>12.07</v>
      </c>
      <c r="C925" s="1">
        <f ca="1">IFERROR(__xludf.DUMMYFUNCTION("""COMPUTED_VALUE"""),12.93)</f>
        <v>12.93</v>
      </c>
      <c r="D925" s="1">
        <f ca="1">IFERROR(__xludf.DUMMYFUNCTION("""COMPUTED_VALUE"""),11.97)</f>
        <v>11.97</v>
      </c>
      <c r="E925" s="1">
        <f ca="1">IFERROR(__xludf.DUMMYFUNCTION("""COMPUTED_VALUE"""),12.91)</f>
        <v>12.91</v>
      </c>
      <c r="F925" s="1">
        <f ca="1">IFERROR(__xludf.DUMMYFUNCTION("""COMPUTED_VALUE"""),13807522)</f>
        <v>13807522</v>
      </c>
      <c r="G925" s="5">
        <f t="shared" ca="1" si="42"/>
        <v>1.5491866769945723E-2</v>
      </c>
      <c r="H925" s="14">
        <f t="shared" si="43"/>
        <v>2019</v>
      </c>
      <c r="I925" s="5">
        <f t="shared" ca="1" si="44"/>
        <v>6.9594034797017382E-2</v>
      </c>
      <c r="J925" s="16"/>
    </row>
    <row r="926" spans="1:10" x14ac:dyDescent="0.2">
      <c r="A926" s="3">
        <v>43621</v>
      </c>
      <c r="B926" s="1">
        <f ca="1">IFERROR(__xludf.DUMMYFUNCTION("""COMPUTED_VALUE"""),13.25)</f>
        <v>13.25</v>
      </c>
      <c r="C926" s="1">
        <f ca="1">IFERROR(__xludf.DUMMYFUNCTION("""COMPUTED_VALUE"""),13.42)</f>
        <v>13.42</v>
      </c>
      <c r="D926" s="1">
        <f ca="1">IFERROR(__xludf.DUMMYFUNCTION("""COMPUTED_VALUE"""),12.79)</f>
        <v>12.79</v>
      </c>
      <c r="E926" s="1">
        <f ca="1">IFERROR(__xludf.DUMMYFUNCTION("""COMPUTED_VALUE"""),13.11)</f>
        <v>13.11</v>
      </c>
      <c r="F926" s="1">
        <f ca="1">IFERROR(__xludf.DUMMYFUNCTION("""COMPUTED_VALUE"""),13510756)</f>
        <v>13510756</v>
      </c>
      <c r="G926" s="5">
        <f t="shared" ca="1" si="42"/>
        <v>4.7292143401983296E-2</v>
      </c>
      <c r="H926" s="14">
        <f t="shared" si="43"/>
        <v>2019</v>
      </c>
      <c r="I926" s="5">
        <f t="shared" ca="1" si="44"/>
        <v>-1.0566037735849099E-2</v>
      </c>
      <c r="J926" s="16"/>
    </row>
    <row r="927" spans="1:10" x14ac:dyDescent="0.2">
      <c r="A927" s="3">
        <v>43622</v>
      </c>
      <c r="B927" s="1">
        <f ca="1">IFERROR(__xludf.DUMMYFUNCTION("""COMPUTED_VALUE"""),13.63)</f>
        <v>13.63</v>
      </c>
      <c r="C927" s="1">
        <f ca="1">IFERROR(__xludf.DUMMYFUNCTION("""COMPUTED_VALUE"""),14.07)</f>
        <v>14.07</v>
      </c>
      <c r="D927" s="1">
        <f ca="1">IFERROR(__xludf.DUMMYFUNCTION("""COMPUTED_VALUE"""),13.45)</f>
        <v>13.45</v>
      </c>
      <c r="E927" s="1">
        <f ca="1">IFERROR(__xludf.DUMMYFUNCTION("""COMPUTED_VALUE"""),13.73)</f>
        <v>13.73</v>
      </c>
      <c r="F927" s="1">
        <f ca="1">IFERROR(__xludf.DUMMYFUNCTION("""COMPUTED_VALUE"""),20242151)</f>
        <v>20242151</v>
      </c>
      <c r="G927" s="5">
        <f t="shared" ca="1" si="42"/>
        <v>-7.2833211944646498E-3</v>
      </c>
      <c r="H927" s="14">
        <f t="shared" si="43"/>
        <v>2019</v>
      </c>
      <c r="I927" s="5">
        <f t="shared" ca="1" si="44"/>
        <v>7.3367571533381982E-3</v>
      </c>
      <c r="J927" s="16"/>
    </row>
    <row r="928" spans="1:10" x14ac:dyDescent="0.2">
      <c r="A928" s="3">
        <v>43623</v>
      </c>
      <c r="B928" s="1">
        <f ca="1">IFERROR(__xludf.DUMMYFUNCTION("""COMPUTED_VALUE"""),13.67)</f>
        <v>13.67</v>
      </c>
      <c r="C928" s="1">
        <f ca="1">IFERROR(__xludf.DUMMYFUNCTION("""COMPUTED_VALUE"""),14.06)</f>
        <v>14.06</v>
      </c>
      <c r="D928" s="1">
        <f ca="1">IFERROR(__xludf.DUMMYFUNCTION("""COMPUTED_VALUE"""),13.57)</f>
        <v>13.57</v>
      </c>
      <c r="E928" s="1">
        <f ca="1">IFERROR(__xludf.DUMMYFUNCTION("""COMPUTED_VALUE"""),13.63)</f>
        <v>13.63</v>
      </c>
      <c r="F928" s="1">
        <f ca="1">IFERROR(__xludf.DUMMYFUNCTION("""COMPUTED_VALUE"""),16003527)</f>
        <v>16003527</v>
      </c>
      <c r="G928" s="5">
        <f t="shared" ca="1" si="42"/>
        <v>4.1085840058693958E-2</v>
      </c>
      <c r="H928" s="14">
        <f t="shared" si="43"/>
        <v>2019</v>
      </c>
      <c r="I928" s="5">
        <f t="shared" ca="1" si="44"/>
        <v>-2.9261155815654095E-3</v>
      </c>
      <c r="J928" s="16"/>
    </row>
    <row r="929" spans="1:10" x14ac:dyDescent="0.2">
      <c r="A929" s="3">
        <v>43626</v>
      </c>
      <c r="B929" s="1">
        <f ca="1">IFERROR(__xludf.DUMMYFUNCTION("""COMPUTED_VALUE"""),14.02)</f>
        <v>14.02</v>
      </c>
      <c r="C929" s="1">
        <f ca="1">IFERROR(__xludf.DUMMYFUNCTION("""COMPUTED_VALUE"""),14.46)</f>
        <v>14.46</v>
      </c>
      <c r="D929" s="1">
        <f ca="1">IFERROR(__xludf.DUMMYFUNCTION("""COMPUTED_VALUE"""),13.93)</f>
        <v>13.93</v>
      </c>
      <c r="E929" s="1">
        <f ca="1">IFERROR(__xludf.DUMMYFUNCTION("""COMPUTED_VALUE"""),14.19)</f>
        <v>14.19</v>
      </c>
      <c r="F929" s="1">
        <f ca="1">IFERROR(__xludf.DUMMYFUNCTION("""COMPUTED_VALUE"""),10585039)</f>
        <v>10585039</v>
      </c>
      <c r="G929" s="5">
        <f t="shared" ca="1" si="42"/>
        <v>1.9732205778717489E-2</v>
      </c>
      <c r="H929" s="14">
        <f t="shared" si="43"/>
        <v>2019</v>
      </c>
      <c r="I929" s="5">
        <f t="shared" ca="1" si="44"/>
        <v>1.2125534950071322E-2</v>
      </c>
      <c r="J929" s="16"/>
    </row>
    <row r="930" spans="1:10" x14ac:dyDescent="0.2">
      <c r="A930" s="3">
        <v>43627</v>
      </c>
      <c r="B930" s="1">
        <f ca="1">IFERROR(__xludf.DUMMYFUNCTION("""COMPUTED_VALUE"""),14.61)</f>
        <v>14.61</v>
      </c>
      <c r="C930" s="1">
        <f ca="1">IFERROR(__xludf.DUMMYFUNCTION("""COMPUTED_VALUE"""),14.73)</f>
        <v>14.73</v>
      </c>
      <c r="D930" s="1">
        <f ca="1">IFERROR(__xludf.DUMMYFUNCTION("""COMPUTED_VALUE"""),14.23)</f>
        <v>14.23</v>
      </c>
      <c r="E930" s="1">
        <f ca="1">IFERROR(__xludf.DUMMYFUNCTION("""COMPUTED_VALUE"""),14.47)</f>
        <v>14.47</v>
      </c>
      <c r="F930" s="1">
        <f ca="1">IFERROR(__xludf.DUMMYFUNCTION("""COMPUTED_VALUE"""),11653537)</f>
        <v>11653537</v>
      </c>
      <c r="G930" s="5">
        <f t="shared" ca="1" si="42"/>
        <v>-3.5936420179682189E-2</v>
      </c>
      <c r="H930" s="14">
        <f t="shared" si="43"/>
        <v>2019</v>
      </c>
      <c r="I930" s="5">
        <f t="shared" ca="1" si="44"/>
        <v>-9.5824777549622722E-3</v>
      </c>
      <c r="J930" s="16"/>
    </row>
    <row r="931" spans="1:10" x14ac:dyDescent="0.2">
      <c r="A931" s="3">
        <v>43628</v>
      </c>
      <c r="B931" s="1">
        <f ca="1">IFERROR(__xludf.DUMMYFUNCTION("""COMPUTED_VALUE"""),14.86)</f>
        <v>14.86</v>
      </c>
      <c r="C931" s="1">
        <f ca="1">IFERROR(__xludf.DUMMYFUNCTION("""COMPUTED_VALUE"""),14.89)</f>
        <v>14.89</v>
      </c>
      <c r="D931" s="1">
        <f ca="1">IFERROR(__xludf.DUMMYFUNCTION("""COMPUTED_VALUE"""),13.93)</f>
        <v>13.93</v>
      </c>
      <c r="E931" s="1">
        <f ca="1">IFERROR(__xludf.DUMMYFUNCTION("""COMPUTED_VALUE"""),13.95)</f>
        <v>13.95</v>
      </c>
      <c r="F931" s="1">
        <f ca="1">IFERROR(__xludf.DUMMYFUNCTION("""COMPUTED_VALUE"""),15197544)</f>
        <v>15197544</v>
      </c>
      <c r="G931" s="5">
        <f t="shared" ca="1" si="42"/>
        <v>2.2222222222222258E-2</v>
      </c>
      <c r="H931" s="14">
        <f t="shared" si="43"/>
        <v>2019</v>
      </c>
      <c r="I931" s="5">
        <f t="shared" ca="1" si="44"/>
        <v>-6.1238223418573365E-2</v>
      </c>
      <c r="J931" s="16"/>
    </row>
    <row r="932" spans="1:10" x14ac:dyDescent="0.2">
      <c r="A932" s="3">
        <v>43629</v>
      </c>
      <c r="B932" s="1">
        <f ca="1">IFERROR(__xludf.DUMMYFUNCTION("""COMPUTED_VALUE"""),14.03)</f>
        <v>14.03</v>
      </c>
      <c r="C932" s="1">
        <f ca="1">IFERROR(__xludf.DUMMYFUNCTION("""COMPUTED_VALUE"""),14.33)</f>
        <v>14.33</v>
      </c>
      <c r="D932" s="1">
        <f ca="1">IFERROR(__xludf.DUMMYFUNCTION("""COMPUTED_VALUE"""),13.83)</f>
        <v>13.83</v>
      </c>
      <c r="E932" s="1">
        <f ca="1">IFERROR(__xludf.DUMMYFUNCTION("""COMPUTED_VALUE"""),14.26)</f>
        <v>14.26</v>
      </c>
      <c r="F932" s="1">
        <f ca="1">IFERROR(__xludf.DUMMYFUNCTION("""COMPUTED_VALUE"""),8168260)</f>
        <v>8168260</v>
      </c>
      <c r="G932" s="5">
        <f t="shared" ca="1" si="42"/>
        <v>4.9088359046283508E-3</v>
      </c>
      <c r="H932" s="14">
        <f t="shared" si="43"/>
        <v>2019</v>
      </c>
      <c r="I932" s="5">
        <f t="shared" ca="1" si="44"/>
        <v>1.6393442622950852E-2</v>
      </c>
      <c r="J932" s="16"/>
    </row>
    <row r="933" spans="1:10" x14ac:dyDescent="0.2">
      <c r="A933" s="3">
        <v>43630</v>
      </c>
      <c r="B933" s="1">
        <f ca="1">IFERROR(__xludf.DUMMYFUNCTION("""COMPUTED_VALUE"""),14.08)</f>
        <v>14.08</v>
      </c>
      <c r="C933" s="1">
        <f ca="1">IFERROR(__xludf.DUMMYFUNCTION("""COMPUTED_VALUE"""),14.44)</f>
        <v>14.44</v>
      </c>
      <c r="D933" s="1">
        <f ca="1">IFERROR(__xludf.DUMMYFUNCTION("""COMPUTED_VALUE"""),14.03)</f>
        <v>14.03</v>
      </c>
      <c r="E933" s="1">
        <f ca="1">IFERROR(__xludf.DUMMYFUNCTION("""COMPUTED_VALUE"""),14.33)</f>
        <v>14.33</v>
      </c>
      <c r="F933" s="1">
        <f ca="1">IFERROR(__xludf.DUMMYFUNCTION("""COMPUTED_VALUE"""),7433402)</f>
        <v>7433402</v>
      </c>
      <c r="G933" s="5">
        <f t="shared" ca="1" si="42"/>
        <v>4.6755059316120021E-2</v>
      </c>
      <c r="H933" s="14">
        <f t="shared" si="43"/>
        <v>2019</v>
      </c>
      <c r="I933" s="5">
        <f t="shared" ca="1" si="44"/>
        <v>1.775568181818182E-2</v>
      </c>
      <c r="J933" s="16"/>
    </row>
    <row r="934" spans="1:10" x14ac:dyDescent="0.2">
      <c r="A934" s="3">
        <v>43633</v>
      </c>
      <c r="B934" s="1">
        <f ca="1">IFERROR(__xludf.DUMMYFUNCTION("""COMPUTED_VALUE"""),14.37)</f>
        <v>14.37</v>
      </c>
      <c r="C934" s="1">
        <f ca="1">IFERROR(__xludf.DUMMYFUNCTION("""COMPUTED_VALUE"""),15.13)</f>
        <v>15.13</v>
      </c>
      <c r="D934" s="1">
        <f ca="1">IFERROR(__xludf.DUMMYFUNCTION("""COMPUTED_VALUE"""),14.28)</f>
        <v>14.28</v>
      </c>
      <c r="E934" s="1">
        <f ca="1">IFERROR(__xludf.DUMMYFUNCTION("""COMPUTED_VALUE"""),15)</f>
        <v>15</v>
      </c>
      <c r="F934" s="1">
        <f ca="1">IFERROR(__xludf.DUMMYFUNCTION("""COMPUTED_VALUE"""),12316803)</f>
        <v>12316803</v>
      </c>
      <c r="G934" s="5">
        <f t="shared" ca="1" si="42"/>
        <v>-1.3333333333333049E-3</v>
      </c>
      <c r="H934" s="14">
        <f t="shared" si="43"/>
        <v>2019</v>
      </c>
      <c r="I934" s="5">
        <f t="shared" ca="1" si="44"/>
        <v>4.3841336116910289E-2</v>
      </c>
      <c r="J934" s="16"/>
    </row>
    <row r="935" spans="1:10" x14ac:dyDescent="0.2">
      <c r="A935" s="3">
        <v>43634</v>
      </c>
      <c r="B935" s="1">
        <f ca="1">IFERROR(__xludf.DUMMYFUNCTION("""COMPUTED_VALUE"""),15.25)</f>
        <v>15.25</v>
      </c>
      <c r="C935" s="1">
        <f ca="1">IFERROR(__xludf.DUMMYFUNCTION("""COMPUTED_VALUE"""),15.65)</f>
        <v>15.65</v>
      </c>
      <c r="D935" s="1">
        <f ca="1">IFERROR(__xludf.DUMMYFUNCTION("""COMPUTED_VALUE"""),14.84)</f>
        <v>14.84</v>
      </c>
      <c r="E935" s="1">
        <f ca="1">IFERROR(__xludf.DUMMYFUNCTION("""COMPUTED_VALUE"""),14.98)</f>
        <v>14.98</v>
      </c>
      <c r="F935" s="1">
        <f ca="1">IFERROR(__xludf.DUMMYFUNCTION("""COMPUTED_VALUE"""),12715788)</f>
        <v>12715788</v>
      </c>
      <c r="G935" s="5">
        <f t="shared" ca="1" si="42"/>
        <v>8.0106809078771164E-3</v>
      </c>
      <c r="H935" s="14">
        <f t="shared" si="43"/>
        <v>2019</v>
      </c>
      <c r="I935" s="5">
        <f t="shared" ca="1" si="44"/>
        <v>-1.7704918032786857E-2</v>
      </c>
      <c r="J935" s="16"/>
    </row>
    <row r="936" spans="1:10" x14ac:dyDescent="0.2">
      <c r="A936" s="3">
        <v>43635</v>
      </c>
      <c r="B936" s="1">
        <f ca="1">IFERROR(__xludf.DUMMYFUNCTION("""COMPUTED_VALUE"""),15.01)</f>
        <v>15.01</v>
      </c>
      <c r="C936" s="1">
        <f ca="1">IFERROR(__xludf.DUMMYFUNCTION("""COMPUTED_VALUE"""),15.18)</f>
        <v>15.18</v>
      </c>
      <c r="D936" s="1">
        <f ca="1">IFERROR(__xludf.DUMMYFUNCTION("""COMPUTED_VALUE"""),14.74)</f>
        <v>14.74</v>
      </c>
      <c r="E936" s="1">
        <f ca="1">IFERROR(__xludf.DUMMYFUNCTION("""COMPUTED_VALUE"""),15.1)</f>
        <v>15.1</v>
      </c>
      <c r="F936" s="1">
        <f ca="1">IFERROR(__xludf.DUMMYFUNCTION("""COMPUTED_VALUE"""),6575135)</f>
        <v>6575135</v>
      </c>
      <c r="G936" s="5">
        <f t="shared" ca="1" si="42"/>
        <v>-3.0463576158940336E-2</v>
      </c>
      <c r="H936" s="14">
        <f t="shared" si="43"/>
        <v>2019</v>
      </c>
      <c r="I936" s="5">
        <f t="shared" ca="1" si="44"/>
        <v>5.9960026648900643E-3</v>
      </c>
      <c r="J936" s="16"/>
    </row>
    <row r="937" spans="1:10" x14ac:dyDescent="0.2">
      <c r="A937" s="3">
        <v>43636</v>
      </c>
      <c r="B937" s="1">
        <f ca="1">IFERROR(__xludf.DUMMYFUNCTION("""COMPUTED_VALUE"""),14.87)</f>
        <v>14.87</v>
      </c>
      <c r="C937" s="1">
        <f ca="1">IFERROR(__xludf.DUMMYFUNCTION("""COMPUTED_VALUE"""),15.13)</f>
        <v>15.13</v>
      </c>
      <c r="D937" s="1">
        <f ca="1">IFERROR(__xludf.DUMMYFUNCTION("""COMPUTED_VALUE"""),14.42)</f>
        <v>14.42</v>
      </c>
      <c r="E937" s="1">
        <f ca="1">IFERROR(__xludf.DUMMYFUNCTION("""COMPUTED_VALUE"""),14.64)</f>
        <v>14.64</v>
      </c>
      <c r="F937" s="1">
        <f ca="1">IFERROR(__xludf.DUMMYFUNCTION("""COMPUTED_VALUE"""),11863462)</f>
        <v>11863462</v>
      </c>
      <c r="G937" s="5">
        <f t="shared" ca="1" si="42"/>
        <v>1.0245901639344164E-2</v>
      </c>
      <c r="H937" s="14">
        <f t="shared" si="43"/>
        <v>2019</v>
      </c>
      <c r="I937" s="5">
        <f t="shared" ca="1" si="44"/>
        <v>-1.546738399461995E-2</v>
      </c>
      <c r="J937" s="16"/>
    </row>
    <row r="938" spans="1:10" x14ac:dyDescent="0.2">
      <c r="A938" s="3">
        <v>43637</v>
      </c>
      <c r="B938" s="1">
        <f ca="1">IFERROR(__xludf.DUMMYFUNCTION("""COMPUTED_VALUE"""),14.41)</f>
        <v>14.41</v>
      </c>
      <c r="C938" s="1">
        <f ca="1">IFERROR(__xludf.DUMMYFUNCTION("""COMPUTED_VALUE"""),14.81)</f>
        <v>14.81</v>
      </c>
      <c r="D938" s="1">
        <f ca="1">IFERROR(__xludf.DUMMYFUNCTION("""COMPUTED_VALUE"""),14.37)</f>
        <v>14.37</v>
      </c>
      <c r="E938" s="1">
        <f ca="1">IFERROR(__xludf.DUMMYFUNCTION("""COMPUTED_VALUE"""),14.79)</f>
        <v>14.79</v>
      </c>
      <c r="F938" s="1">
        <f ca="1">IFERROR(__xludf.DUMMYFUNCTION("""COMPUTED_VALUE"""),8202078)</f>
        <v>8202078</v>
      </c>
      <c r="G938" s="5">
        <f t="shared" ca="1" si="42"/>
        <v>8.1135902636917511E-3</v>
      </c>
      <c r="H938" s="14">
        <f t="shared" si="43"/>
        <v>2019</v>
      </c>
      <c r="I938" s="5">
        <f t="shared" ca="1" si="44"/>
        <v>2.6370575988896531E-2</v>
      </c>
      <c r="J938" s="16"/>
    </row>
    <row r="939" spans="1:10" x14ac:dyDescent="0.2">
      <c r="A939" s="3">
        <v>43640</v>
      </c>
      <c r="B939" s="1">
        <f ca="1">IFERROR(__xludf.DUMMYFUNCTION("""COMPUTED_VALUE"""),14.88)</f>
        <v>14.88</v>
      </c>
      <c r="C939" s="1">
        <f ca="1">IFERROR(__xludf.DUMMYFUNCTION("""COMPUTED_VALUE"""),15.06)</f>
        <v>15.06</v>
      </c>
      <c r="D939" s="1">
        <f ca="1">IFERROR(__xludf.DUMMYFUNCTION("""COMPUTED_VALUE"""),14.73)</f>
        <v>14.73</v>
      </c>
      <c r="E939" s="1">
        <f ca="1">IFERROR(__xludf.DUMMYFUNCTION("""COMPUTED_VALUE"""),14.91)</f>
        <v>14.91</v>
      </c>
      <c r="F939" s="1">
        <f ca="1">IFERROR(__xludf.DUMMYFUNCTION("""COMPUTED_VALUE"""),5750771)</f>
        <v>5750771</v>
      </c>
      <c r="G939" s="5">
        <f t="shared" ca="1" si="42"/>
        <v>-1.7437961099932918E-2</v>
      </c>
      <c r="H939" s="14">
        <f t="shared" si="43"/>
        <v>2019</v>
      </c>
      <c r="I939" s="5">
        <f t="shared" ca="1" si="44"/>
        <v>2.0161290322580215E-3</v>
      </c>
      <c r="J939" s="16"/>
    </row>
    <row r="940" spans="1:10" x14ac:dyDescent="0.2">
      <c r="A940" s="3">
        <v>43641</v>
      </c>
      <c r="B940" s="1">
        <f ca="1">IFERROR(__xludf.DUMMYFUNCTION("""COMPUTED_VALUE"""),14.96)</f>
        <v>14.96</v>
      </c>
      <c r="C940" s="1">
        <f ca="1">IFERROR(__xludf.DUMMYFUNCTION("""COMPUTED_VALUE"""),15.02)</f>
        <v>15.02</v>
      </c>
      <c r="D940" s="1">
        <f ca="1">IFERROR(__xludf.DUMMYFUNCTION("""COMPUTED_VALUE"""),14.63)</f>
        <v>14.63</v>
      </c>
      <c r="E940" s="1">
        <f ca="1">IFERROR(__xludf.DUMMYFUNCTION("""COMPUTED_VALUE"""),14.65)</f>
        <v>14.65</v>
      </c>
      <c r="F940" s="1">
        <f ca="1">IFERROR(__xludf.DUMMYFUNCTION("""COMPUTED_VALUE"""),6182071)</f>
        <v>6182071</v>
      </c>
      <c r="G940" s="5">
        <f t="shared" ca="1" si="42"/>
        <v>-2.047781569965948E-3</v>
      </c>
      <c r="H940" s="14">
        <f t="shared" si="43"/>
        <v>2019</v>
      </c>
      <c r="I940" s="5">
        <f t="shared" ca="1" si="44"/>
        <v>-2.072192513368987E-2</v>
      </c>
      <c r="J940" s="16"/>
    </row>
    <row r="941" spans="1:10" x14ac:dyDescent="0.2">
      <c r="A941" s="3">
        <v>43642</v>
      </c>
      <c r="B941" s="1">
        <f ca="1">IFERROR(__xludf.DUMMYFUNCTION("""COMPUTED_VALUE"""),14.69)</f>
        <v>14.69</v>
      </c>
      <c r="C941" s="1">
        <f ca="1">IFERROR(__xludf.DUMMYFUNCTION("""COMPUTED_VALUE"""),15.15)</f>
        <v>15.15</v>
      </c>
      <c r="D941" s="1">
        <f ca="1">IFERROR(__xludf.DUMMYFUNCTION("""COMPUTED_VALUE"""),14.54)</f>
        <v>14.54</v>
      </c>
      <c r="E941" s="1">
        <f ca="1">IFERROR(__xludf.DUMMYFUNCTION("""COMPUTED_VALUE"""),14.62)</f>
        <v>14.62</v>
      </c>
      <c r="F941" s="1">
        <f ca="1">IFERROR(__xludf.DUMMYFUNCTION("""COMPUTED_VALUE"""),8507208)</f>
        <v>8507208</v>
      </c>
      <c r="G941" s="5">
        <f t="shared" ca="1" si="42"/>
        <v>1.6415868673050633E-2</v>
      </c>
      <c r="H941" s="14">
        <f t="shared" si="43"/>
        <v>2019</v>
      </c>
      <c r="I941" s="5">
        <f t="shared" ca="1" si="44"/>
        <v>-4.7651463580667313E-3</v>
      </c>
      <c r="J941" s="16"/>
    </row>
    <row r="942" spans="1:10" x14ac:dyDescent="0.2">
      <c r="A942" s="3">
        <v>43643</v>
      </c>
      <c r="B942" s="1">
        <f ca="1">IFERROR(__xludf.DUMMYFUNCTION("""COMPUTED_VALUE"""),14.63)</f>
        <v>14.63</v>
      </c>
      <c r="C942" s="1">
        <f ca="1">IFERROR(__xludf.DUMMYFUNCTION("""COMPUTED_VALUE"""),14.86)</f>
        <v>14.86</v>
      </c>
      <c r="D942" s="1">
        <f ca="1">IFERROR(__xludf.DUMMYFUNCTION("""COMPUTED_VALUE"""),14.49)</f>
        <v>14.49</v>
      </c>
      <c r="E942" s="1">
        <f ca="1">IFERROR(__xludf.DUMMYFUNCTION("""COMPUTED_VALUE"""),14.86)</f>
        <v>14.86</v>
      </c>
      <c r="F942" s="1">
        <f ca="1">IFERROR(__xludf.DUMMYFUNCTION("""COMPUTED_VALUE"""),6339710)</f>
        <v>6339710</v>
      </c>
      <c r="G942" s="5">
        <f t="shared" ca="1" si="42"/>
        <v>2.6917900403769131E-3</v>
      </c>
      <c r="H942" s="14">
        <f t="shared" si="43"/>
        <v>2019</v>
      </c>
      <c r="I942" s="5">
        <f t="shared" ca="1" si="44"/>
        <v>1.5721120984278785E-2</v>
      </c>
      <c r="J942" s="16"/>
    </row>
    <row r="943" spans="1:10" x14ac:dyDescent="0.2">
      <c r="A943" s="3">
        <v>43644</v>
      </c>
      <c r="B943" s="1">
        <f ca="1">IFERROR(__xludf.DUMMYFUNCTION("""COMPUTED_VALUE"""),14.73)</f>
        <v>14.73</v>
      </c>
      <c r="C943" s="1">
        <f ca="1">IFERROR(__xludf.DUMMYFUNCTION("""COMPUTED_VALUE"""),15.01)</f>
        <v>15.01</v>
      </c>
      <c r="D943" s="1">
        <f ca="1">IFERROR(__xludf.DUMMYFUNCTION("""COMPUTED_VALUE"""),14.72)</f>
        <v>14.72</v>
      </c>
      <c r="E943" s="1">
        <f ca="1">IFERROR(__xludf.DUMMYFUNCTION("""COMPUTED_VALUE"""),14.9)</f>
        <v>14.9</v>
      </c>
      <c r="F943" s="1">
        <f ca="1">IFERROR(__xludf.DUMMYFUNCTION("""COMPUTED_VALUE"""),6851384)</f>
        <v>6851384</v>
      </c>
      <c r="G943" s="5">
        <f t="shared" ca="1" si="42"/>
        <v>1.6107382550335586E-2</v>
      </c>
      <c r="H943" s="14">
        <f t="shared" si="43"/>
        <v>2019</v>
      </c>
      <c r="I943" s="5">
        <f t="shared" ca="1" si="44"/>
        <v>1.154107264086897E-2</v>
      </c>
      <c r="J943" s="16"/>
    </row>
    <row r="944" spans="1:10" x14ac:dyDescent="0.2">
      <c r="A944" s="3">
        <v>43647</v>
      </c>
      <c r="B944" s="1">
        <f ca="1">IFERROR(__xludf.DUMMYFUNCTION("""COMPUTED_VALUE"""),15.35)</f>
        <v>15.35</v>
      </c>
      <c r="C944" s="1">
        <f ca="1">IFERROR(__xludf.DUMMYFUNCTION("""COMPUTED_VALUE"""),15.54)</f>
        <v>15.54</v>
      </c>
      <c r="D944" s="1">
        <f ca="1">IFERROR(__xludf.DUMMYFUNCTION("""COMPUTED_VALUE"""),15.09)</f>
        <v>15.09</v>
      </c>
      <c r="E944" s="1">
        <f ca="1">IFERROR(__xludf.DUMMYFUNCTION("""COMPUTED_VALUE"""),15.14)</f>
        <v>15.14</v>
      </c>
      <c r="F944" s="1">
        <f ca="1">IFERROR(__xludf.DUMMYFUNCTION("""COMPUTED_VALUE"""),8237964)</f>
        <v>8237964</v>
      </c>
      <c r="G944" s="5">
        <f t="shared" ca="1" si="42"/>
        <v>-1.1228533685601052E-2</v>
      </c>
      <c r="H944" s="14">
        <f t="shared" si="43"/>
        <v>2019</v>
      </c>
      <c r="I944" s="5">
        <f t="shared" ca="1" si="44"/>
        <v>-1.3680781758957594E-2</v>
      </c>
      <c r="J944" s="16"/>
    </row>
    <row r="945" spans="1:10" x14ac:dyDescent="0.2">
      <c r="A945" s="3">
        <v>43648</v>
      </c>
      <c r="B945" s="1">
        <f ca="1">IFERROR(__xludf.DUMMYFUNCTION("""COMPUTED_VALUE"""),15.26)</f>
        <v>15.26</v>
      </c>
      <c r="C945" s="1">
        <f ca="1">IFERROR(__xludf.DUMMYFUNCTION("""COMPUTED_VALUE"""),15.28)</f>
        <v>15.28</v>
      </c>
      <c r="D945" s="1">
        <f ca="1">IFERROR(__xludf.DUMMYFUNCTION("""COMPUTED_VALUE"""),14.81)</f>
        <v>14.81</v>
      </c>
      <c r="E945" s="1">
        <f ca="1">IFERROR(__xludf.DUMMYFUNCTION("""COMPUTED_VALUE"""),14.97)</f>
        <v>14.97</v>
      </c>
      <c r="F945" s="1">
        <f ca="1">IFERROR(__xludf.DUMMYFUNCTION("""COMPUTED_VALUE"""),9259027)</f>
        <v>9259027</v>
      </c>
      <c r="G945" s="5">
        <f t="shared" ca="1" si="42"/>
        <v>4.6092184368737438E-2</v>
      </c>
      <c r="H945" s="14">
        <f t="shared" si="43"/>
        <v>2019</v>
      </c>
      <c r="I945" s="5">
        <f t="shared" ca="1" si="44"/>
        <v>-1.9003931847968489E-2</v>
      </c>
      <c r="J945" s="16"/>
    </row>
    <row r="946" spans="1:10" x14ac:dyDescent="0.2">
      <c r="A946" s="3">
        <v>43649</v>
      </c>
      <c r="B946" s="1">
        <f ca="1">IFERROR(__xludf.DUMMYFUNCTION("""COMPUTED_VALUE"""),15.96)</f>
        <v>15.96</v>
      </c>
      <c r="C946" s="1">
        <f ca="1">IFERROR(__xludf.DUMMYFUNCTION("""COMPUTED_VALUE"""),16.1)</f>
        <v>16.100000000000001</v>
      </c>
      <c r="D946" s="1">
        <f ca="1">IFERROR(__xludf.DUMMYFUNCTION("""COMPUTED_VALUE"""),15.63)</f>
        <v>15.63</v>
      </c>
      <c r="E946" s="1">
        <f ca="1">IFERROR(__xludf.DUMMYFUNCTION("""COMPUTED_VALUE"""),15.66)</f>
        <v>15.66</v>
      </c>
      <c r="F946" s="1">
        <f ca="1">IFERROR(__xludf.DUMMYFUNCTION("""COMPUTED_VALUE"""),14201148)</f>
        <v>14201148</v>
      </c>
      <c r="G946" s="5">
        <f t="shared" ca="1" si="42"/>
        <v>-7.6628352490422094E-3</v>
      </c>
      <c r="H946" s="14">
        <f t="shared" si="43"/>
        <v>2019</v>
      </c>
      <c r="I946" s="5">
        <f t="shared" ca="1" si="44"/>
        <v>-1.8796992481203052E-2</v>
      </c>
      <c r="J946" s="16"/>
    </row>
    <row r="947" spans="1:10" x14ac:dyDescent="0.2">
      <c r="A947" s="3">
        <v>43651</v>
      </c>
      <c r="B947" s="1">
        <f ca="1">IFERROR(__xludf.DUMMYFUNCTION("""COMPUTED_VALUE"""),15.64)</f>
        <v>15.64</v>
      </c>
      <c r="C947" s="1">
        <f ca="1">IFERROR(__xludf.DUMMYFUNCTION("""COMPUTED_VALUE"""),15.7)</f>
        <v>15.7</v>
      </c>
      <c r="D947" s="1">
        <f ca="1">IFERROR(__xludf.DUMMYFUNCTION("""COMPUTED_VALUE"""),15.39)</f>
        <v>15.39</v>
      </c>
      <c r="E947" s="1">
        <f ca="1">IFERROR(__xludf.DUMMYFUNCTION("""COMPUTED_VALUE"""),15.54)</f>
        <v>15.54</v>
      </c>
      <c r="F947" s="1">
        <f ca="1">IFERROR(__xludf.DUMMYFUNCTION("""COMPUTED_VALUE"""),7065738)</f>
        <v>7065738</v>
      </c>
      <c r="G947" s="5">
        <f t="shared" ca="1" si="42"/>
        <v>-1.1583011583011565E-2</v>
      </c>
      <c r="H947" s="14">
        <f t="shared" si="43"/>
        <v>2019</v>
      </c>
      <c r="I947" s="5">
        <f t="shared" ca="1" si="44"/>
        <v>-6.3938618925832112E-3</v>
      </c>
      <c r="J947" s="16"/>
    </row>
    <row r="948" spans="1:10" x14ac:dyDescent="0.2">
      <c r="A948" s="3">
        <v>43654</v>
      </c>
      <c r="B948" s="1">
        <f ca="1">IFERROR(__xludf.DUMMYFUNCTION("""COMPUTED_VALUE"""),15.42)</f>
        <v>15.42</v>
      </c>
      <c r="C948" s="1">
        <f ca="1">IFERROR(__xludf.DUMMYFUNCTION("""COMPUTED_VALUE"""),15.48)</f>
        <v>15.48</v>
      </c>
      <c r="D948" s="1">
        <f ca="1">IFERROR(__xludf.DUMMYFUNCTION("""COMPUTED_VALUE"""),15.24)</f>
        <v>15.24</v>
      </c>
      <c r="E948" s="1">
        <f ca="1">IFERROR(__xludf.DUMMYFUNCTION("""COMPUTED_VALUE"""),15.36)</f>
        <v>15.36</v>
      </c>
      <c r="F948" s="1">
        <f ca="1">IFERROR(__xludf.DUMMYFUNCTION("""COMPUTED_VALUE"""),5880542)</f>
        <v>5880542</v>
      </c>
      <c r="G948" s="5">
        <f t="shared" ca="1" si="42"/>
        <v>-1.3020833333333057E-3</v>
      </c>
      <c r="H948" s="14">
        <f t="shared" si="43"/>
        <v>2019</v>
      </c>
      <c r="I948" s="5">
        <f t="shared" ca="1" si="44"/>
        <v>-3.8910505836576197E-3</v>
      </c>
      <c r="J948" s="16"/>
    </row>
    <row r="949" spans="1:10" x14ac:dyDescent="0.2">
      <c r="A949" s="3">
        <v>43655</v>
      </c>
      <c r="B949" s="1">
        <f ca="1">IFERROR(__xludf.DUMMYFUNCTION("""COMPUTED_VALUE"""),15.26)</f>
        <v>15.26</v>
      </c>
      <c r="C949" s="1">
        <f ca="1">IFERROR(__xludf.DUMMYFUNCTION("""COMPUTED_VALUE"""),15.4)</f>
        <v>15.4</v>
      </c>
      <c r="D949" s="1">
        <f ca="1">IFERROR(__xludf.DUMMYFUNCTION("""COMPUTED_VALUE"""),15.15)</f>
        <v>15.15</v>
      </c>
      <c r="E949" s="1">
        <f ca="1">IFERROR(__xludf.DUMMYFUNCTION("""COMPUTED_VALUE"""),15.34)</f>
        <v>15.34</v>
      </c>
      <c r="F949" s="1">
        <f ca="1">IFERROR(__xludf.DUMMYFUNCTION("""COMPUTED_VALUE"""),6190835)</f>
        <v>6190835</v>
      </c>
      <c r="G949" s="5">
        <f t="shared" ca="1" si="42"/>
        <v>3.846153846153845E-2</v>
      </c>
      <c r="H949" s="14">
        <f t="shared" si="43"/>
        <v>2019</v>
      </c>
      <c r="I949" s="5">
        <f t="shared" ca="1" si="44"/>
        <v>5.2424639580602927E-3</v>
      </c>
      <c r="J949" s="16"/>
    </row>
    <row r="950" spans="1:10" x14ac:dyDescent="0.2">
      <c r="A950" s="3">
        <v>43656</v>
      </c>
      <c r="B950" s="1">
        <f ca="1">IFERROR(__xludf.DUMMYFUNCTION("""COMPUTED_VALUE"""),15.61)</f>
        <v>15.61</v>
      </c>
      <c r="C950" s="1">
        <f ca="1">IFERROR(__xludf.DUMMYFUNCTION("""COMPUTED_VALUE"""),15.93)</f>
        <v>15.93</v>
      </c>
      <c r="D950" s="1">
        <f ca="1">IFERROR(__xludf.DUMMYFUNCTION("""COMPUTED_VALUE"""),15.54)</f>
        <v>15.54</v>
      </c>
      <c r="E950" s="1">
        <f ca="1">IFERROR(__xludf.DUMMYFUNCTION("""COMPUTED_VALUE"""),15.93)</f>
        <v>15.93</v>
      </c>
      <c r="F950" s="1">
        <f ca="1">IFERROR(__xludf.DUMMYFUNCTION("""COMPUTED_VALUE"""),9145736)</f>
        <v>9145736</v>
      </c>
      <c r="G950" s="5">
        <f t="shared" ca="1" si="42"/>
        <v>-1.2554927809164829E-3</v>
      </c>
      <c r="H950" s="14">
        <f t="shared" si="43"/>
        <v>2019</v>
      </c>
      <c r="I950" s="5">
        <f t="shared" ca="1" si="44"/>
        <v>2.0499679692504824E-2</v>
      </c>
      <c r="J950" s="16"/>
    </row>
    <row r="951" spans="1:10" x14ac:dyDescent="0.2">
      <c r="A951" s="3">
        <v>43657</v>
      </c>
      <c r="B951" s="1">
        <f ca="1">IFERROR(__xludf.DUMMYFUNCTION("""COMPUTED_VALUE"""),15.88)</f>
        <v>15.88</v>
      </c>
      <c r="C951" s="1">
        <f ca="1">IFERROR(__xludf.DUMMYFUNCTION("""COMPUTED_VALUE"""),16.1)</f>
        <v>16.100000000000001</v>
      </c>
      <c r="D951" s="1">
        <f ca="1">IFERROR(__xludf.DUMMYFUNCTION("""COMPUTED_VALUE"""),15.72)</f>
        <v>15.72</v>
      </c>
      <c r="E951" s="1">
        <f ca="1">IFERROR(__xludf.DUMMYFUNCTION("""COMPUTED_VALUE"""),15.91)</f>
        <v>15.91</v>
      </c>
      <c r="F951" s="1">
        <f ca="1">IFERROR(__xludf.DUMMYFUNCTION("""COMPUTED_VALUE"""),7514430)</f>
        <v>7514430</v>
      </c>
      <c r="G951" s="5">
        <f t="shared" ca="1" si="42"/>
        <v>2.7027027027027008E-2</v>
      </c>
      <c r="H951" s="14">
        <f t="shared" si="43"/>
        <v>2019</v>
      </c>
      <c r="I951" s="5">
        <f t="shared" ca="1" si="44"/>
        <v>1.8891687657430327E-3</v>
      </c>
      <c r="J951" s="16"/>
    </row>
    <row r="952" spans="1:10" x14ac:dyDescent="0.2">
      <c r="A952" s="3">
        <v>43658</v>
      </c>
      <c r="B952" s="1">
        <f ca="1">IFERROR(__xludf.DUMMYFUNCTION("""COMPUTED_VALUE"""),15.98)</f>
        <v>15.98</v>
      </c>
      <c r="C952" s="1">
        <f ca="1">IFERROR(__xludf.DUMMYFUNCTION("""COMPUTED_VALUE"""),16.36)</f>
        <v>16.36</v>
      </c>
      <c r="D952" s="1">
        <f ca="1">IFERROR(__xludf.DUMMYFUNCTION("""COMPUTED_VALUE"""),15.98)</f>
        <v>15.98</v>
      </c>
      <c r="E952" s="1">
        <f ca="1">IFERROR(__xludf.DUMMYFUNCTION("""COMPUTED_VALUE"""),16.34)</f>
        <v>16.34</v>
      </c>
      <c r="F952" s="1">
        <f ca="1">IFERROR(__xludf.DUMMYFUNCTION("""COMPUTED_VALUE"""),9200521)</f>
        <v>9200521</v>
      </c>
      <c r="G952" s="5">
        <f t="shared" ca="1" si="42"/>
        <v>3.4271725826193311E-2</v>
      </c>
      <c r="H952" s="14">
        <f t="shared" si="43"/>
        <v>2019</v>
      </c>
      <c r="I952" s="5">
        <f t="shared" ca="1" si="44"/>
        <v>2.2528160200250277E-2</v>
      </c>
      <c r="J952" s="16"/>
    </row>
    <row r="953" spans="1:10" x14ac:dyDescent="0.2">
      <c r="A953" s="3">
        <v>43661</v>
      </c>
      <c r="B953" s="1">
        <f ca="1">IFERROR(__xludf.DUMMYFUNCTION("""COMPUTED_VALUE"""),16.53)</f>
        <v>16.53</v>
      </c>
      <c r="C953" s="1">
        <f ca="1">IFERROR(__xludf.DUMMYFUNCTION("""COMPUTED_VALUE"""),16.96)</f>
        <v>16.96</v>
      </c>
      <c r="D953" s="1">
        <f ca="1">IFERROR(__xludf.DUMMYFUNCTION("""COMPUTED_VALUE"""),16.32)</f>
        <v>16.32</v>
      </c>
      <c r="E953" s="1">
        <f ca="1">IFERROR(__xludf.DUMMYFUNCTION("""COMPUTED_VALUE"""),16.9)</f>
        <v>16.899999999999999</v>
      </c>
      <c r="F953" s="1">
        <f ca="1">IFERROR(__xludf.DUMMYFUNCTION("""COMPUTED_VALUE"""),11000092)</f>
        <v>11000092</v>
      </c>
      <c r="G953" s="5">
        <f t="shared" ca="1" si="42"/>
        <v>-4.1420118343195441E-3</v>
      </c>
      <c r="H953" s="14">
        <f t="shared" si="43"/>
        <v>2019</v>
      </c>
      <c r="I953" s="5">
        <f t="shared" ca="1" si="44"/>
        <v>2.2383545069570323E-2</v>
      </c>
      <c r="J953" s="16"/>
    </row>
    <row r="954" spans="1:10" x14ac:dyDescent="0.2">
      <c r="A954" s="3">
        <v>43662</v>
      </c>
      <c r="B954" s="1">
        <f ca="1">IFERROR(__xludf.DUMMYFUNCTION("""COMPUTED_VALUE"""),16.62)</f>
        <v>16.62</v>
      </c>
      <c r="C954" s="1">
        <f ca="1">IFERROR(__xludf.DUMMYFUNCTION("""COMPUTED_VALUE"""),16.9)</f>
        <v>16.899999999999999</v>
      </c>
      <c r="D954" s="1">
        <f ca="1">IFERROR(__xludf.DUMMYFUNCTION("""COMPUTED_VALUE"""),16.53)</f>
        <v>16.53</v>
      </c>
      <c r="E954" s="1">
        <f ca="1">IFERROR(__xludf.DUMMYFUNCTION("""COMPUTED_VALUE"""),16.83)</f>
        <v>16.829999999999998</v>
      </c>
      <c r="F954" s="1">
        <f ca="1">IFERROR(__xludf.DUMMYFUNCTION("""COMPUTED_VALUE"""),8148989)</f>
        <v>8148989</v>
      </c>
      <c r="G954" s="5">
        <f t="shared" ca="1" si="42"/>
        <v>9.5068330362448102E-3</v>
      </c>
      <c r="H954" s="14">
        <f t="shared" si="43"/>
        <v>2019</v>
      </c>
      <c r="I954" s="5">
        <f t="shared" ca="1" si="44"/>
        <v>1.2635379061371677E-2</v>
      </c>
      <c r="J954" s="16"/>
    </row>
    <row r="955" spans="1:10" x14ac:dyDescent="0.2">
      <c r="A955" s="3">
        <v>43663</v>
      </c>
      <c r="B955" s="1">
        <f ca="1">IFERROR(__xludf.DUMMYFUNCTION("""COMPUTED_VALUE"""),17.04)</f>
        <v>17.04</v>
      </c>
      <c r="C955" s="1">
        <f ca="1">IFERROR(__xludf.DUMMYFUNCTION("""COMPUTED_VALUE"""),17.22)</f>
        <v>17.22</v>
      </c>
      <c r="D955" s="1">
        <f ca="1">IFERROR(__xludf.DUMMYFUNCTION("""COMPUTED_VALUE"""),16.89)</f>
        <v>16.89</v>
      </c>
      <c r="E955" s="1">
        <f ca="1">IFERROR(__xludf.DUMMYFUNCTION("""COMPUTED_VALUE"""),16.99)</f>
        <v>16.989999999999998</v>
      </c>
      <c r="F955" s="1">
        <f ca="1">IFERROR(__xludf.DUMMYFUNCTION("""COMPUTED_VALUE"""),9764727)</f>
        <v>9764727</v>
      </c>
      <c r="G955" s="5">
        <f t="shared" ca="1" si="42"/>
        <v>-5.2972336668628524E-3</v>
      </c>
      <c r="H955" s="14">
        <f t="shared" si="43"/>
        <v>2019</v>
      </c>
      <c r="I955" s="5">
        <f t="shared" ca="1" si="44"/>
        <v>-2.9342723004695255E-3</v>
      </c>
      <c r="J955" s="16"/>
    </row>
    <row r="956" spans="1:10" x14ac:dyDescent="0.2">
      <c r="A956" s="3">
        <v>43664</v>
      </c>
      <c r="B956" s="1">
        <f ca="1">IFERROR(__xludf.DUMMYFUNCTION("""COMPUTED_VALUE"""),17)</f>
        <v>17</v>
      </c>
      <c r="C956" s="1">
        <f ca="1">IFERROR(__xludf.DUMMYFUNCTION("""COMPUTED_VALUE"""),17.05)</f>
        <v>17.05</v>
      </c>
      <c r="D956" s="1">
        <f ca="1">IFERROR(__xludf.DUMMYFUNCTION("""COMPUTED_VALUE"""),16.79)</f>
        <v>16.79</v>
      </c>
      <c r="E956" s="1">
        <f ca="1">IFERROR(__xludf.DUMMYFUNCTION("""COMPUTED_VALUE"""),16.9)</f>
        <v>16.899999999999999</v>
      </c>
      <c r="F956" s="1">
        <f ca="1">IFERROR(__xludf.DUMMYFUNCTION("""COMPUTED_VALUE"""),4764483)</f>
        <v>4764483</v>
      </c>
      <c r="G956" s="5">
        <f t="shared" ca="1" si="42"/>
        <v>1.8343195266272327E-2</v>
      </c>
      <c r="H956" s="14">
        <f t="shared" si="43"/>
        <v>2019</v>
      </c>
      <c r="I956" s="5">
        <f t="shared" ca="1" si="44"/>
        <v>-5.8823529411765538E-3</v>
      </c>
      <c r="J956" s="16"/>
    </row>
    <row r="957" spans="1:10" x14ac:dyDescent="0.2">
      <c r="A957" s="3">
        <v>43665</v>
      </c>
      <c r="B957" s="1">
        <f ca="1">IFERROR(__xludf.DUMMYFUNCTION("""COMPUTED_VALUE"""),17.05)</f>
        <v>17.05</v>
      </c>
      <c r="C957" s="1">
        <f ca="1">IFERROR(__xludf.DUMMYFUNCTION("""COMPUTED_VALUE"""),17.33)</f>
        <v>17.329999999999998</v>
      </c>
      <c r="D957" s="1">
        <f ca="1">IFERROR(__xludf.DUMMYFUNCTION("""COMPUTED_VALUE"""),16.97)</f>
        <v>16.97</v>
      </c>
      <c r="E957" s="1">
        <f ca="1">IFERROR(__xludf.DUMMYFUNCTION("""COMPUTED_VALUE"""),17.21)</f>
        <v>17.21</v>
      </c>
      <c r="F957" s="1">
        <f ca="1">IFERROR(__xludf.DUMMYFUNCTION("""COMPUTED_VALUE"""),7048410)</f>
        <v>7048410</v>
      </c>
      <c r="G957" s="5">
        <f t="shared" ca="1" si="42"/>
        <v>-9.2969203951191251E-3</v>
      </c>
      <c r="H957" s="14">
        <f t="shared" si="43"/>
        <v>2019</v>
      </c>
      <c r="I957" s="5">
        <f t="shared" ca="1" si="44"/>
        <v>9.384164222873909E-3</v>
      </c>
      <c r="J957" s="16"/>
    </row>
    <row r="958" spans="1:10" x14ac:dyDescent="0.2">
      <c r="A958" s="3">
        <v>43668</v>
      </c>
      <c r="B958" s="1">
        <f ca="1">IFERROR(__xludf.DUMMYFUNCTION("""COMPUTED_VALUE"""),17.25)</f>
        <v>17.25</v>
      </c>
      <c r="C958" s="1">
        <f ca="1">IFERROR(__xludf.DUMMYFUNCTION("""COMPUTED_VALUE"""),17.48)</f>
        <v>17.48</v>
      </c>
      <c r="D958" s="1">
        <f ca="1">IFERROR(__xludf.DUMMYFUNCTION("""COMPUTED_VALUE"""),16.95)</f>
        <v>16.95</v>
      </c>
      <c r="E958" s="1">
        <f ca="1">IFERROR(__xludf.DUMMYFUNCTION("""COMPUTED_VALUE"""),17.05)</f>
        <v>17.05</v>
      </c>
      <c r="F958" s="1">
        <f ca="1">IFERROR(__xludf.DUMMYFUNCTION("""COMPUTED_VALUE"""),6846273)</f>
        <v>6846273</v>
      </c>
      <c r="G958" s="5">
        <f t="shared" ca="1" si="42"/>
        <v>1.7008797653958893E-2</v>
      </c>
      <c r="H958" s="14">
        <f t="shared" si="43"/>
        <v>2019</v>
      </c>
      <c r="I958" s="5">
        <f t="shared" ca="1" si="44"/>
        <v>-1.1594202898550683E-2</v>
      </c>
      <c r="J958" s="16"/>
    </row>
    <row r="959" spans="1:10" x14ac:dyDescent="0.2">
      <c r="A959" s="3">
        <v>43669</v>
      </c>
      <c r="B959" s="1">
        <f ca="1">IFERROR(__xludf.DUMMYFUNCTION("""COMPUTED_VALUE"""),17.11)</f>
        <v>17.11</v>
      </c>
      <c r="C959" s="1">
        <f ca="1">IFERROR(__xludf.DUMMYFUNCTION("""COMPUTED_VALUE"""),17.37)</f>
        <v>17.37</v>
      </c>
      <c r="D959" s="1">
        <f ca="1">IFERROR(__xludf.DUMMYFUNCTION("""COMPUTED_VALUE"""),16.97)</f>
        <v>16.97</v>
      </c>
      <c r="E959" s="1">
        <f ca="1">IFERROR(__xludf.DUMMYFUNCTION("""COMPUTED_VALUE"""),17.34)</f>
        <v>17.34</v>
      </c>
      <c r="F959" s="1">
        <f ca="1">IFERROR(__xludf.DUMMYFUNCTION("""COMPUTED_VALUE"""),5023121)</f>
        <v>5023121</v>
      </c>
      <c r="G959" s="5">
        <f t="shared" ca="1" si="42"/>
        <v>1.8454440599769337E-2</v>
      </c>
      <c r="H959" s="14">
        <f t="shared" si="43"/>
        <v>2019</v>
      </c>
      <c r="I959" s="5">
        <f t="shared" ca="1" si="44"/>
        <v>1.3442431326709551E-2</v>
      </c>
      <c r="J959" s="16"/>
    </row>
    <row r="960" spans="1:10" x14ac:dyDescent="0.2">
      <c r="A960" s="3">
        <v>43670</v>
      </c>
      <c r="B960" s="1">
        <f ca="1">IFERROR(__xludf.DUMMYFUNCTION("""COMPUTED_VALUE"""),17.28)</f>
        <v>17.28</v>
      </c>
      <c r="C960" s="1">
        <f ca="1">IFERROR(__xludf.DUMMYFUNCTION("""COMPUTED_VALUE"""),17.74)</f>
        <v>17.739999999999998</v>
      </c>
      <c r="D960" s="1">
        <f ca="1">IFERROR(__xludf.DUMMYFUNCTION("""COMPUTED_VALUE"""),17.21)</f>
        <v>17.21</v>
      </c>
      <c r="E960" s="1">
        <f ca="1">IFERROR(__xludf.DUMMYFUNCTION("""COMPUTED_VALUE"""),17.66)</f>
        <v>17.66</v>
      </c>
      <c r="F960" s="1">
        <f ca="1">IFERROR(__xludf.DUMMYFUNCTION("""COMPUTED_VALUE"""),11072835)</f>
        <v>11072835</v>
      </c>
      <c r="G960" s="5">
        <f t="shared" ca="1" si="42"/>
        <v>-0.13646659116647791</v>
      </c>
      <c r="H960" s="14">
        <f t="shared" si="43"/>
        <v>2019</v>
      </c>
      <c r="I960" s="5">
        <f t="shared" ca="1" si="44"/>
        <v>2.1990740740740682E-2</v>
      </c>
      <c r="J960" s="16"/>
    </row>
    <row r="961" spans="1:10" x14ac:dyDescent="0.2">
      <c r="A961" s="3">
        <v>43671</v>
      </c>
      <c r="B961" s="1">
        <f ca="1">IFERROR(__xludf.DUMMYFUNCTION("""COMPUTED_VALUE"""),15.57)</f>
        <v>15.57</v>
      </c>
      <c r="C961" s="1">
        <f ca="1">IFERROR(__xludf.DUMMYFUNCTION("""COMPUTED_VALUE"""),15.63)</f>
        <v>15.63</v>
      </c>
      <c r="D961" s="1">
        <f ca="1">IFERROR(__xludf.DUMMYFUNCTION("""COMPUTED_VALUE"""),15.04)</f>
        <v>15.04</v>
      </c>
      <c r="E961" s="1">
        <f ca="1">IFERROR(__xludf.DUMMYFUNCTION("""COMPUTED_VALUE"""),15.25)</f>
        <v>15.25</v>
      </c>
      <c r="F961" s="1">
        <f ca="1">IFERROR(__xludf.DUMMYFUNCTION("""COMPUTED_VALUE"""),22418252)</f>
        <v>22418252</v>
      </c>
      <c r="G961" s="5">
        <f t="shared" ca="1" si="42"/>
        <v>-3.2786885245902103E-3</v>
      </c>
      <c r="H961" s="14">
        <f t="shared" si="43"/>
        <v>2019</v>
      </c>
      <c r="I961" s="5">
        <f t="shared" ca="1" si="44"/>
        <v>-2.0552344251766236E-2</v>
      </c>
      <c r="J961" s="16"/>
    </row>
    <row r="962" spans="1:10" x14ac:dyDescent="0.2">
      <c r="A962" s="3">
        <v>43672</v>
      </c>
      <c r="B962" s="1">
        <f ca="1">IFERROR(__xludf.DUMMYFUNCTION("""COMPUTED_VALUE"""),15.13)</f>
        <v>15.13</v>
      </c>
      <c r="C962" s="1">
        <f ca="1">IFERROR(__xludf.DUMMYFUNCTION("""COMPUTED_VALUE"""),15.35)</f>
        <v>15.35</v>
      </c>
      <c r="D962" s="1">
        <f ca="1">IFERROR(__xludf.DUMMYFUNCTION("""COMPUTED_VALUE"""),14.82)</f>
        <v>14.82</v>
      </c>
      <c r="E962" s="1">
        <f ca="1">IFERROR(__xludf.DUMMYFUNCTION("""COMPUTED_VALUE"""),15.2)</f>
        <v>15.2</v>
      </c>
      <c r="F962" s="1">
        <f ca="1">IFERROR(__xludf.DUMMYFUNCTION("""COMPUTED_VALUE"""),10027697)</f>
        <v>10027697</v>
      </c>
      <c r="G962" s="5">
        <f t="shared" ca="1" si="42"/>
        <v>3.4210526315789566E-2</v>
      </c>
      <c r="H962" s="14">
        <f t="shared" si="43"/>
        <v>2019</v>
      </c>
      <c r="I962" s="5">
        <f t="shared" ca="1" si="44"/>
        <v>4.6265697290151031E-3</v>
      </c>
      <c r="J962" s="16"/>
    </row>
    <row r="963" spans="1:10" x14ac:dyDescent="0.2">
      <c r="A963" s="3">
        <v>43675</v>
      </c>
      <c r="B963" s="1">
        <f ca="1">IFERROR(__xludf.DUMMYFUNCTION("""COMPUTED_VALUE"""),15.14)</f>
        <v>15.14</v>
      </c>
      <c r="C963" s="1">
        <f ca="1">IFERROR(__xludf.DUMMYFUNCTION("""COMPUTED_VALUE"""),15.73)</f>
        <v>15.73</v>
      </c>
      <c r="D963" s="1">
        <f ca="1">IFERROR(__xludf.DUMMYFUNCTION("""COMPUTED_VALUE"""),15.07)</f>
        <v>15.07</v>
      </c>
      <c r="E963" s="1">
        <f ca="1">IFERROR(__xludf.DUMMYFUNCTION("""COMPUTED_VALUE"""),15.72)</f>
        <v>15.72</v>
      </c>
      <c r="F963" s="1">
        <f ca="1">IFERROR(__xludf.DUMMYFUNCTION("""COMPUTED_VALUE"""),9273331)</f>
        <v>9273331</v>
      </c>
      <c r="G963" s="5">
        <f t="shared" ref="G963:G1026" ca="1" si="45">(E964-E963)/E963</f>
        <v>2.7353689567429892E-2</v>
      </c>
      <c r="H963" s="14">
        <f t="shared" ref="H963:H1026" si="46">YEAR(A963)</f>
        <v>2019</v>
      </c>
      <c r="I963" s="5">
        <f t="shared" ref="I963:I1026" ca="1" si="47">((E963 - B963) / B963)</f>
        <v>3.8309114927344783E-2</v>
      </c>
      <c r="J963" s="16"/>
    </row>
    <row r="964" spans="1:10" x14ac:dyDescent="0.2">
      <c r="A964" s="3">
        <v>43676</v>
      </c>
      <c r="B964" s="1">
        <f ca="1">IFERROR(__xludf.DUMMYFUNCTION("""COMPUTED_VALUE"""),15.53)</f>
        <v>15.53</v>
      </c>
      <c r="C964" s="1">
        <f ca="1">IFERROR(__xludf.DUMMYFUNCTION("""COMPUTED_VALUE"""),16.22)</f>
        <v>16.22</v>
      </c>
      <c r="D964" s="1">
        <f ca="1">IFERROR(__xludf.DUMMYFUNCTION("""COMPUTED_VALUE"""),15.48)</f>
        <v>15.48</v>
      </c>
      <c r="E964" s="1">
        <f ca="1">IFERROR(__xludf.DUMMYFUNCTION("""COMPUTED_VALUE"""),16.15)</f>
        <v>16.149999999999999</v>
      </c>
      <c r="F964" s="1">
        <f ca="1">IFERROR(__xludf.DUMMYFUNCTION("""COMPUTED_VALUE"""),8109014)</f>
        <v>8109014</v>
      </c>
      <c r="G964" s="5">
        <f t="shared" ca="1" si="45"/>
        <v>-2.4767801857584612E-3</v>
      </c>
      <c r="H964" s="14">
        <f t="shared" si="46"/>
        <v>2019</v>
      </c>
      <c r="I964" s="5">
        <f t="shared" ca="1" si="47"/>
        <v>3.99227301996136E-2</v>
      </c>
      <c r="J964" s="16"/>
    </row>
    <row r="965" spans="1:10" x14ac:dyDescent="0.2">
      <c r="A965" s="3">
        <v>43677</v>
      </c>
      <c r="B965" s="1">
        <f ca="1">IFERROR(__xludf.DUMMYFUNCTION("""COMPUTED_VALUE"""),16.2)</f>
        <v>16.2</v>
      </c>
      <c r="C965" s="1">
        <f ca="1">IFERROR(__xludf.DUMMYFUNCTION("""COMPUTED_VALUE"""),16.45)</f>
        <v>16.45</v>
      </c>
      <c r="D965" s="1">
        <f ca="1">IFERROR(__xludf.DUMMYFUNCTION("""COMPUTED_VALUE"""),15.78)</f>
        <v>15.78</v>
      </c>
      <c r="E965" s="1">
        <f ca="1">IFERROR(__xludf.DUMMYFUNCTION("""COMPUTED_VALUE"""),16.11)</f>
        <v>16.11</v>
      </c>
      <c r="F965" s="1">
        <f ca="1">IFERROR(__xludf.DUMMYFUNCTION("""COMPUTED_VALUE"""),9178208)</f>
        <v>9178208</v>
      </c>
      <c r="G965" s="5">
        <f t="shared" ca="1" si="45"/>
        <v>-3.2278088144009905E-2</v>
      </c>
      <c r="H965" s="14">
        <f t="shared" si="46"/>
        <v>2019</v>
      </c>
      <c r="I965" s="5">
        <f t="shared" ca="1" si="47"/>
        <v>-5.5555555555555471E-3</v>
      </c>
      <c r="J965" s="16"/>
    </row>
    <row r="966" spans="1:10" x14ac:dyDescent="0.2">
      <c r="A966" s="3">
        <v>43678</v>
      </c>
      <c r="B966" s="1">
        <f ca="1">IFERROR(__xludf.DUMMYFUNCTION("""COMPUTED_VALUE"""),16.18)</f>
        <v>16.18</v>
      </c>
      <c r="C966" s="1">
        <f ca="1">IFERROR(__xludf.DUMMYFUNCTION("""COMPUTED_VALUE"""),16.3)</f>
        <v>16.3</v>
      </c>
      <c r="D966" s="1">
        <f ca="1">IFERROR(__xludf.DUMMYFUNCTION("""COMPUTED_VALUE"""),15.45)</f>
        <v>15.45</v>
      </c>
      <c r="E966" s="1">
        <f ca="1">IFERROR(__xludf.DUMMYFUNCTION("""COMPUTED_VALUE"""),15.59)</f>
        <v>15.59</v>
      </c>
      <c r="F966" s="1">
        <f ca="1">IFERROR(__xludf.DUMMYFUNCTION("""COMPUTED_VALUE"""),8259516)</f>
        <v>8259516</v>
      </c>
      <c r="G966" s="5">
        <f t="shared" ca="1" si="45"/>
        <v>1.9243104554201001E-3</v>
      </c>
      <c r="H966" s="14">
        <f t="shared" si="46"/>
        <v>2019</v>
      </c>
      <c r="I966" s="5">
        <f t="shared" ca="1" si="47"/>
        <v>-3.6464771322620514E-2</v>
      </c>
      <c r="J966" s="16"/>
    </row>
    <row r="967" spans="1:10" x14ac:dyDescent="0.2">
      <c r="A967" s="3">
        <v>43679</v>
      </c>
      <c r="B967" s="1">
        <f ca="1">IFERROR(__xludf.DUMMYFUNCTION("""COMPUTED_VALUE"""),15.42)</f>
        <v>15.42</v>
      </c>
      <c r="C967" s="1">
        <f ca="1">IFERROR(__xludf.DUMMYFUNCTION("""COMPUTED_VALUE"""),15.75)</f>
        <v>15.75</v>
      </c>
      <c r="D967" s="1">
        <f ca="1">IFERROR(__xludf.DUMMYFUNCTION("""COMPUTED_VALUE"""),15.28)</f>
        <v>15.28</v>
      </c>
      <c r="E967" s="1">
        <f ca="1">IFERROR(__xludf.DUMMYFUNCTION("""COMPUTED_VALUE"""),15.62)</f>
        <v>15.62</v>
      </c>
      <c r="F967" s="1">
        <f ca="1">IFERROR(__xludf.DUMMYFUNCTION("""COMPUTED_VALUE"""),6136481)</f>
        <v>6136481</v>
      </c>
      <c r="G967" s="5">
        <f t="shared" ca="1" si="45"/>
        <v>-2.5608194622279038E-2</v>
      </c>
      <c r="H967" s="14">
        <f t="shared" si="46"/>
        <v>2019</v>
      </c>
      <c r="I967" s="5">
        <f t="shared" ca="1" si="47"/>
        <v>1.2970168612191912E-2</v>
      </c>
      <c r="J967" s="16"/>
    </row>
    <row r="968" spans="1:10" x14ac:dyDescent="0.2">
      <c r="A968" s="3">
        <v>43682</v>
      </c>
      <c r="B968" s="1">
        <f ca="1">IFERROR(__xludf.DUMMYFUNCTION("""COMPUTED_VALUE"""),15.31)</f>
        <v>15.31</v>
      </c>
      <c r="C968" s="1">
        <f ca="1">IFERROR(__xludf.DUMMYFUNCTION("""COMPUTED_VALUE"""),15.42)</f>
        <v>15.42</v>
      </c>
      <c r="D968" s="1">
        <f ca="1">IFERROR(__xludf.DUMMYFUNCTION("""COMPUTED_VALUE"""),15.05)</f>
        <v>15.05</v>
      </c>
      <c r="E968" s="1">
        <f ca="1">IFERROR(__xludf.DUMMYFUNCTION("""COMPUTED_VALUE"""),15.22)</f>
        <v>15.22</v>
      </c>
      <c r="F968" s="1">
        <f ca="1">IFERROR(__xludf.DUMMYFUNCTION("""COMPUTED_VALUE"""),7028279)</f>
        <v>7028279</v>
      </c>
      <c r="G968" s="5">
        <f t="shared" ca="1" si="45"/>
        <v>1.0512483574244424E-2</v>
      </c>
      <c r="H968" s="14">
        <f t="shared" si="46"/>
        <v>2019</v>
      </c>
      <c r="I968" s="5">
        <f t="shared" ca="1" si="47"/>
        <v>-5.8785107772697485E-3</v>
      </c>
      <c r="J968" s="16"/>
    </row>
    <row r="969" spans="1:10" x14ac:dyDescent="0.2">
      <c r="A969" s="3">
        <v>43683</v>
      </c>
      <c r="B969" s="1">
        <f ca="1">IFERROR(__xludf.DUMMYFUNCTION("""COMPUTED_VALUE"""),15.46)</f>
        <v>15.46</v>
      </c>
      <c r="C969" s="1">
        <f ca="1">IFERROR(__xludf.DUMMYFUNCTION("""COMPUTED_VALUE"""),15.5)</f>
        <v>15.5</v>
      </c>
      <c r="D969" s="1">
        <f ca="1">IFERROR(__xludf.DUMMYFUNCTION("""COMPUTED_VALUE"""),15.05)</f>
        <v>15.05</v>
      </c>
      <c r="E969" s="1">
        <f ca="1">IFERROR(__xludf.DUMMYFUNCTION("""COMPUTED_VALUE"""),15.38)</f>
        <v>15.38</v>
      </c>
      <c r="F969" s="1">
        <f ca="1">IFERROR(__xludf.DUMMYFUNCTION("""COMPUTED_VALUE"""),5564200)</f>
        <v>5564200</v>
      </c>
      <c r="G969" s="5">
        <f t="shared" ca="1" si="45"/>
        <v>1.1703511053315976E-2</v>
      </c>
      <c r="H969" s="14">
        <f t="shared" si="46"/>
        <v>2019</v>
      </c>
      <c r="I969" s="5">
        <f t="shared" ca="1" si="47"/>
        <v>-5.1746442432082833E-3</v>
      </c>
      <c r="J969" s="16"/>
    </row>
    <row r="970" spans="1:10" x14ac:dyDescent="0.2">
      <c r="A970" s="3">
        <v>43684</v>
      </c>
      <c r="B970" s="1">
        <f ca="1">IFERROR(__xludf.DUMMYFUNCTION("""COMPUTED_VALUE"""),15.1)</f>
        <v>15.1</v>
      </c>
      <c r="C970" s="1">
        <f ca="1">IFERROR(__xludf.DUMMYFUNCTION("""COMPUTED_VALUE"""),15.57)</f>
        <v>15.57</v>
      </c>
      <c r="D970" s="1">
        <f ca="1">IFERROR(__xludf.DUMMYFUNCTION("""COMPUTED_VALUE"""),15.05)</f>
        <v>15.05</v>
      </c>
      <c r="E970" s="1">
        <f ca="1">IFERROR(__xludf.DUMMYFUNCTION("""COMPUTED_VALUE"""),15.56)</f>
        <v>15.56</v>
      </c>
      <c r="F970" s="1">
        <f ca="1">IFERROR(__xludf.DUMMYFUNCTION("""COMPUTED_VALUE"""),4776500)</f>
        <v>4776500</v>
      </c>
      <c r="G970" s="5">
        <f t="shared" ca="1" si="45"/>
        <v>2.1208226221079696E-2</v>
      </c>
      <c r="H970" s="14">
        <f t="shared" si="46"/>
        <v>2019</v>
      </c>
      <c r="I970" s="5">
        <f t="shared" ca="1" si="47"/>
        <v>3.0463576158940454E-2</v>
      </c>
      <c r="J970" s="16"/>
    </row>
    <row r="971" spans="1:10" x14ac:dyDescent="0.2">
      <c r="A971" s="3">
        <v>43685</v>
      </c>
      <c r="B971" s="1">
        <f ca="1">IFERROR(__xludf.DUMMYFUNCTION("""COMPUTED_VALUE"""),15.63)</f>
        <v>15.63</v>
      </c>
      <c r="C971" s="1">
        <f ca="1">IFERROR(__xludf.DUMMYFUNCTION("""COMPUTED_VALUE"""),15.99)</f>
        <v>15.99</v>
      </c>
      <c r="D971" s="1">
        <f ca="1">IFERROR(__xludf.DUMMYFUNCTION("""COMPUTED_VALUE"""),15.51)</f>
        <v>15.51</v>
      </c>
      <c r="E971" s="1">
        <f ca="1">IFERROR(__xludf.DUMMYFUNCTION("""COMPUTED_VALUE"""),15.89)</f>
        <v>15.89</v>
      </c>
      <c r="F971" s="1">
        <f ca="1">IFERROR(__xludf.DUMMYFUNCTION("""COMPUTED_VALUE"""),5274349)</f>
        <v>5274349</v>
      </c>
      <c r="G971" s="5">
        <f t="shared" ca="1" si="45"/>
        <v>-1.3845185651353092E-2</v>
      </c>
      <c r="H971" s="14">
        <f t="shared" si="46"/>
        <v>2019</v>
      </c>
      <c r="I971" s="5">
        <f t="shared" ca="1" si="47"/>
        <v>1.6634676903390901E-2</v>
      </c>
      <c r="J971" s="16"/>
    </row>
    <row r="972" spans="1:10" x14ac:dyDescent="0.2">
      <c r="A972" s="3">
        <v>43686</v>
      </c>
      <c r="B972" s="1">
        <f ca="1">IFERROR(__xludf.DUMMYFUNCTION("""COMPUTED_VALUE"""),15.74)</f>
        <v>15.74</v>
      </c>
      <c r="C972" s="1">
        <f ca="1">IFERROR(__xludf.DUMMYFUNCTION("""COMPUTED_VALUE"""),15.93)</f>
        <v>15.93</v>
      </c>
      <c r="D972" s="1">
        <f ca="1">IFERROR(__xludf.DUMMYFUNCTION("""COMPUTED_VALUE"""),15.59)</f>
        <v>15.59</v>
      </c>
      <c r="E972" s="1">
        <f ca="1">IFERROR(__xludf.DUMMYFUNCTION("""COMPUTED_VALUE"""),15.67)</f>
        <v>15.67</v>
      </c>
      <c r="F972" s="1">
        <f ca="1">IFERROR(__xludf.DUMMYFUNCTION("""COMPUTED_VALUE"""),3898244)</f>
        <v>3898244</v>
      </c>
      <c r="G972" s="5">
        <f t="shared" ca="1" si="45"/>
        <v>-2.5526483726866646E-2</v>
      </c>
      <c r="H972" s="14">
        <f t="shared" si="46"/>
        <v>2019</v>
      </c>
      <c r="I972" s="5">
        <f t="shared" ca="1" si="47"/>
        <v>-4.4472681067344528E-3</v>
      </c>
      <c r="J972" s="16"/>
    </row>
    <row r="973" spans="1:10" x14ac:dyDescent="0.2">
      <c r="A973" s="3">
        <v>43689</v>
      </c>
      <c r="B973" s="1">
        <f ca="1">IFERROR(__xludf.DUMMYFUNCTION("""COMPUTED_VALUE"""),15.53)</f>
        <v>15.53</v>
      </c>
      <c r="C973" s="1">
        <f ca="1">IFERROR(__xludf.DUMMYFUNCTION("""COMPUTED_VALUE"""),15.72)</f>
        <v>15.72</v>
      </c>
      <c r="D973" s="1">
        <f ca="1">IFERROR(__xludf.DUMMYFUNCTION("""COMPUTED_VALUE"""),15.25)</f>
        <v>15.25</v>
      </c>
      <c r="E973" s="1">
        <f ca="1">IFERROR(__xludf.DUMMYFUNCTION("""COMPUTED_VALUE"""),15.27)</f>
        <v>15.27</v>
      </c>
      <c r="F973" s="1">
        <f ca="1">IFERROR(__xludf.DUMMYFUNCTION("""COMPUTED_VALUE"""),4663937)</f>
        <v>4663937</v>
      </c>
      <c r="G973" s="5">
        <f t="shared" ca="1" si="45"/>
        <v>2.6195153896529166E-2</v>
      </c>
      <c r="H973" s="14">
        <f t="shared" si="46"/>
        <v>2019</v>
      </c>
      <c r="I973" s="5">
        <f t="shared" ca="1" si="47"/>
        <v>-1.6741790083708939E-2</v>
      </c>
      <c r="J973" s="16"/>
    </row>
    <row r="974" spans="1:10" x14ac:dyDescent="0.2">
      <c r="A974" s="3">
        <v>43690</v>
      </c>
      <c r="B974" s="1">
        <f ca="1">IFERROR(__xludf.DUMMYFUNCTION("""COMPUTED_VALUE"""),15.25)</f>
        <v>15.25</v>
      </c>
      <c r="C974" s="1">
        <f ca="1">IFERROR(__xludf.DUMMYFUNCTION("""COMPUTED_VALUE"""),15.73)</f>
        <v>15.73</v>
      </c>
      <c r="D974" s="1">
        <f ca="1">IFERROR(__xludf.DUMMYFUNCTION("""COMPUTED_VALUE"""),15.17)</f>
        <v>15.17</v>
      </c>
      <c r="E974" s="1">
        <f ca="1">IFERROR(__xludf.DUMMYFUNCTION("""COMPUTED_VALUE"""),15.67)</f>
        <v>15.67</v>
      </c>
      <c r="F974" s="1">
        <f ca="1">IFERROR(__xludf.DUMMYFUNCTION("""COMPUTED_VALUE"""),4868998)</f>
        <v>4868998</v>
      </c>
      <c r="G974" s="5">
        <f t="shared" ca="1" si="45"/>
        <v>-6.5730695596681515E-2</v>
      </c>
      <c r="H974" s="14">
        <f t="shared" si="46"/>
        <v>2019</v>
      </c>
      <c r="I974" s="5">
        <f t="shared" ca="1" si="47"/>
        <v>2.7540983606557372E-2</v>
      </c>
      <c r="J974" s="16"/>
    </row>
    <row r="975" spans="1:10" x14ac:dyDescent="0.2">
      <c r="A975" s="3">
        <v>43691</v>
      </c>
      <c r="B975" s="1">
        <f ca="1">IFERROR(__xludf.DUMMYFUNCTION("""COMPUTED_VALUE"""),15.41)</f>
        <v>15.41</v>
      </c>
      <c r="C975" s="1">
        <f ca="1">IFERROR(__xludf.DUMMYFUNCTION("""COMPUTED_VALUE"""),15.43)</f>
        <v>15.43</v>
      </c>
      <c r="D975" s="1">
        <f ca="1">IFERROR(__xludf.DUMMYFUNCTION("""COMPUTED_VALUE"""),14.45)</f>
        <v>14.45</v>
      </c>
      <c r="E975" s="1">
        <f ca="1">IFERROR(__xludf.DUMMYFUNCTION("""COMPUTED_VALUE"""),14.64)</f>
        <v>14.64</v>
      </c>
      <c r="F975" s="1">
        <f ca="1">IFERROR(__xludf.DUMMYFUNCTION("""COMPUTED_VALUE"""),9562591)</f>
        <v>9562591</v>
      </c>
      <c r="G975" s="5">
        <f t="shared" ca="1" si="45"/>
        <v>-1.775956284153004E-2</v>
      </c>
      <c r="H975" s="14">
        <f t="shared" si="46"/>
        <v>2019</v>
      </c>
      <c r="I975" s="5">
        <f t="shared" ca="1" si="47"/>
        <v>-4.9967553536664475E-2</v>
      </c>
      <c r="J975" s="16"/>
    </row>
    <row r="976" spans="1:10" x14ac:dyDescent="0.2">
      <c r="A976" s="3">
        <v>43692</v>
      </c>
      <c r="B976" s="1">
        <f ca="1">IFERROR(__xludf.DUMMYFUNCTION("""COMPUTED_VALUE"""),14.72)</f>
        <v>14.72</v>
      </c>
      <c r="C976" s="1">
        <f ca="1">IFERROR(__xludf.DUMMYFUNCTION("""COMPUTED_VALUE"""),14.77)</f>
        <v>14.77</v>
      </c>
      <c r="D976" s="1">
        <f ca="1">IFERROR(__xludf.DUMMYFUNCTION("""COMPUTED_VALUE"""),14.1)</f>
        <v>14.1</v>
      </c>
      <c r="E976" s="1">
        <f ca="1">IFERROR(__xludf.DUMMYFUNCTION("""COMPUTED_VALUE"""),14.38)</f>
        <v>14.38</v>
      </c>
      <c r="F976" s="1">
        <f ca="1">IFERROR(__xludf.DUMMYFUNCTION("""COMPUTED_VALUE"""),8231952)</f>
        <v>8231952</v>
      </c>
      <c r="G976" s="5">
        <f t="shared" ca="1" si="45"/>
        <v>1.9471488178024989E-2</v>
      </c>
      <c r="H976" s="14">
        <f t="shared" si="46"/>
        <v>2019</v>
      </c>
      <c r="I976" s="5">
        <f t="shared" ca="1" si="47"/>
        <v>-2.309782608695651E-2</v>
      </c>
      <c r="J976" s="16"/>
    </row>
    <row r="977" spans="1:10" x14ac:dyDescent="0.2">
      <c r="A977" s="3">
        <v>43693</v>
      </c>
      <c r="B977" s="1">
        <f ca="1">IFERROR(__xludf.DUMMYFUNCTION("""COMPUTED_VALUE"""),14.44)</f>
        <v>14.44</v>
      </c>
      <c r="C977" s="1">
        <f ca="1">IFERROR(__xludf.DUMMYFUNCTION("""COMPUTED_VALUE"""),14.82)</f>
        <v>14.82</v>
      </c>
      <c r="D977" s="1">
        <f ca="1">IFERROR(__xludf.DUMMYFUNCTION("""COMPUTED_VALUE"""),14.4)</f>
        <v>14.4</v>
      </c>
      <c r="E977" s="1">
        <f ca="1">IFERROR(__xludf.DUMMYFUNCTION("""COMPUTED_VALUE"""),14.66)</f>
        <v>14.66</v>
      </c>
      <c r="F977" s="1">
        <f ca="1">IFERROR(__xludf.DUMMYFUNCTION("""COMPUTED_VALUE"""),5207376)</f>
        <v>5207376</v>
      </c>
      <c r="G977" s="5">
        <f t="shared" ca="1" si="45"/>
        <v>3.1377899045020398E-2</v>
      </c>
      <c r="H977" s="14">
        <f t="shared" si="46"/>
        <v>2019</v>
      </c>
      <c r="I977" s="5">
        <f t="shared" ca="1" si="47"/>
        <v>1.5235457063711957E-2</v>
      </c>
      <c r="J977" s="16"/>
    </row>
    <row r="978" spans="1:10" x14ac:dyDescent="0.2">
      <c r="A978" s="3">
        <v>43696</v>
      </c>
      <c r="B978" s="1">
        <f ca="1">IFERROR(__xludf.DUMMYFUNCTION("""COMPUTED_VALUE"""),14.95)</f>
        <v>14.95</v>
      </c>
      <c r="C978" s="1">
        <f ca="1">IFERROR(__xludf.DUMMYFUNCTION("""COMPUTED_VALUE"""),15.19)</f>
        <v>15.19</v>
      </c>
      <c r="D978" s="1">
        <f ca="1">IFERROR(__xludf.DUMMYFUNCTION("""COMPUTED_VALUE"""),14.78)</f>
        <v>14.78</v>
      </c>
      <c r="E978" s="1">
        <f ca="1">IFERROR(__xludf.DUMMYFUNCTION("""COMPUTED_VALUE"""),15.12)</f>
        <v>15.12</v>
      </c>
      <c r="F978" s="1">
        <f ca="1">IFERROR(__xludf.DUMMYFUNCTION("""COMPUTED_VALUE"""),5311748)</f>
        <v>5311748</v>
      </c>
      <c r="G978" s="5">
        <f t="shared" ca="1" si="45"/>
        <v>-3.9682539682538839E-3</v>
      </c>
      <c r="H978" s="14">
        <f t="shared" si="46"/>
        <v>2019</v>
      </c>
      <c r="I978" s="5">
        <f t="shared" ca="1" si="47"/>
        <v>1.1371237458193975E-2</v>
      </c>
      <c r="J978" s="16"/>
    </row>
    <row r="979" spans="1:10" x14ac:dyDescent="0.2">
      <c r="A979" s="3">
        <v>43697</v>
      </c>
      <c r="B979" s="1">
        <f ca="1">IFERROR(__xludf.DUMMYFUNCTION("""COMPUTED_VALUE"""),15.17)</f>
        <v>15.17</v>
      </c>
      <c r="C979" s="1">
        <f ca="1">IFERROR(__xludf.DUMMYFUNCTION("""COMPUTED_VALUE"""),15.27)</f>
        <v>15.27</v>
      </c>
      <c r="D979" s="1">
        <f ca="1">IFERROR(__xludf.DUMMYFUNCTION("""COMPUTED_VALUE"""),14.97)</f>
        <v>14.97</v>
      </c>
      <c r="E979" s="1">
        <f ca="1">IFERROR(__xludf.DUMMYFUNCTION("""COMPUTED_VALUE"""),15.06)</f>
        <v>15.06</v>
      </c>
      <c r="F979" s="1">
        <f ca="1">IFERROR(__xludf.DUMMYFUNCTION("""COMPUTED_VALUE"""),4170527)</f>
        <v>4170527</v>
      </c>
      <c r="G979" s="5">
        <f t="shared" ca="1" si="45"/>
        <v>-2.2576361221779539E-2</v>
      </c>
      <c r="H979" s="14">
        <f t="shared" si="46"/>
        <v>2019</v>
      </c>
      <c r="I979" s="5">
        <f t="shared" ca="1" si="47"/>
        <v>-7.25115359261697E-3</v>
      </c>
      <c r="J979" s="16"/>
    </row>
    <row r="980" spans="1:10" x14ac:dyDescent="0.2">
      <c r="A980" s="3">
        <v>43698</v>
      </c>
      <c r="B980" s="1">
        <f ca="1">IFERROR(__xludf.DUMMYFUNCTION("""COMPUTED_VALUE"""),14.8)</f>
        <v>14.8</v>
      </c>
      <c r="C980" s="1">
        <f ca="1">IFERROR(__xludf.DUMMYFUNCTION("""COMPUTED_VALUE"""),14.88)</f>
        <v>14.88</v>
      </c>
      <c r="D980" s="1">
        <f ca="1">IFERROR(__xludf.DUMMYFUNCTION("""COMPUTED_VALUE"""),14.51)</f>
        <v>14.51</v>
      </c>
      <c r="E980" s="1">
        <f ca="1">IFERROR(__xludf.DUMMYFUNCTION("""COMPUTED_VALUE"""),14.72)</f>
        <v>14.72</v>
      </c>
      <c r="F980" s="1">
        <f ca="1">IFERROR(__xludf.DUMMYFUNCTION("""COMPUTED_VALUE"""),7799744)</f>
        <v>7799744</v>
      </c>
      <c r="G980" s="5">
        <f t="shared" ca="1" si="45"/>
        <v>6.1141304347825986E-3</v>
      </c>
      <c r="H980" s="14">
        <f t="shared" si="46"/>
        <v>2019</v>
      </c>
      <c r="I980" s="5">
        <f t="shared" ca="1" si="47"/>
        <v>-5.40540540540541E-3</v>
      </c>
      <c r="J980" s="16"/>
    </row>
    <row r="981" spans="1:10" x14ac:dyDescent="0.2">
      <c r="A981" s="3">
        <v>43699</v>
      </c>
      <c r="B981" s="1">
        <f ca="1">IFERROR(__xludf.DUMMYFUNCTION("""COMPUTED_VALUE"""),14.85)</f>
        <v>14.85</v>
      </c>
      <c r="C981" s="1">
        <f ca="1">IFERROR(__xludf.DUMMYFUNCTION("""COMPUTED_VALUE"""),15.03)</f>
        <v>15.03</v>
      </c>
      <c r="D981" s="1">
        <f ca="1">IFERROR(__xludf.DUMMYFUNCTION("""COMPUTED_VALUE"""),14.55)</f>
        <v>14.55</v>
      </c>
      <c r="E981" s="1">
        <f ca="1">IFERROR(__xludf.DUMMYFUNCTION("""COMPUTED_VALUE"""),14.81)</f>
        <v>14.81</v>
      </c>
      <c r="F981" s="1">
        <f ca="1">IFERROR(__xludf.DUMMYFUNCTION("""COMPUTED_VALUE"""),6564964)</f>
        <v>6564964</v>
      </c>
      <c r="G981" s="5">
        <f t="shared" ca="1" si="45"/>
        <v>-4.8615800135043928E-2</v>
      </c>
      <c r="H981" s="14">
        <f t="shared" si="46"/>
        <v>2019</v>
      </c>
      <c r="I981" s="5">
        <f t="shared" ca="1" si="47"/>
        <v>-2.6936026936026361E-3</v>
      </c>
      <c r="J981" s="16"/>
    </row>
    <row r="982" spans="1:10" x14ac:dyDescent="0.2">
      <c r="A982" s="3">
        <v>43700</v>
      </c>
      <c r="B982" s="1">
        <f ca="1">IFERROR(__xludf.DUMMYFUNCTION("""COMPUTED_VALUE"""),14.66)</f>
        <v>14.66</v>
      </c>
      <c r="C982" s="1">
        <f ca="1">IFERROR(__xludf.DUMMYFUNCTION("""COMPUTED_VALUE"""),14.74)</f>
        <v>14.74</v>
      </c>
      <c r="D982" s="1">
        <f ca="1">IFERROR(__xludf.DUMMYFUNCTION("""COMPUTED_VALUE"""),14.07)</f>
        <v>14.07</v>
      </c>
      <c r="E982" s="1">
        <f ca="1">IFERROR(__xludf.DUMMYFUNCTION("""COMPUTED_VALUE"""),14.09)</f>
        <v>14.09</v>
      </c>
      <c r="F982" s="1">
        <f ca="1">IFERROR(__xludf.DUMMYFUNCTION("""COMPUTED_VALUE"""),8559704)</f>
        <v>8559704</v>
      </c>
      <c r="G982" s="5">
        <f t="shared" ca="1" si="45"/>
        <v>1.7033356990773612E-2</v>
      </c>
      <c r="H982" s="14">
        <f t="shared" si="46"/>
        <v>2019</v>
      </c>
      <c r="I982" s="5">
        <f t="shared" ca="1" si="47"/>
        <v>-3.8881309686221027E-2</v>
      </c>
      <c r="J982" s="16"/>
    </row>
    <row r="983" spans="1:10" x14ac:dyDescent="0.2">
      <c r="A983" s="3">
        <v>43703</v>
      </c>
      <c r="B983" s="1">
        <f ca="1">IFERROR(__xludf.DUMMYFUNCTION("""COMPUTED_VALUE"""),14.24)</f>
        <v>14.24</v>
      </c>
      <c r="C983" s="1">
        <f ca="1">IFERROR(__xludf.DUMMYFUNCTION("""COMPUTED_VALUE"""),14.33)</f>
        <v>14.33</v>
      </c>
      <c r="D983" s="1">
        <f ca="1">IFERROR(__xludf.DUMMYFUNCTION("""COMPUTED_VALUE"""),14.1)</f>
        <v>14.1</v>
      </c>
      <c r="E983" s="1">
        <f ca="1">IFERROR(__xludf.DUMMYFUNCTION("""COMPUTED_VALUE"""),14.33)</f>
        <v>14.33</v>
      </c>
      <c r="F983" s="1">
        <f ca="1">IFERROR(__xludf.DUMMYFUNCTION("""COMPUTED_VALUE"""),5054414)</f>
        <v>5054414</v>
      </c>
      <c r="G983" s="5">
        <f t="shared" ca="1" si="45"/>
        <v>-4.187020237264515E-3</v>
      </c>
      <c r="H983" s="14">
        <f t="shared" si="46"/>
        <v>2019</v>
      </c>
      <c r="I983" s="5">
        <f t="shared" ca="1" si="47"/>
        <v>6.3202247191011139E-3</v>
      </c>
      <c r="J983" s="16"/>
    </row>
    <row r="984" spans="1:10" x14ac:dyDescent="0.2">
      <c r="A984" s="3">
        <v>43704</v>
      </c>
      <c r="B984" s="1">
        <f ca="1">IFERROR(__xludf.DUMMYFUNCTION("""COMPUTED_VALUE"""),14.38)</f>
        <v>14.38</v>
      </c>
      <c r="C984" s="1">
        <f ca="1">IFERROR(__xludf.DUMMYFUNCTION("""COMPUTED_VALUE"""),14.59)</f>
        <v>14.59</v>
      </c>
      <c r="D984" s="1">
        <f ca="1">IFERROR(__xludf.DUMMYFUNCTION("""COMPUTED_VALUE"""),14.14)</f>
        <v>14.14</v>
      </c>
      <c r="E984" s="1">
        <f ca="1">IFERROR(__xludf.DUMMYFUNCTION("""COMPUTED_VALUE"""),14.27)</f>
        <v>14.27</v>
      </c>
      <c r="F984" s="1">
        <f ca="1">IFERROR(__xludf.DUMMYFUNCTION("""COMPUTED_VALUE"""),5420727)</f>
        <v>5420727</v>
      </c>
      <c r="G984" s="5">
        <f t="shared" ca="1" si="45"/>
        <v>7.0077084793272355E-3</v>
      </c>
      <c r="H984" s="14">
        <f t="shared" si="46"/>
        <v>2019</v>
      </c>
      <c r="I984" s="5">
        <f t="shared" ca="1" si="47"/>
        <v>-7.6495132127956328E-3</v>
      </c>
      <c r="J984" s="16"/>
    </row>
    <row r="985" spans="1:10" x14ac:dyDescent="0.2">
      <c r="A985" s="3">
        <v>43705</v>
      </c>
      <c r="B985" s="1">
        <f ca="1">IFERROR(__xludf.DUMMYFUNCTION("""COMPUTED_VALUE"""),14.25)</f>
        <v>14.25</v>
      </c>
      <c r="C985" s="1">
        <f ca="1">IFERROR(__xludf.DUMMYFUNCTION("""COMPUTED_VALUE"""),14.48)</f>
        <v>14.48</v>
      </c>
      <c r="D985" s="1">
        <f ca="1">IFERROR(__xludf.DUMMYFUNCTION("""COMPUTED_VALUE"""),14.15)</f>
        <v>14.15</v>
      </c>
      <c r="E985" s="1">
        <f ca="1">IFERROR(__xludf.DUMMYFUNCTION("""COMPUTED_VALUE"""),14.37)</f>
        <v>14.37</v>
      </c>
      <c r="F985" s="1">
        <f ca="1">IFERROR(__xludf.DUMMYFUNCTION("""COMPUTED_VALUE"""),3238625)</f>
        <v>3238625</v>
      </c>
      <c r="G985" s="5">
        <f t="shared" ca="1" si="45"/>
        <v>2.8531663187195556E-2</v>
      </c>
      <c r="H985" s="14">
        <f t="shared" si="46"/>
        <v>2019</v>
      </c>
      <c r="I985" s="5">
        <f t="shared" ca="1" si="47"/>
        <v>8.4210526315788917E-3</v>
      </c>
      <c r="J985" s="16"/>
    </row>
    <row r="986" spans="1:10" x14ac:dyDescent="0.2">
      <c r="A986" s="3">
        <v>43706</v>
      </c>
      <c r="B986" s="1">
        <f ca="1">IFERROR(__xludf.DUMMYFUNCTION("""COMPUTED_VALUE"""),14.6)</f>
        <v>14.6</v>
      </c>
      <c r="C986" s="1">
        <f ca="1">IFERROR(__xludf.DUMMYFUNCTION("""COMPUTED_VALUE"""),14.89)</f>
        <v>14.89</v>
      </c>
      <c r="D986" s="1">
        <f ca="1">IFERROR(__xludf.DUMMYFUNCTION("""COMPUTED_VALUE"""),14.53)</f>
        <v>14.53</v>
      </c>
      <c r="E986" s="1">
        <f ca="1">IFERROR(__xludf.DUMMYFUNCTION("""COMPUTED_VALUE"""),14.78)</f>
        <v>14.78</v>
      </c>
      <c r="F986" s="1">
        <f ca="1">IFERROR(__xludf.DUMMYFUNCTION("""COMPUTED_VALUE"""),5183104)</f>
        <v>5183104</v>
      </c>
      <c r="G986" s="5">
        <f t="shared" ca="1" si="45"/>
        <v>1.7591339648173193E-2</v>
      </c>
      <c r="H986" s="14">
        <f t="shared" si="46"/>
        <v>2019</v>
      </c>
      <c r="I986" s="5">
        <f t="shared" ca="1" si="47"/>
        <v>1.2328767123287652E-2</v>
      </c>
      <c r="J986" s="16"/>
    </row>
    <row r="987" spans="1:10" x14ac:dyDescent="0.2">
      <c r="A987" s="3">
        <v>43707</v>
      </c>
      <c r="B987" s="1">
        <f ca="1">IFERROR(__xludf.DUMMYFUNCTION("""COMPUTED_VALUE"""),15.28)</f>
        <v>15.28</v>
      </c>
      <c r="C987" s="1">
        <f ca="1">IFERROR(__xludf.DUMMYFUNCTION("""COMPUTED_VALUE"""),15.5)</f>
        <v>15.5</v>
      </c>
      <c r="D987" s="1">
        <f ca="1">IFERROR(__xludf.DUMMYFUNCTION("""COMPUTED_VALUE"""),14.95)</f>
        <v>14.95</v>
      </c>
      <c r="E987" s="1">
        <f ca="1">IFERROR(__xludf.DUMMYFUNCTION("""COMPUTED_VALUE"""),15.04)</f>
        <v>15.04</v>
      </c>
      <c r="F987" s="1">
        <f ca="1">IFERROR(__xludf.DUMMYFUNCTION("""COMPUTED_VALUE"""),9327775)</f>
        <v>9327775</v>
      </c>
      <c r="G987" s="5">
        <f t="shared" ca="1" si="45"/>
        <v>-2.6595744680850499E-3</v>
      </c>
      <c r="H987" s="14">
        <f t="shared" si="46"/>
        <v>2019</v>
      </c>
      <c r="I987" s="5">
        <f t="shared" ca="1" si="47"/>
        <v>-1.5706806282722526E-2</v>
      </c>
      <c r="J987" s="16"/>
    </row>
    <row r="988" spans="1:10" x14ac:dyDescent="0.2">
      <c r="A988" s="3">
        <v>43711</v>
      </c>
      <c r="B988" s="1">
        <f ca="1">IFERROR(__xludf.DUMMYFUNCTION("""COMPUTED_VALUE"""),14.94)</f>
        <v>14.94</v>
      </c>
      <c r="C988" s="1">
        <f ca="1">IFERROR(__xludf.DUMMYFUNCTION("""COMPUTED_VALUE"""),15.26)</f>
        <v>15.26</v>
      </c>
      <c r="D988" s="1">
        <f ca="1">IFERROR(__xludf.DUMMYFUNCTION("""COMPUTED_VALUE"""),14.88)</f>
        <v>14.88</v>
      </c>
      <c r="E988" s="1">
        <f ca="1">IFERROR(__xludf.DUMMYFUNCTION("""COMPUTED_VALUE"""),15)</f>
        <v>15</v>
      </c>
      <c r="F988" s="1">
        <f ca="1">IFERROR(__xludf.DUMMYFUNCTION("""COMPUTED_VALUE"""),5360546)</f>
        <v>5360546</v>
      </c>
      <c r="G988" s="5">
        <f t="shared" ca="1" si="45"/>
        <v>-1.9333333333333275E-2</v>
      </c>
      <c r="H988" s="14">
        <f t="shared" si="46"/>
        <v>2019</v>
      </c>
      <c r="I988" s="5">
        <f t="shared" ca="1" si="47"/>
        <v>4.0160642570281459E-3</v>
      </c>
      <c r="J988" s="16"/>
    </row>
    <row r="989" spans="1:10" x14ac:dyDescent="0.2">
      <c r="A989" s="3">
        <v>43712</v>
      </c>
      <c r="B989" s="1">
        <f ca="1">IFERROR(__xludf.DUMMYFUNCTION("""COMPUTED_VALUE"""),15.13)</f>
        <v>15.13</v>
      </c>
      <c r="C989" s="1">
        <f ca="1">IFERROR(__xludf.DUMMYFUNCTION("""COMPUTED_VALUE"""),15.23)</f>
        <v>15.23</v>
      </c>
      <c r="D989" s="1">
        <f ca="1">IFERROR(__xludf.DUMMYFUNCTION("""COMPUTED_VALUE"""),14.61)</f>
        <v>14.61</v>
      </c>
      <c r="E989" s="1">
        <f ca="1">IFERROR(__xludf.DUMMYFUNCTION("""COMPUTED_VALUE"""),14.71)</f>
        <v>14.71</v>
      </c>
      <c r="F989" s="1">
        <f ca="1">IFERROR(__xludf.DUMMYFUNCTION("""COMPUTED_VALUE"""),5768696)</f>
        <v>5768696</v>
      </c>
      <c r="G989" s="5">
        <f t="shared" ca="1" si="45"/>
        <v>4.0788579197824582E-2</v>
      </c>
      <c r="H989" s="14">
        <f t="shared" si="46"/>
        <v>2019</v>
      </c>
      <c r="I989" s="5">
        <f t="shared" ca="1" si="47"/>
        <v>-2.7759418374091203E-2</v>
      </c>
      <c r="J989" s="16"/>
    </row>
    <row r="990" spans="1:10" x14ac:dyDescent="0.2">
      <c r="A990" s="3">
        <v>43713</v>
      </c>
      <c r="B990" s="1">
        <f ca="1">IFERROR(__xludf.DUMMYFUNCTION("""COMPUTED_VALUE"""),14.83)</f>
        <v>14.83</v>
      </c>
      <c r="C990" s="1">
        <f ca="1">IFERROR(__xludf.DUMMYFUNCTION("""COMPUTED_VALUE"""),15.32)</f>
        <v>15.32</v>
      </c>
      <c r="D990" s="1">
        <f ca="1">IFERROR(__xludf.DUMMYFUNCTION("""COMPUTED_VALUE"""),14.72)</f>
        <v>14.72</v>
      </c>
      <c r="E990" s="1">
        <f ca="1">IFERROR(__xludf.DUMMYFUNCTION("""COMPUTED_VALUE"""),15.31)</f>
        <v>15.31</v>
      </c>
      <c r="F990" s="1">
        <f ca="1">IFERROR(__xludf.DUMMYFUNCTION("""COMPUTED_VALUE"""),7403322)</f>
        <v>7403322</v>
      </c>
      <c r="G990" s="5">
        <f t="shared" ca="1" si="45"/>
        <v>-9.7975179621162863E-3</v>
      </c>
      <c r="H990" s="14">
        <f t="shared" si="46"/>
        <v>2019</v>
      </c>
      <c r="I990" s="5">
        <f t="shared" ca="1" si="47"/>
        <v>3.23668240053945E-2</v>
      </c>
      <c r="J990" s="16"/>
    </row>
    <row r="991" spans="1:10" x14ac:dyDescent="0.2">
      <c r="A991" s="3">
        <v>43714</v>
      </c>
      <c r="B991" s="1">
        <f ca="1">IFERROR(__xludf.DUMMYFUNCTION("""COMPUTED_VALUE"""),15.15)</f>
        <v>15.15</v>
      </c>
      <c r="C991" s="1">
        <f ca="1">IFERROR(__xludf.DUMMYFUNCTION("""COMPUTED_VALUE"""),15.31)</f>
        <v>15.31</v>
      </c>
      <c r="D991" s="1">
        <f ca="1">IFERROR(__xludf.DUMMYFUNCTION("""COMPUTED_VALUE"""),15.01)</f>
        <v>15.01</v>
      </c>
      <c r="E991" s="1">
        <f ca="1">IFERROR(__xludf.DUMMYFUNCTION("""COMPUTED_VALUE"""),15.16)</f>
        <v>15.16</v>
      </c>
      <c r="F991" s="1">
        <f ca="1">IFERROR(__xludf.DUMMYFUNCTION("""COMPUTED_VALUE"""),4189372)</f>
        <v>4189372</v>
      </c>
      <c r="G991" s="5">
        <f t="shared" ca="1" si="45"/>
        <v>1.9129287598944535E-2</v>
      </c>
      <c r="H991" s="14">
        <f t="shared" si="46"/>
        <v>2019</v>
      </c>
      <c r="I991" s="5">
        <f t="shared" ca="1" si="47"/>
        <v>6.6006600660064598E-4</v>
      </c>
      <c r="J991" s="16"/>
    </row>
    <row r="992" spans="1:10" x14ac:dyDescent="0.2">
      <c r="A992" s="3">
        <v>43717</v>
      </c>
      <c r="B992" s="1">
        <f ca="1">IFERROR(__xludf.DUMMYFUNCTION("""COMPUTED_VALUE"""),15.33)</f>
        <v>15.33</v>
      </c>
      <c r="C992" s="1">
        <f ca="1">IFERROR(__xludf.DUMMYFUNCTION("""COMPUTED_VALUE"""),15.58)</f>
        <v>15.58</v>
      </c>
      <c r="D992" s="1">
        <f ca="1">IFERROR(__xludf.DUMMYFUNCTION("""COMPUTED_VALUE"""),15.28)</f>
        <v>15.28</v>
      </c>
      <c r="E992" s="1">
        <f ca="1">IFERROR(__xludf.DUMMYFUNCTION("""COMPUTED_VALUE"""),15.45)</f>
        <v>15.45</v>
      </c>
      <c r="F992" s="1">
        <f ca="1">IFERROR(__xludf.DUMMYFUNCTION("""COMPUTED_VALUE"""),4802669)</f>
        <v>4802669</v>
      </c>
      <c r="G992" s="5">
        <f t="shared" ca="1" si="45"/>
        <v>1.6181229773462785E-2</v>
      </c>
      <c r="H992" s="14">
        <f t="shared" si="46"/>
        <v>2019</v>
      </c>
      <c r="I992" s="5">
        <f t="shared" ca="1" si="47"/>
        <v>7.8277886497064072E-3</v>
      </c>
      <c r="J992" s="16"/>
    </row>
    <row r="993" spans="1:10" x14ac:dyDescent="0.2">
      <c r="A993" s="3">
        <v>43718</v>
      </c>
      <c r="B993" s="1">
        <f ca="1">IFERROR(__xludf.DUMMYFUNCTION("""COMPUTED_VALUE"""),15.39)</f>
        <v>15.39</v>
      </c>
      <c r="C993" s="1">
        <f ca="1">IFERROR(__xludf.DUMMYFUNCTION("""COMPUTED_VALUE"""),15.7)</f>
        <v>15.7</v>
      </c>
      <c r="D993" s="1">
        <f ca="1">IFERROR(__xludf.DUMMYFUNCTION("""COMPUTED_VALUE"""),15.26)</f>
        <v>15.26</v>
      </c>
      <c r="E993" s="1">
        <f ca="1">IFERROR(__xludf.DUMMYFUNCTION("""COMPUTED_VALUE"""),15.7)</f>
        <v>15.7</v>
      </c>
      <c r="F993" s="1">
        <f ca="1">IFERROR(__xludf.DUMMYFUNCTION("""COMPUTED_VALUE"""),4883714)</f>
        <v>4883714</v>
      </c>
      <c r="G993" s="5">
        <f t="shared" ca="1" si="45"/>
        <v>4.9044585987261122E-2</v>
      </c>
      <c r="H993" s="14">
        <f t="shared" si="46"/>
        <v>2019</v>
      </c>
      <c r="I993" s="5">
        <f t="shared" ca="1" si="47"/>
        <v>2.0142949967511287E-2</v>
      </c>
      <c r="J993" s="16"/>
    </row>
    <row r="994" spans="1:10" x14ac:dyDescent="0.2">
      <c r="A994" s="3">
        <v>43719</v>
      </c>
      <c r="B994" s="1">
        <f ca="1">IFERROR(__xludf.DUMMYFUNCTION("""COMPUTED_VALUE"""),15.83)</f>
        <v>15.83</v>
      </c>
      <c r="C994" s="1">
        <f ca="1">IFERROR(__xludf.DUMMYFUNCTION("""COMPUTED_VALUE"""),16.54)</f>
        <v>16.54</v>
      </c>
      <c r="D994" s="1">
        <f ca="1">IFERROR(__xludf.DUMMYFUNCTION("""COMPUTED_VALUE"""),15.73)</f>
        <v>15.73</v>
      </c>
      <c r="E994" s="1">
        <f ca="1">IFERROR(__xludf.DUMMYFUNCTION("""COMPUTED_VALUE"""),16.47)</f>
        <v>16.47</v>
      </c>
      <c r="F994" s="1">
        <f ca="1">IFERROR(__xludf.DUMMYFUNCTION("""COMPUTED_VALUE"""),10042777)</f>
        <v>10042777</v>
      </c>
      <c r="G994" s="5">
        <f t="shared" ca="1" si="45"/>
        <v>-4.8573163327260659E-3</v>
      </c>
      <c r="H994" s="14">
        <f t="shared" si="46"/>
        <v>2019</v>
      </c>
      <c r="I994" s="5">
        <f t="shared" ca="1" si="47"/>
        <v>4.0429564118761765E-2</v>
      </c>
      <c r="J994" s="16"/>
    </row>
    <row r="995" spans="1:10" x14ac:dyDescent="0.2">
      <c r="A995" s="3">
        <v>43720</v>
      </c>
      <c r="B995" s="1">
        <f ca="1">IFERROR(__xludf.DUMMYFUNCTION("""COMPUTED_VALUE"""),16.51)</f>
        <v>16.510000000000002</v>
      </c>
      <c r="C995" s="1">
        <f ca="1">IFERROR(__xludf.DUMMYFUNCTION("""COMPUTED_VALUE"""),16.9)</f>
        <v>16.899999999999999</v>
      </c>
      <c r="D995" s="1">
        <f ca="1">IFERROR(__xludf.DUMMYFUNCTION("""COMPUTED_VALUE"""),16.29)</f>
        <v>16.29</v>
      </c>
      <c r="E995" s="1">
        <f ca="1">IFERROR(__xludf.DUMMYFUNCTION("""COMPUTED_VALUE"""),16.39)</f>
        <v>16.39</v>
      </c>
      <c r="F995" s="1">
        <f ca="1">IFERROR(__xludf.DUMMYFUNCTION("""COMPUTED_VALUE"""),8581210)</f>
        <v>8581210</v>
      </c>
      <c r="G995" s="5">
        <f t="shared" ca="1" si="45"/>
        <v>-2.4405125076265495E-3</v>
      </c>
      <c r="H995" s="14">
        <f t="shared" si="46"/>
        <v>2019</v>
      </c>
      <c r="I995" s="5">
        <f t="shared" ca="1" si="47"/>
        <v>-7.2683222289522094E-3</v>
      </c>
      <c r="J995" s="16"/>
    </row>
    <row r="996" spans="1:10" x14ac:dyDescent="0.2">
      <c r="A996" s="3">
        <v>43721</v>
      </c>
      <c r="B996" s="1">
        <f ca="1">IFERROR(__xludf.DUMMYFUNCTION("""COMPUTED_VALUE"""),16.46)</f>
        <v>16.46</v>
      </c>
      <c r="C996" s="1">
        <f ca="1">IFERROR(__xludf.DUMMYFUNCTION("""COMPUTED_VALUE"""),16.56)</f>
        <v>16.559999999999999</v>
      </c>
      <c r="D996" s="1">
        <f ca="1">IFERROR(__xludf.DUMMYFUNCTION("""COMPUTED_VALUE"""),16.32)</f>
        <v>16.32</v>
      </c>
      <c r="E996" s="1">
        <f ca="1">IFERROR(__xludf.DUMMYFUNCTION("""COMPUTED_VALUE"""),16.35)</f>
        <v>16.350000000000001</v>
      </c>
      <c r="F996" s="1">
        <f ca="1">IFERROR(__xludf.DUMMYFUNCTION("""COMPUTED_VALUE"""),5313145)</f>
        <v>5313145</v>
      </c>
      <c r="G996" s="5">
        <f t="shared" ca="1" si="45"/>
        <v>-9.7859327217125463E-3</v>
      </c>
      <c r="H996" s="14">
        <f t="shared" si="46"/>
        <v>2019</v>
      </c>
      <c r="I996" s="5">
        <f t="shared" ca="1" si="47"/>
        <v>-6.6828675577156396E-3</v>
      </c>
      <c r="J996" s="16"/>
    </row>
    <row r="997" spans="1:10" x14ac:dyDescent="0.2">
      <c r="A997" s="3">
        <v>43724</v>
      </c>
      <c r="B997" s="1">
        <f ca="1">IFERROR(__xludf.DUMMYFUNCTION("""COMPUTED_VALUE"""),16.4)</f>
        <v>16.399999999999999</v>
      </c>
      <c r="C997" s="1">
        <f ca="1">IFERROR(__xludf.DUMMYFUNCTION("""COMPUTED_VALUE"""),16.5)</f>
        <v>16.5</v>
      </c>
      <c r="D997" s="1">
        <f ca="1">IFERROR(__xludf.DUMMYFUNCTION("""COMPUTED_VALUE"""),16.08)</f>
        <v>16.079999999999998</v>
      </c>
      <c r="E997" s="1">
        <f ca="1">IFERROR(__xludf.DUMMYFUNCTION("""COMPUTED_VALUE"""),16.19)</f>
        <v>16.190000000000001</v>
      </c>
      <c r="F997" s="1">
        <f ca="1">IFERROR(__xludf.DUMMYFUNCTION("""COMPUTED_VALUE"""),4728096)</f>
        <v>4728096</v>
      </c>
      <c r="G997" s="5">
        <f t="shared" ca="1" si="45"/>
        <v>8.029647930821433E-3</v>
      </c>
      <c r="H997" s="14">
        <f t="shared" si="46"/>
        <v>2019</v>
      </c>
      <c r="I997" s="5">
        <f t="shared" ca="1" si="47"/>
        <v>-1.2804878048780324E-2</v>
      </c>
      <c r="J997" s="16"/>
    </row>
    <row r="998" spans="1:10" x14ac:dyDescent="0.2">
      <c r="A998" s="3">
        <v>43725</v>
      </c>
      <c r="B998" s="1">
        <f ca="1">IFERROR(__xludf.DUMMYFUNCTION("""COMPUTED_VALUE"""),16.16)</f>
        <v>16.16</v>
      </c>
      <c r="C998" s="1">
        <f ca="1">IFERROR(__xludf.DUMMYFUNCTION("""COMPUTED_VALUE"""),16.37)</f>
        <v>16.37</v>
      </c>
      <c r="D998" s="1">
        <f ca="1">IFERROR(__xludf.DUMMYFUNCTION("""COMPUTED_VALUE"""),16.02)</f>
        <v>16.02</v>
      </c>
      <c r="E998" s="1">
        <f ca="1">IFERROR(__xludf.DUMMYFUNCTION("""COMPUTED_VALUE"""),16.32)</f>
        <v>16.32</v>
      </c>
      <c r="F998" s="1">
        <f ca="1">IFERROR(__xludf.DUMMYFUNCTION("""COMPUTED_VALUE"""),3946909)</f>
        <v>3946909</v>
      </c>
      <c r="G998" s="5">
        <f t="shared" ca="1" si="45"/>
        <v>-5.514705882352932E-3</v>
      </c>
      <c r="H998" s="14">
        <f t="shared" si="46"/>
        <v>2019</v>
      </c>
      <c r="I998" s="5">
        <f t="shared" ca="1" si="47"/>
        <v>9.9009900990099098E-3</v>
      </c>
      <c r="J998" s="16"/>
    </row>
    <row r="999" spans="1:10" x14ac:dyDescent="0.2">
      <c r="A999" s="3">
        <v>43726</v>
      </c>
      <c r="B999" s="1">
        <f ca="1">IFERROR(__xludf.DUMMYFUNCTION("""COMPUTED_VALUE"""),16.33)</f>
        <v>16.329999999999998</v>
      </c>
      <c r="C999" s="1">
        <f ca="1">IFERROR(__xludf.DUMMYFUNCTION("""COMPUTED_VALUE"""),16.54)</f>
        <v>16.54</v>
      </c>
      <c r="D999" s="1">
        <f ca="1">IFERROR(__xludf.DUMMYFUNCTION("""COMPUTED_VALUE"""),16.16)</f>
        <v>16.16</v>
      </c>
      <c r="E999" s="1">
        <f ca="1">IFERROR(__xludf.DUMMYFUNCTION("""COMPUTED_VALUE"""),16.23)</f>
        <v>16.23</v>
      </c>
      <c r="F999" s="1">
        <f ca="1">IFERROR(__xludf.DUMMYFUNCTION("""COMPUTED_VALUE"""),4228103)</f>
        <v>4228103</v>
      </c>
      <c r="G999" s="5">
        <f t="shared" ca="1" si="45"/>
        <v>1.2939001848428888E-2</v>
      </c>
      <c r="H999" s="14">
        <f t="shared" si="46"/>
        <v>2019</v>
      </c>
      <c r="I999" s="5">
        <f t="shared" ca="1" si="47"/>
        <v>-6.1236987140231404E-3</v>
      </c>
      <c r="J999" s="16"/>
    </row>
    <row r="1000" spans="1:10" x14ac:dyDescent="0.2">
      <c r="A1000" s="3">
        <v>43727</v>
      </c>
      <c r="B1000" s="1">
        <f ca="1">IFERROR(__xludf.DUMMYFUNCTION("""COMPUTED_VALUE"""),16.4)</f>
        <v>16.399999999999999</v>
      </c>
      <c r="C1000" s="1">
        <f ca="1">IFERROR(__xludf.DUMMYFUNCTION("""COMPUTED_VALUE"""),16.53)</f>
        <v>16.53</v>
      </c>
      <c r="D1000" s="1">
        <f ca="1">IFERROR(__xludf.DUMMYFUNCTION("""COMPUTED_VALUE"""),16.32)</f>
        <v>16.32</v>
      </c>
      <c r="E1000" s="1">
        <f ca="1">IFERROR(__xludf.DUMMYFUNCTION("""COMPUTED_VALUE"""),16.44)</f>
        <v>16.440000000000001</v>
      </c>
      <c r="F1000" s="1">
        <f ca="1">IFERROR(__xludf.DUMMYFUNCTION("""COMPUTED_VALUE"""),4883135)</f>
        <v>4883135</v>
      </c>
      <c r="G1000" s="5">
        <f t="shared" ca="1" si="45"/>
        <v>-2.4330900243309129E-2</v>
      </c>
      <c r="H1000" s="14">
        <f t="shared" si="46"/>
        <v>2019</v>
      </c>
      <c r="I1000" s="5">
        <f t="shared" ca="1" si="47"/>
        <v>2.4390243902440672E-3</v>
      </c>
      <c r="J1000" s="16"/>
    </row>
    <row r="1001" spans="1:10" x14ac:dyDescent="0.2">
      <c r="A1001" s="3">
        <v>43728</v>
      </c>
      <c r="B1001" s="1">
        <f ca="1">IFERROR(__xludf.DUMMYFUNCTION("""COMPUTED_VALUE"""),16.43)</f>
        <v>16.43</v>
      </c>
      <c r="C1001" s="1">
        <f ca="1">IFERROR(__xludf.DUMMYFUNCTION("""COMPUTED_VALUE"""),16.46)</f>
        <v>16.46</v>
      </c>
      <c r="D1001" s="1">
        <f ca="1">IFERROR(__xludf.DUMMYFUNCTION("""COMPUTED_VALUE"""),15.88)</f>
        <v>15.88</v>
      </c>
      <c r="E1001" s="1">
        <f ca="1">IFERROR(__xludf.DUMMYFUNCTION("""COMPUTED_VALUE"""),16.04)</f>
        <v>16.04</v>
      </c>
      <c r="F1001" s="1">
        <f ca="1">IFERROR(__xludf.DUMMYFUNCTION("""COMPUTED_VALUE"""),6506264)</f>
        <v>6506264</v>
      </c>
      <c r="G1001" s="5">
        <f t="shared" ca="1" si="45"/>
        <v>2.4937655860348597E-3</v>
      </c>
      <c r="H1001" s="14">
        <f t="shared" si="46"/>
        <v>2019</v>
      </c>
      <c r="I1001" s="5">
        <f t="shared" ca="1" si="47"/>
        <v>-2.3737066342057248E-2</v>
      </c>
      <c r="J1001" s="16"/>
    </row>
    <row r="1002" spans="1:10" x14ac:dyDescent="0.2">
      <c r="A1002" s="3">
        <v>43731</v>
      </c>
      <c r="B1002" s="1">
        <f ca="1">IFERROR(__xludf.DUMMYFUNCTION("""COMPUTED_VALUE"""),16)</f>
        <v>16</v>
      </c>
      <c r="C1002" s="1">
        <f ca="1">IFERROR(__xludf.DUMMYFUNCTION("""COMPUTED_VALUE"""),16.35)</f>
        <v>16.350000000000001</v>
      </c>
      <c r="D1002" s="1">
        <f ca="1">IFERROR(__xludf.DUMMYFUNCTION("""COMPUTED_VALUE"""),15.95)</f>
        <v>15.95</v>
      </c>
      <c r="E1002" s="1">
        <f ca="1">IFERROR(__xludf.DUMMYFUNCTION("""COMPUTED_VALUE"""),16.08)</f>
        <v>16.079999999999998</v>
      </c>
      <c r="F1002" s="1">
        <f ca="1">IFERROR(__xludf.DUMMYFUNCTION("""COMPUTED_VALUE"""),4391630)</f>
        <v>4391630</v>
      </c>
      <c r="G1002" s="5">
        <f t="shared" ca="1" si="45"/>
        <v>-7.4626865671641646E-2</v>
      </c>
      <c r="H1002" s="14">
        <f t="shared" si="46"/>
        <v>2019</v>
      </c>
      <c r="I1002" s="5">
        <f t="shared" ca="1" si="47"/>
        <v>4.9999999999998934E-3</v>
      </c>
      <c r="J1002" s="16"/>
    </row>
    <row r="1003" spans="1:10" x14ac:dyDescent="0.2">
      <c r="A1003" s="3">
        <v>43732</v>
      </c>
      <c r="B1003" s="1">
        <f ca="1">IFERROR(__xludf.DUMMYFUNCTION("""COMPUTED_VALUE"""),16.1)</f>
        <v>16.100000000000001</v>
      </c>
      <c r="C1003" s="1">
        <f ca="1">IFERROR(__xludf.DUMMYFUNCTION("""COMPUTED_VALUE"""),16.13)</f>
        <v>16.13</v>
      </c>
      <c r="D1003" s="1">
        <f ca="1">IFERROR(__xludf.DUMMYFUNCTION("""COMPUTED_VALUE"""),14.84)</f>
        <v>14.84</v>
      </c>
      <c r="E1003" s="1">
        <f ca="1">IFERROR(__xludf.DUMMYFUNCTION("""COMPUTED_VALUE"""),14.88)</f>
        <v>14.88</v>
      </c>
      <c r="F1003" s="1">
        <f ca="1">IFERROR(__xludf.DUMMYFUNCTION("""COMPUTED_VALUE"""),12941112)</f>
        <v>12941112</v>
      </c>
      <c r="G1003" s="5">
        <f t="shared" ca="1" si="45"/>
        <v>2.4865591397849409E-2</v>
      </c>
      <c r="H1003" s="14">
        <f t="shared" si="46"/>
        <v>2019</v>
      </c>
      <c r="I1003" s="5">
        <f t="shared" ca="1" si="47"/>
        <v>-7.5776397515527977E-2</v>
      </c>
      <c r="J1003" s="16"/>
    </row>
    <row r="1004" spans="1:10" x14ac:dyDescent="0.2">
      <c r="A1004" s="3">
        <v>43733</v>
      </c>
      <c r="B1004" s="1">
        <f ca="1">IFERROR(__xludf.DUMMYFUNCTION("""COMPUTED_VALUE"""),14.97)</f>
        <v>14.97</v>
      </c>
      <c r="C1004" s="1">
        <f ca="1">IFERROR(__xludf.DUMMYFUNCTION("""COMPUTED_VALUE"""),15.27)</f>
        <v>15.27</v>
      </c>
      <c r="D1004" s="1">
        <f ca="1">IFERROR(__xludf.DUMMYFUNCTION("""COMPUTED_VALUE"""),14.56)</f>
        <v>14.56</v>
      </c>
      <c r="E1004" s="1">
        <f ca="1">IFERROR(__xludf.DUMMYFUNCTION("""COMPUTED_VALUE"""),15.25)</f>
        <v>15.25</v>
      </c>
      <c r="F1004" s="1">
        <f ca="1">IFERROR(__xludf.DUMMYFUNCTION("""COMPUTED_VALUE"""),9444286)</f>
        <v>9444286</v>
      </c>
      <c r="G1004" s="5">
        <f t="shared" ca="1" si="45"/>
        <v>6.0327868852459131E-2</v>
      </c>
      <c r="H1004" s="14">
        <f t="shared" si="46"/>
        <v>2019</v>
      </c>
      <c r="I1004" s="5">
        <f t="shared" ca="1" si="47"/>
        <v>1.870407481629922E-2</v>
      </c>
      <c r="J1004" s="16"/>
    </row>
    <row r="1005" spans="1:10" x14ac:dyDescent="0.2">
      <c r="A1005" s="3">
        <v>43734</v>
      </c>
      <c r="B1005" s="1">
        <f ca="1">IFERROR(__xludf.DUMMYFUNCTION("""COMPUTED_VALUE"""),15.38)</f>
        <v>15.38</v>
      </c>
      <c r="C1005" s="1">
        <f ca="1">IFERROR(__xludf.DUMMYFUNCTION("""COMPUTED_VALUE"""),16.22)</f>
        <v>16.22</v>
      </c>
      <c r="D1005" s="1">
        <f ca="1">IFERROR(__xludf.DUMMYFUNCTION("""COMPUTED_VALUE"""),15.16)</f>
        <v>15.16</v>
      </c>
      <c r="E1005" s="1">
        <f ca="1">IFERROR(__xludf.DUMMYFUNCTION("""COMPUTED_VALUE"""),16.17)</f>
        <v>16.170000000000002</v>
      </c>
      <c r="F1005" s="1">
        <f ca="1">IFERROR(__xludf.DUMMYFUNCTION("""COMPUTED_VALUE"""),12078785)</f>
        <v>12078785</v>
      </c>
      <c r="G1005" s="5">
        <f t="shared" ca="1" si="45"/>
        <v>-1.8552875695733539E-3</v>
      </c>
      <c r="H1005" s="14">
        <f t="shared" si="46"/>
        <v>2019</v>
      </c>
      <c r="I1005" s="5">
        <f t="shared" ca="1" si="47"/>
        <v>5.1365409622886923E-2</v>
      </c>
      <c r="J1005" s="16"/>
    </row>
    <row r="1006" spans="1:10" x14ac:dyDescent="0.2">
      <c r="A1006" s="3">
        <v>43735</v>
      </c>
      <c r="B1006" s="1">
        <f ca="1">IFERROR(__xludf.DUMMYFUNCTION("""COMPUTED_VALUE"""),16.15)</f>
        <v>16.149999999999999</v>
      </c>
      <c r="C1006" s="1">
        <f ca="1">IFERROR(__xludf.DUMMYFUNCTION("""COMPUTED_VALUE"""),16.58)</f>
        <v>16.579999999999998</v>
      </c>
      <c r="D1006" s="1">
        <f ca="1">IFERROR(__xludf.DUMMYFUNCTION("""COMPUTED_VALUE"""),15.92)</f>
        <v>15.92</v>
      </c>
      <c r="E1006" s="1">
        <f ca="1">IFERROR(__xludf.DUMMYFUNCTION("""COMPUTED_VALUE"""),16.14)</f>
        <v>16.14</v>
      </c>
      <c r="F1006" s="1">
        <f ca="1">IFERROR(__xludf.DUMMYFUNCTION("""COMPUTED_VALUE"""),11123179)</f>
        <v>11123179</v>
      </c>
      <c r="G1006" s="5">
        <f t="shared" ca="1" si="45"/>
        <v>-4.9566294919455916E-3</v>
      </c>
      <c r="H1006" s="14">
        <f t="shared" si="46"/>
        <v>2019</v>
      </c>
      <c r="I1006" s="5">
        <f t="shared" ca="1" si="47"/>
        <v>-6.1919504643950535E-4</v>
      </c>
      <c r="J1006" s="16"/>
    </row>
    <row r="1007" spans="1:10" x14ac:dyDescent="0.2">
      <c r="A1007" s="3">
        <v>43738</v>
      </c>
      <c r="B1007" s="1">
        <f ca="1">IFERROR(__xludf.DUMMYFUNCTION("""COMPUTED_VALUE"""),16.2)</f>
        <v>16.2</v>
      </c>
      <c r="C1007" s="1">
        <f ca="1">IFERROR(__xludf.DUMMYFUNCTION("""COMPUTED_VALUE"""),16.27)</f>
        <v>16.27</v>
      </c>
      <c r="D1007" s="1">
        <f ca="1">IFERROR(__xludf.DUMMYFUNCTION("""COMPUTED_VALUE"""),15.74)</f>
        <v>15.74</v>
      </c>
      <c r="E1007" s="1">
        <f ca="1">IFERROR(__xludf.DUMMYFUNCTION("""COMPUTED_VALUE"""),16.06)</f>
        <v>16.059999999999999</v>
      </c>
      <c r="F1007" s="1">
        <f ca="1">IFERROR(__xludf.DUMMYFUNCTION("""COMPUTED_VALUE"""),5946161)</f>
        <v>5946161</v>
      </c>
      <c r="G1007" s="5">
        <f t="shared" ca="1" si="45"/>
        <v>1.5566625155666253E-2</v>
      </c>
      <c r="H1007" s="14">
        <f t="shared" si="46"/>
        <v>2019</v>
      </c>
      <c r="I1007" s="5">
        <f t="shared" ca="1" si="47"/>
        <v>-8.6419753086420109E-3</v>
      </c>
      <c r="J1007" s="16"/>
    </row>
    <row r="1008" spans="1:10" x14ac:dyDescent="0.2">
      <c r="A1008" s="3">
        <v>43739</v>
      </c>
      <c r="B1008" s="1">
        <f ca="1">IFERROR(__xludf.DUMMYFUNCTION("""COMPUTED_VALUE"""),16.1)</f>
        <v>16.100000000000001</v>
      </c>
      <c r="C1008" s="1">
        <f ca="1">IFERROR(__xludf.DUMMYFUNCTION("""COMPUTED_VALUE"""),16.4)</f>
        <v>16.399999999999999</v>
      </c>
      <c r="D1008" s="1">
        <f ca="1">IFERROR(__xludf.DUMMYFUNCTION("""COMPUTED_VALUE"""),15.94)</f>
        <v>15.94</v>
      </c>
      <c r="E1008" s="1">
        <f ca="1">IFERROR(__xludf.DUMMYFUNCTION("""COMPUTED_VALUE"""),16.31)</f>
        <v>16.309999999999999</v>
      </c>
      <c r="F1008" s="1">
        <f ca="1">IFERROR(__xludf.DUMMYFUNCTION("""COMPUTED_VALUE"""),6196290)</f>
        <v>6196290</v>
      </c>
      <c r="G1008" s="5">
        <f t="shared" ca="1" si="45"/>
        <v>-6.1312078479459154E-3</v>
      </c>
      <c r="H1008" s="14">
        <f t="shared" si="46"/>
        <v>2019</v>
      </c>
      <c r="I1008" s="5">
        <f t="shared" ca="1" si="47"/>
        <v>1.3043478260869396E-2</v>
      </c>
      <c r="J1008" s="16"/>
    </row>
    <row r="1009" spans="1:10" x14ac:dyDescent="0.2">
      <c r="A1009" s="3">
        <v>43740</v>
      </c>
      <c r="B1009" s="1">
        <f ca="1">IFERROR(__xludf.DUMMYFUNCTION("""COMPUTED_VALUE"""),16.22)</f>
        <v>16.22</v>
      </c>
      <c r="C1009" s="1">
        <f ca="1">IFERROR(__xludf.DUMMYFUNCTION("""COMPUTED_VALUE"""),16.31)</f>
        <v>16.309999999999999</v>
      </c>
      <c r="D1009" s="1">
        <f ca="1">IFERROR(__xludf.DUMMYFUNCTION("""COMPUTED_VALUE"""),15.96)</f>
        <v>15.96</v>
      </c>
      <c r="E1009" s="1">
        <f ca="1">IFERROR(__xludf.DUMMYFUNCTION("""COMPUTED_VALUE"""),16.21)</f>
        <v>16.21</v>
      </c>
      <c r="F1009" s="1">
        <f ca="1">IFERROR(__xludf.DUMMYFUNCTION("""COMPUTED_VALUE"""),6256548)</f>
        <v>6256548</v>
      </c>
      <c r="G1009" s="5">
        <f t="shared" ca="1" si="45"/>
        <v>-4.1332510795805161E-2</v>
      </c>
      <c r="H1009" s="14">
        <f t="shared" si="46"/>
        <v>2019</v>
      </c>
      <c r="I1009" s="5">
        <f t="shared" ca="1" si="47"/>
        <v>-6.1652281134389711E-4</v>
      </c>
      <c r="J1009" s="16"/>
    </row>
    <row r="1010" spans="1:10" x14ac:dyDescent="0.2">
      <c r="A1010" s="3">
        <v>43741</v>
      </c>
      <c r="B1010" s="1">
        <f ca="1">IFERROR(__xludf.DUMMYFUNCTION("""COMPUTED_VALUE"""),15.46)</f>
        <v>15.46</v>
      </c>
      <c r="C1010" s="1">
        <f ca="1">IFERROR(__xludf.DUMMYFUNCTION("""COMPUTED_VALUE"""),15.63)</f>
        <v>15.63</v>
      </c>
      <c r="D1010" s="1">
        <f ca="1">IFERROR(__xludf.DUMMYFUNCTION("""COMPUTED_VALUE"""),14.95)</f>
        <v>14.95</v>
      </c>
      <c r="E1010" s="1">
        <f ca="1">IFERROR(__xludf.DUMMYFUNCTION("""COMPUTED_VALUE"""),15.54)</f>
        <v>15.54</v>
      </c>
      <c r="F1010" s="1">
        <f ca="1">IFERROR(__xludf.DUMMYFUNCTION("""COMPUTED_VALUE"""),15137763)</f>
        <v>15137763</v>
      </c>
      <c r="G1010" s="5">
        <f t="shared" ca="1" si="45"/>
        <v>-7.0785070785070424E-3</v>
      </c>
      <c r="H1010" s="14">
        <f t="shared" si="46"/>
        <v>2019</v>
      </c>
      <c r="I1010" s="5">
        <f t="shared" ca="1" si="47"/>
        <v>5.1746442432081688E-3</v>
      </c>
      <c r="J1010" s="16"/>
    </row>
    <row r="1011" spans="1:10" x14ac:dyDescent="0.2">
      <c r="A1011" s="3">
        <v>43742</v>
      </c>
      <c r="B1011" s="1">
        <f ca="1">IFERROR(__xludf.DUMMYFUNCTION("""COMPUTED_VALUE"""),15.44)</f>
        <v>15.44</v>
      </c>
      <c r="C1011" s="1">
        <f ca="1">IFERROR(__xludf.DUMMYFUNCTION("""COMPUTED_VALUE"""),15.65)</f>
        <v>15.65</v>
      </c>
      <c r="D1011" s="1">
        <f ca="1">IFERROR(__xludf.DUMMYFUNCTION("""COMPUTED_VALUE"""),15.2)</f>
        <v>15.2</v>
      </c>
      <c r="E1011" s="1">
        <f ca="1">IFERROR(__xludf.DUMMYFUNCTION("""COMPUTED_VALUE"""),15.43)</f>
        <v>15.43</v>
      </c>
      <c r="F1011" s="1">
        <f ca="1">IFERROR(__xludf.DUMMYFUNCTION("""COMPUTED_VALUE"""),8021180)</f>
        <v>8021180</v>
      </c>
      <c r="G1011" s="5">
        <f t="shared" ca="1" si="45"/>
        <v>2.7219701879455601E-2</v>
      </c>
      <c r="H1011" s="14">
        <f t="shared" si="46"/>
        <v>2019</v>
      </c>
      <c r="I1011" s="5">
        <f t="shared" ca="1" si="47"/>
        <v>-6.4766839378236967E-4</v>
      </c>
      <c r="J1011" s="16"/>
    </row>
    <row r="1012" spans="1:10" x14ac:dyDescent="0.2">
      <c r="A1012" s="3">
        <v>43745</v>
      </c>
      <c r="B1012" s="1">
        <f ca="1">IFERROR(__xludf.DUMMYFUNCTION("""COMPUTED_VALUE"""),15.32)</f>
        <v>15.32</v>
      </c>
      <c r="C1012" s="1">
        <f ca="1">IFERROR(__xludf.DUMMYFUNCTION("""COMPUTED_VALUE"""),15.9)</f>
        <v>15.9</v>
      </c>
      <c r="D1012" s="1">
        <f ca="1">IFERROR(__xludf.DUMMYFUNCTION("""COMPUTED_VALUE"""),15.24)</f>
        <v>15.24</v>
      </c>
      <c r="E1012" s="1">
        <f ca="1">IFERROR(__xludf.DUMMYFUNCTION("""COMPUTED_VALUE"""),15.85)</f>
        <v>15.85</v>
      </c>
      <c r="F1012" s="1">
        <f ca="1">IFERROR(__xludf.DUMMYFUNCTION("""COMPUTED_VALUE"""),8086957)</f>
        <v>8086957</v>
      </c>
      <c r="G1012" s="5">
        <f t="shared" ca="1" si="45"/>
        <v>9.4637223974763634E-3</v>
      </c>
      <c r="H1012" s="14">
        <f t="shared" si="46"/>
        <v>2019</v>
      </c>
      <c r="I1012" s="5">
        <f t="shared" ca="1" si="47"/>
        <v>3.4595300261096563E-2</v>
      </c>
      <c r="J1012" s="16"/>
    </row>
    <row r="1013" spans="1:10" x14ac:dyDescent="0.2">
      <c r="A1013" s="3">
        <v>43746</v>
      </c>
      <c r="B1013" s="1">
        <f ca="1">IFERROR(__xludf.DUMMYFUNCTION("""COMPUTED_VALUE"""),15.72)</f>
        <v>15.72</v>
      </c>
      <c r="C1013" s="1">
        <f ca="1">IFERROR(__xludf.DUMMYFUNCTION("""COMPUTED_VALUE"""),16.26)</f>
        <v>16.260000000000002</v>
      </c>
      <c r="D1013" s="1">
        <f ca="1">IFERROR(__xludf.DUMMYFUNCTION("""COMPUTED_VALUE"""),15.63)</f>
        <v>15.63</v>
      </c>
      <c r="E1013" s="1">
        <f ca="1">IFERROR(__xludf.DUMMYFUNCTION("""COMPUTED_VALUE"""),16)</f>
        <v>16</v>
      </c>
      <c r="F1013" s="1">
        <f ca="1">IFERROR(__xludf.DUMMYFUNCTION("""COMPUTED_VALUE"""),8702338)</f>
        <v>8702338</v>
      </c>
      <c r="G1013" s="5">
        <f t="shared" ca="1" si="45"/>
        <v>1.8750000000000044E-2</v>
      </c>
      <c r="H1013" s="14">
        <f t="shared" si="46"/>
        <v>2019</v>
      </c>
      <c r="I1013" s="5">
        <f t="shared" ca="1" si="47"/>
        <v>1.7811704834605556E-2</v>
      </c>
      <c r="J1013" s="16"/>
    </row>
    <row r="1014" spans="1:10" x14ac:dyDescent="0.2">
      <c r="A1014" s="3">
        <v>43747</v>
      </c>
      <c r="B1014" s="1">
        <f ca="1">IFERROR(__xludf.DUMMYFUNCTION("""COMPUTED_VALUE"""),16.09)</f>
        <v>16.09</v>
      </c>
      <c r="C1014" s="1">
        <f ca="1">IFERROR(__xludf.DUMMYFUNCTION("""COMPUTED_VALUE"""),16.49)</f>
        <v>16.489999999999998</v>
      </c>
      <c r="D1014" s="1">
        <f ca="1">IFERROR(__xludf.DUMMYFUNCTION("""COMPUTED_VALUE"""),16.04)</f>
        <v>16.04</v>
      </c>
      <c r="E1014" s="1">
        <f ca="1">IFERROR(__xludf.DUMMYFUNCTION("""COMPUTED_VALUE"""),16.3)</f>
        <v>16.3</v>
      </c>
      <c r="F1014" s="1">
        <f ca="1">IFERROR(__xludf.DUMMYFUNCTION("""COMPUTED_VALUE"""),6935033)</f>
        <v>6935033</v>
      </c>
      <c r="G1014" s="5">
        <f t="shared" ca="1" si="45"/>
        <v>1.2269938650306487E-3</v>
      </c>
      <c r="H1014" s="14">
        <f t="shared" si="46"/>
        <v>2019</v>
      </c>
      <c r="I1014" s="5">
        <f t="shared" ca="1" si="47"/>
        <v>1.3051584835301482E-2</v>
      </c>
      <c r="J1014" s="16"/>
    </row>
    <row r="1015" spans="1:10" x14ac:dyDescent="0.2">
      <c r="A1015" s="3">
        <v>43748</v>
      </c>
      <c r="B1015" s="1">
        <f ca="1">IFERROR(__xludf.DUMMYFUNCTION("""COMPUTED_VALUE"""),16.35)</f>
        <v>16.350000000000001</v>
      </c>
      <c r="C1015" s="1">
        <f ca="1">IFERROR(__xludf.DUMMYFUNCTION("""COMPUTED_VALUE"""),16.62)</f>
        <v>16.62</v>
      </c>
      <c r="D1015" s="1">
        <f ca="1">IFERROR(__xludf.DUMMYFUNCTION("""COMPUTED_VALUE"""),16.11)</f>
        <v>16.11</v>
      </c>
      <c r="E1015" s="1">
        <f ca="1">IFERROR(__xludf.DUMMYFUNCTION("""COMPUTED_VALUE"""),16.32)</f>
        <v>16.32</v>
      </c>
      <c r="F1015" s="1">
        <f ca="1">IFERROR(__xludf.DUMMYFUNCTION("""COMPUTED_VALUE"""),6313417)</f>
        <v>6313417</v>
      </c>
      <c r="G1015" s="5">
        <f t="shared" ca="1" si="45"/>
        <v>1.2867647058823581E-2</v>
      </c>
      <c r="H1015" s="14">
        <f t="shared" si="46"/>
        <v>2019</v>
      </c>
      <c r="I1015" s="5">
        <f t="shared" ca="1" si="47"/>
        <v>-1.8348623853211702E-3</v>
      </c>
      <c r="J1015" s="16"/>
    </row>
    <row r="1016" spans="1:10" x14ac:dyDescent="0.2">
      <c r="A1016" s="3">
        <v>43749</v>
      </c>
      <c r="B1016" s="1">
        <f ca="1">IFERROR(__xludf.DUMMYFUNCTION("""COMPUTED_VALUE"""),16.48)</f>
        <v>16.48</v>
      </c>
      <c r="C1016" s="1">
        <f ca="1">IFERROR(__xludf.DUMMYFUNCTION("""COMPUTED_VALUE"""),16.74)</f>
        <v>16.739999999999998</v>
      </c>
      <c r="D1016" s="1">
        <f ca="1">IFERROR(__xludf.DUMMYFUNCTION("""COMPUTED_VALUE"""),16.45)</f>
        <v>16.45</v>
      </c>
      <c r="E1016" s="1">
        <f ca="1">IFERROR(__xludf.DUMMYFUNCTION("""COMPUTED_VALUE"""),16.53)</f>
        <v>16.53</v>
      </c>
      <c r="F1016" s="1">
        <f ca="1">IFERROR(__xludf.DUMMYFUNCTION("""COMPUTED_VALUE"""),8488159)</f>
        <v>8488159</v>
      </c>
      <c r="G1016" s="5">
        <f t="shared" ca="1" si="45"/>
        <v>3.6297640653357402E-2</v>
      </c>
      <c r="H1016" s="14">
        <f t="shared" si="46"/>
        <v>2019</v>
      </c>
      <c r="I1016" s="5">
        <f t="shared" ca="1" si="47"/>
        <v>3.0339805825243147E-3</v>
      </c>
      <c r="J1016" s="16"/>
    </row>
    <row r="1017" spans="1:10" x14ac:dyDescent="0.2">
      <c r="A1017" s="3">
        <v>43752</v>
      </c>
      <c r="B1017" s="1">
        <f ca="1">IFERROR(__xludf.DUMMYFUNCTION("""COMPUTED_VALUE"""),16.53)</f>
        <v>16.53</v>
      </c>
      <c r="C1017" s="1">
        <f ca="1">IFERROR(__xludf.DUMMYFUNCTION("""COMPUTED_VALUE"""),17.24)</f>
        <v>17.239999999999998</v>
      </c>
      <c r="D1017" s="1">
        <f ca="1">IFERROR(__xludf.DUMMYFUNCTION("""COMPUTED_VALUE"""),16.48)</f>
        <v>16.48</v>
      </c>
      <c r="E1017" s="1">
        <f ca="1">IFERROR(__xludf.DUMMYFUNCTION("""COMPUTED_VALUE"""),17.13)</f>
        <v>17.13</v>
      </c>
      <c r="F1017" s="1">
        <f ca="1">IFERROR(__xludf.DUMMYFUNCTION("""COMPUTED_VALUE"""),10226863)</f>
        <v>10226863</v>
      </c>
      <c r="G1017" s="5">
        <f t="shared" ca="1" si="45"/>
        <v>3.5026269702278035E-3</v>
      </c>
      <c r="H1017" s="14">
        <f t="shared" si="46"/>
        <v>2019</v>
      </c>
      <c r="I1017" s="5">
        <f t="shared" ca="1" si="47"/>
        <v>3.6297640653357402E-2</v>
      </c>
      <c r="J1017" s="16"/>
    </row>
    <row r="1018" spans="1:10" x14ac:dyDescent="0.2">
      <c r="A1018" s="3">
        <v>43753</v>
      </c>
      <c r="B1018" s="1">
        <f ca="1">IFERROR(__xludf.DUMMYFUNCTION("""COMPUTED_VALUE"""),17.18)</f>
        <v>17.18</v>
      </c>
      <c r="C1018" s="1">
        <f ca="1">IFERROR(__xludf.DUMMYFUNCTION("""COMPUTED_VALUE"""),17.33)</f>
        <v>17.329999999999998</v>
      </c>
      <c r="D1018" s="1">
        <f ca="1">IFERROR(__xludf.DUMMYFUNCTION("""COMPUTED_VALUE"""),16.94)</f>
        <v>16.940000000000001</v>
      </c>
      <c r="E1018" s="1">
        <f ca="1">IFERROR(__xludf.DUMMYFUNCTION("""COMPUTED_VALUE"""),17.19)</f>
        <v>17.190000000000001</v>
      </c>
      <c r="F1018" s="1">
        <f ca="1">IFERROR(__xludf.DUMMYFUNCTION("""COMPUTED_VALUE"""),6479456)</f>
        <v>6479456</v>
      </c>
      <c r="G1018" s="5">
        <f t="shared" ca="1" si="45"/>
        <v>7.5625363583478183E-3</v>
      </c>
      <c r="H1018" s="14">
        <f t="shared" si="46"/>
        <v>2019</v>
      </c>
      <c r="I1018" s="5">
        <f t="shared" ca="1" si="47"/>
        <v>5.8207217695003274E-4</v>
      </c>
      <c r="J1018" s="16"/>
    </row>
    <row r="1019" spans="1:10" x14ac:dyDescent="0.2">
      <c r="A1019" s="3">
        <v>43754</v>
      </c>
      <c r="B1019" s="1">
        <f ca="1">IFERROR(__xludf.DUMMYFUNCTION("""COMPUTED_VALUE"""),17.16)</f>
        <v>17.16</v>
      </c>
      <c r="C1019" s="1">
        <f ca="1">IFERROR(__xludf.DUMMYFUNCTION("""COMPUTED_VALUE"""),17.47)</f>
        <v>17.47</v>
      </c>
      <c r="D1019" s="1">
        <f ca="1">IFERROR(__xludf.DUMMYFUNCTION("""COMPUTED_VALUE"""),17.13)</f>
        <v>17.13</v>
      </c>
      <c r="E1019" s="1">
        <f ca="1">IFERROR(__xludf.DUMMYFUNCTION("""COMPUTED_VALUE"""),17.32)</f>
        <v>17.32</v>
      </c>
      <c r="F1019" s="1">
        <f ca="1">IFERROR(__xludf.DUMMYFUNCTION("""COMPUTED_VALUE"""),6704303)</f>
        <v>6704303</v>
      </c>
      <c r="G1019" s="5">
        <f t="shared" ca="1" si="45"/>
        <v>8.0831408775981859E-3</v>
      </c>
      <c r="H1019" s="14">
        <f t="shared" si="46"/>
        <v>2019</v>
      </c>
      <c r="I1019" s="5">
        <f t="shared" ca="1" si="47"/>
        <v>9.3240093240093327E-3</v>
      </c>
      <c r="J1019" s="16"/>
    </row>
    <row r="1020" spans="1:10" x14ac:dyDescent="0.2">
      <c r="A1020" s="3">
        <v>43755</v>
      </c>
      <c r="B1020" s="1">
        <f ca="1">IFERROR(__xludf.DUMMYFUNCTION("""COMPUTED_VALUE"""),17.5)</f>
        <v>17.5</v>
      </c>
      <c r="C1020" s="1">
        <f ca="1">IFERROR(__xludf.DUMMYFUNCTION("""COMPUTED_VALUE"""),17.65)</f>
        <v>17.649999999999999</v>
      </c>
      <c r="D1020" s="1">
        <f ca="1">IFERROR(__xludf.DUMMYFUNCTION("""COMPUTED_VALUE"""),17.34)</f>
        <v>17.34</v>
      </c>
      <c r="E1020" s="1">
        <f ca="1">IFERROR(__xludf.DUMMYFUNCTION("""COMPUTED_VALUE"""),17.46)</f>
        <v>17.46</v>
      </c>
      <c r="F1020" s="1">
        <f ca="1">IFERROR(__xludf.DUMMYFUNCTION("""COMPUTED_VALUE"""),4779043)</f>
        <v>4779043</v>
      </c>
      <c r="G1020" s="5">
        <f t="shared" ca="1" si="45"/>
        <v>-1.890034364261179E-2</v>
      </c>
      <c r="H1020" s="14">
        <f t="shared" si="46"/>
        <v>2019</v>
      </c>
      <c r="I1020" s="5">
        <f t="shared" ca="1" si="47"/>
        <v>-2.2857142857142369E-3</v>
      </c>
      <c r="J1020" s="16"/>
    </row>
    <row r="1021" spans="1:10" x14ac:dyDescent="0.2">
      <c r="A1021" s="3">
        <v>43756</v>
      </c>
      <c r="B1021" s="1">
        <f ca="1">IFERROR(__xludf.DUMMYFUNCTION("""COMPUTED_VALUE"""),17.38)</f>
        <v>17.38</v>
      </c>
      <c r="C1021" s="1">
        <f ca="1">IFERROR(__xludf.DUMMYFUNCTION("""COMPUTED_VALUE"""),17.52)</f>
        <v>17.52</v>
      </c>
      <c r="D1021" s="1">
        <f ca="1">IFERROR(__xludf.DUMMYFUNCTION("""COMPUTED_VALUE"""),17.01)</f>
        <v>17.010000000000002</v>
      </c>
      <c r="E1021" s="1">
        <f ca="1">IFERROR(__xludf.DUMMYFUNCTION("""COMPUTED_VALUE"""),17.13)</f>
        <v>17.13</v>
      </c>
      <c r="F1021" s="1">
        <f ca="1">IFERROR(__xludf.DUMMYFUNCTION("""COMPUTED_VALUE"""),5753666)</f>
        <v>5753666</v>
      </c>
      <c r="G1021" s="5">
        <f t="shared" ca="1" si="45"/>
        <v>-1.3426736719206097E-2</v>
      </c>
      <c r="H1021" s="14">
        <f t="shared" si="46"/>
        <v>2019</v>
      </c>
      <c r="I1021" s="5">
        <f t="shared" ca="1" si="47"/>
        <v>-1.4384349827387804E-2</v>
      </c>
      <c r="J1021" s="16"/>
    </row>
    <row r="1022" spans="1:10" x14ac:dyDescent="0.2">
      <c r="A1022" s="3">
        <v>43759</v>
      </c>
      <c r="B1022" s="1">
        <f ca="1">IFERROR(__xludf.DUMMYFUNCTION("""COMPUTED_VALUE"""),17.22)</f>
        <v>17.22</v>
      </c>
      <c r="C1022" s="1">
        <f ca="1">IFERROR(__xludf.DUMMYFUNCTION("""COMPUTED_VALUE"""),17.3)</f>
        <v>17.3</v>
      </c>
      <c r="D1022" s="1">
        <f ca="1">IFERROR(__xludf.DUMMYFUNCTION("""COMPUTED_VALUE"""),16.68)</f>
        <v>16.68</v>
      </c>
      <c r="E1022" s="1">
        <f ca="1">IFERROR(__xludf.DUMMYFUNCTION("""COMPUTED_VALUE"""),16.9)</f>
        <v>16.899999999999999</v>
      </c>
      <c r="F1022" s="1">
        <f ca="1">IFERROR(__xludf.DUMMYFUNCTION("""COMPUTED_VALUE"""),5108101)</f>
        <v>5108101</v>
      </c>
      <c r="G1022" s="5">
        <f t="shared" ca="1" si="45"/>
        <v>8.2840236686390883E-3</v>
      </c>
      <c r="H1022" s="14">
        <f t="shared" si="46"/>
        <v>2019</v>
      </c>
      <c r="I1022" s="5">
        <f t="shared" ca="1" si="47"/>
        <v>-1.8583042973286893E-2</v>
      </c>
      <c r="J1022" s="16"/>
    </row>
    <row r="1023" spans="1:10" x14ac:dyDescent="0.2">
      <c r="A1023" s="3">
        <v>43760</v>
      </c>
      <c r="B1023" s="1">
        <f ca="1">IFERROR(__xludf.DUMMYFUNCTION("""COMPUTED_VALUE"""),16.95)</f>
        <v>16.95</v>
      </c>
      <c r="C1023" s="1">
        <f ca="1">IFERROR(__xludf.DUMMYFUNCTION("""COMPUTED_VALUE"""),17.22)</f>
        <v>17.22</v>
      </c>
      <c r="D1023" s="1">
        <f ca="1">IFERROR(__xludf.DUMMYFUNCTION("""COMPUTED_VALUE"""),16.72)</f>
        <v>16.72</v>
      </c>
      <c r="E1023" s="1">
        <f ca="1">IFERROR(__xludf.DUMMYFUNCTION("""COMPUTED_VALUE"""),17.04)</f>
        <v>17.04</v>
      </c>
      <c r="F1023" s="1">
        <f ca="1">IFERROR(__xludf.DUMMYFUNCTION("""COMPUTED_VALUE"""),4625095)</f>
        <v>4625095</v>
      </c>
      <c r="G1023" s="5">
        <f t="shared" ca="1" si="45"/>
        <v>-3.5211267605633053E-3</v>
      </c>
      <c r="H1023" s="14">
        <f t="shared" si="46"/>
        <v>2019</v>
      </c>
      <c r="I1023" s="5">
        <f t="shared" ca="1" si="47"/>
        <v>5.3097345132743284E-3</v>
      </c>
      <c r="J1023" s="16"/>
    </row>
    <row r="1024" spans="1:10" x14ac:dyDescent="0.2">
      <c r="A1024" s="3">
        <v>43761</v>
      </c>
      <c r="B1024" s="1">
        <f ca="1">IFERROR(__xludf.DUMMYFUNCTION("""COMPUTED_VALUE"""),16.97)</f>
        <v>16.97</v>
      </c>
      <c r="C1024" s="1">
        <f ca="1">IFERROR(__xludf.DUMMYFUNCTION("""COMPUTED_VALUE"""),17.08)</f>
        <v>17.079999999999998</v>
      </c>
      <c r="D1024" s="1">
        <f ca="1">IFERROR(__xludf.DUMMYFUNCTION("""COMPUTED_VALUE"""),16.76)</f>
        <v>16.760000000000002</v>
      </c>
      <c r="E1024" s="1">
        <f ca="1">IFERROR(__xludf.DUMMYFUNCTION("""COMPUTED_VALUE"""),16.98)</f>
        <v>16.98</v>
      </c>
      <c r="F1024" s="1">
        <f ca="1">IFERROR(__xludf.DUMMYFUNCTION("""COMPUTED_VALUE"""),11216182)</f>
        <v>11216182</v>
      </c>
      <c r="G1024" s="5">
        <f t="shared" ca="1" si="45"/>
        <v>0.17667844522968199</v>
      </c>
      <c r="H1024" s="14">
        <f t="shared" si="46"/>
        <v>2019</v>
      </c>
      <c r="I1024" s="5">
        <f t="shared" ca="1" si="47"/>
        <v>5.8927519151452939E-4</v>
      </c>
      <c r="J1024" s="16"/>
    </row>
    <row r="1025" spans="1:10" x14ac:dyDescent="0.2">
      <c r="A1025" s="3">
        <v>43762</v>
      </c>
      <c r="B1025" s="1">
        <f ca="1">IFERROR(__xludf.DUMMYFUNCTION("""COMPUTED_VALUE"""),19.89)</f>
        <v>19.89</v>
      </c>
      <c r="C1025" s="1">
        <f ca="1">IFERROR(__xludf.DUMMYFUNCTION("""COMPUTED_VALUE"""),20.33)</f>
        <v>20.329999999999998</v>
      </c>
      <c r="D1025" s="1">
        <f ca="1">IFERROR(__xludf.DUMMYFUNCTION("""COMPUTED_VALUE"""),19.28)</f>
        <v>19.28</v>
      </c>
      <c r="E1025" s="1">
        <f ca="1">IFERROR(__xludf.DUMMYFUNCTION("""COMPUTED_VALUE"""),19.98)</f>
        <v>19.98</v>
      </c>
      <c r="F1025" s="1">
        <f ca="1">IFERROR(__xludf.DUMMYFUNCTION("""COMPUTED_VALUE"""),29819231)</f>
        <v>29819231</v>
      </c>
      <c r="G1025" s="5">
        <f t="shared" ca="1" si="45"/>
        <v>9.509509509509502E-2</v>
      </c>
      <c r="H1025" s="14">
        <f t="shared" si="46"/>
        <v>2019</v>
      </c>
      <c r="I1025" s="5">
        <f t="shared" ca="1" si="47"/>
        <v>4.5248868778280469E-3</v>
      </c>
      <c r="J1025" s="16"/>
    </row>
    <row r="1026" spans="1:10" x14ac:dyDescent="0.2">
      <c r="A1026" s="3">
        <v>43763</v>
      </c>
      <c r="B1026" s="1">
        <f ca="1">IFERROR(__xludf.DUMMYFUNCTION("""COMPUTED_VALUE"""),19.85)</f>
        <v>19.850000000000001</v>
      </c>
      <c r="C1026" s="1">
        <f ca="1">IFERROR(__xludf.DUMMYFUNCTION("""COMPUTED_VALUE"""),22)</f>
        <v>22</v>
      </c>
      <c r="D1026" s="1">
        <f ca="1">IFERROR(__xludf.DUMMYFUNCTION("""COMPUTED_VALUE"""),19.74)</f>
        <v>19.739999999999998</v>
      </c>
      <c r="E1026" s="1">
        <f ca="1">IFERROR(__xludf.DUMMYFUNCTION("""COMPUTED_VALUE"""),21.88)</f>
        <v>21.88</v>
      </c>
      <c r="F1026" s="1">
        <f ca="1">IFERROR(__xludf.DUMMYFUNCTION("""COMPUTED_VALUE"""),30006091)</f>
        <v>30006091</v>
      </c>
      <c r="G1026" s="5">
        <f t="shared" ca="1" si="45"/>
        <v>-1.3711151736744782E-3</v>
      </c>
      <c r="H1026" s="14">
        <f t="shared" si="46"/>
        <v>2019</v>
      </c>
      <c r="I1026" s="5">
        <f t="shared" ca="1" si="47"/>
        <v>0.10226700251889156</v>
      </c>
      <c r="J1026" s="16"/>
    </row>
    <row r="1027" spans="1:10" x14ac:dyDescent="0.2">
      <c r="A1027" s="3">
        <v>43766</v>
      </c>
      <c r="B1027" s="1">
        <f ca="1">IFERROR(__xludf.DUMMYFUNCTION("""COMPUTED_VALUE"""),21.84)</f>
        <v>21.84</v>
      </c>
      <c r="C1027" s="1">
        <f ca="1">IFERROR(__xludf.DUMMYFUNCTION("""COMPUTED_VALUE"""),22.72)</f>
        <v>22.72</v>
      </c>
      <c r="D1027" s="1">
        <f ca="1">IFERROR(__xludf.DUMMYFUNCTION("""COMPUTED_VALUE"""),21.51)</f>
        <v>21.51</v>
      </c>
      <c r="E1027" s="1">
        <f ca="1">IFERROR(__xludf.DUMMYFUNCTION("""COMPUTED_VALUE"""),21.85)</f>
        <v>21.85</v>
      </c>
      <c r="F1027" s="1">
        <f ca="1">IFERROR(__xludf.DUMMYFUNCTION("""COMPUTED_VALUE"""),18870286)</f>
        <v>18870286</v>
      </c>
      <c r="G1027" s="5">
        <f t="shared" ref="G1027:G1090" ca="1" si="48">(E1028-E1027)/E1027</f>
        <v>-3.5240274599542473E-2</v>
      </c>
      <c r="H1027" s="14">
        <f t="shared" ref="H1027:H1090" si="49">YEAR(A1027)</f>
        <v>2019</v>
      </c>
      <c r="I1027" s="5">
        <f t="shared" ref="I1027:I1090" ca="1" si="50">((E1027 - B1027) / B1027)</f>
        <v>4.5787545787552943E-4</v>
      </c>
      <c r="J1027" s="16"/>
    </row>
    <row r="1028" spans="1:10" x14ac:dyDescent="0.2">
      <c r="A1028" s="3">
        <v>43767</v>
      </c>
      <c r="B1028" s="1">
        <f ca="1">IFERROR(__xludf.DUMMYFUNCTION("""COMPUTED_VALUE"""),21.33)</f>
        <v>21.33</v>
      </c>
      <c r="C1028" s="1">
        <f ca="1">IFERROR(__xludf.DUMMYFUNCTION("""COMPUTED_VALUE"""),21.62)</f>
        <v>21.62</v>
      </c>
      <c r="D1028" s="1">
        <f ca="1">IFERROR(__xludf.DUMMYFUNCTION("""COMPUTED_VALUE"""),20.98)</f>
        <v>20.98</v>
      </c>
      <c r="E1028" s="1">
        <f ca="1">IFERROR(__xludf.DUMMYFUNCTION("""COMPUTED_VALUE"""),21.08)</f>
        <v>21.08</v>
      </c>
      <c r="F1028" s="1">
        <f ca="1">IFERROR(__xludf.DUMMYFUNCTION("""COMPUTED_VALUE"""),12684267)</f>
        <v>12684267</v>
      </c>
      <c r="G1028" s="5">
        <f t="shared" ca="1" si="48"/>
        <v>-3.7950664136621585E-3</v>
      </c>
      <c r="H1028" s="14">
        <f t="shared" si="49"/>
        <v>2019</v>
      </c>
      <c r="I1028" s="5">
        <f t="shared" ca="1" si="50"/>
        <v>-1.1720581340834505E-2</v>
      </c>
      <c r="J1028" s="16"/>
    </row>
    <row r="1029" spans="1:10" x14ac:dyDescent="0.2">
      <c r="A1029" s="3">
        <v>43768</v>
      </c>
      <c r="B1029" s="1">
        <f ca="1">IFERROR(__xludf.DUMMYFUNCTION("""COMPUTED_VALUE"""),20.87)</f>
        <v>20.87</v>
      </c>
      <c r="C1029" s="1">
        <f ca="1">IFERROR(__xludf.DUMMYFUNCTION("""COMPUTED_VALUE"""),21.25)</f>
        <v>21.25</v>
      </c>
      <c r="D1029" s="1">
        <f ca="1">IFERROR(__xludf.DUMMYFUNCTION("""COMPUTED_VALUE"""),20.66)</f>
        <v>20.66</v>
      </c>
      <c r="E1029" s="1">
        <f ca="1">IFERROR(__xludf.DUMMYFUNCTION("""COMPUTED_VALUE"""),21)</f>
        <v>21</v>
      </c>
      <c r="F1029" s="1">
        <f ca="1">IFERROR(__xludf.DUMMYFUNCTION("""COMPUTED_VALUE"""),9641810)</f>
        <v>9641810</v>
      </c>
      <c r="G1029" s="5">
        <f t="shared" ca="1" si="48"/>
        <v>-4.7619047619055062E-4</v>
      </c>
      <c r="H1029" s="14">
        <f t="shared" si="49"/>
        <v>2019</v>
      </c>
      <c r="I1029" s="5">
        <f t="shared" ca="1" si="50"/>
        <v>6.2290368950646382E-3</v>
      </c>
      <c r="J1029" s="16"/>
    </row>
    <row r="1030" spans="1:10" x14ac:dyDescent="0.2">
      <c r="A1030" s="3">
        <v>43769</v>
      </c>
      <c r="B1030" s="1">
        <f ca="1">IFERROR(__xludf.DUMMYFUNCTION("""COMPUTED_VALUE"""),20.87)</f>
        <v>20.87</v>
      </c>
      <c r="C1030" s="1">
        <f ca="1">IFERROR(__xludf.DUMMYFUNCTION("""COMPUTED_VALUE"""),21.27)</f>
        <v>21.27</v>
      </c>
      <c r="D1030" s="1">
        <f ca="1">IFERROR(__xludf.DUMMYFUNCTION("""COMPUTED_VALUE"""),20.87)</f>
        <v>20.87</v>
      </c>
      <c r="E1030" s="1">
        <f ca="1">IFERROR(__xludf.DUMMYFUNCTION("""COMPUTED_VALUE"""),20.99)</f>
        <v>20.99</v>
      </c>
      <c r="F1030" s="1">
        <f ca="1">IFERROR(__xludf.DUMMYFUNCTION("""COMPUTED_VALUE"""),5066956)</f>
        <v>5066956</v>
      </c>
      <c r="G1030" s="5">
        <f t="shared" ca="1" si="48"/>
        <v>-4.7641734159122378E-3</v>
      </c>
      <c r="H1030" s="14">
        <f t="shared" si="49"/>
        <v>2019</v>
      </c>
      <c r="I1030" s="5">
        <f t="shared" ca="1" si="50"/>
        <v>5.7498802108288186E-3</v>
      </c>
      <c r="J1030" s="16"/>
    </row>
    <row r="1031" spans="1:10" x14ac:dyDescent="0.2">
      <c r="A1031" s="3">
        <v>43770</v>
      </c>
      <c r="B1031" s="1">
        <f ca="1">IFERROR(__xludf.DUMMYFUNCTION("""COMPUTED_VALUE"""),21.09)</f>
        <v>21.09</v>
      </c>
      <c r="C1031" s="1">
        <f ca="1">IFERROR(__xludf.DUMMYFUNCTION("""COMPUTED_VALUE"""),21.1)</f>
        <v>21.1</v>
      </c>
      <c r="D1031" s="1">
        <f ca="1">IFERROR(__xludf.DUMMYFUNCTION("""COMPUTED_VALUE"""),20.65)</f>
        <v>20.65</v>
      </c>
      <c r="E1031" s="1">
        <f ca="1">IFERROR(__xludf.DUMMYFUNCTION("""COMPUTED_VALUE"""),20.89)</f>
        <v>20.89</v>
      </c>
      <c r="F1031" s="1">
        <f ca="1">IFERROR(__xludf.DUMMYFUNCTION("""COMPUTED_VALUE"""),6383929)</f>
        <v>6383929</v>
      </c>
      <c r="G1031" s="5">
        <f t="shared" ca="1" si="48"/>
        <v>1.292484442316896E-2</v>
      </c>
      <c r="H1031" s="14">
        <f t="shared" si="49"/>
        <v>2019</v>
      </c>
      <c r="I1031" s="5">
        <f t="shared" ca="1" si="50"/>
        <v>-9.4831673779041861E-3</v>
      </c>
      <c r="J1031" s="16"/>
    </row>
    <row r="1032" spans="1:10" x14ac:dyDescent="0.2">
      <c r="A1032" s="3">
        <v>43773</v>
      </c>
      <c r="B1032" s="1">
        <f ca="1">IFERROR(__xludf.DUMMYFUNCTION("""COMPUTED_VALUE"""),20.99)</f>
        <v>20.99</v>
      </c>
      <c r="C1032" s="1">
        <f ca="1">IFERROR(__xludf.DUMMYFUNCTION("""COMPUTED_VALUE"""),21.46)</f>
        <v>21.46</v>
      </c>
      <c r="D1032" s="1">
        <f ca="1">IFERROR(__xludf.DUMMYFUNCTION("""COMPUTED_VALUE"""),20.62)</f>
        <v>20.62</v>
      </c>
      <c r="E1032" s="1">
        <f ca="1">IFERROR(__xludf.DUMMYFUNCTION("""COMPUTED_VALUE"""),21.16)</f>
        <v>21.16</v>
      </c>
      <c r="F1032" s="1">
        <f ca="1">IFERROR(__xludf.DUMMYFUNCTION("""COMPUTED_VALUE"""),8787040)</f>
        <v>8787040</v>
      </c>
      <c r="G1032" s="5">
        <f t="shared" ca="1" si="48"/>
        <v>-4.7258979206056534E-4</v>
      </c>
      <c r="H1032" s="14">
        <f t="shared" si="49"/>
        <v>2019</v>
      </c>
      <c r="I1032" s="5">
        <f t="shared" ca="1" si="50"/>
        <v>8.0990948070510591E-3</v>
      </c>
      <c r="J1032" s="16"/>
    </row>
    <row r="1033" spans="1:10" x14ac:dyDescent="0.2">
      <c r="A1033" s="3">
        <v>43774</v>
      </c>
      <c r="B1033" s="1">
        <f ca="1">IFERROR(__xludf.DUMMYFUNCTION("""COMPUTED_VALUE"""),21.31)</f>
        <v>21.31</v>
      </c>
      <c r="C1033" s="1">
        <f ca="1">IFERROR(__xludf.DUMMYFUNCTION("""COMPUTED_VALUE"""),21.57)</f>
        <v>21.57</v>
      </c>
      <c r="D1033" s="1">
        <f ca="1">IFERROR(__xludf.DUMMYFUNCTION("""COMPUTED_VALUE"""),21.07)</f>
        <v>21.07</v>
      </c>
      <c r="E1033" s="1">
        <f ca="1">IFERROR(__xludf.DUMMYFUNCTION("""COMPUTED_VALUE"""),21.15)</f>
        <v>21.15</v>
      </c>
      <c r="F1033" s="1">
        <f ca="1">IFERROR(__xludf.DUMMYFUNCTION("""COMPUTED_VALUE"""),6943417)</f>
        <v>6943417</v>
      </c>
      <c r="G1033" s="5">
        <f t="shared" ca="1" si="48"/>
        <v>2.9314420803782555E-2</v>
      </c>
      <c r="H1033" s="14">
        <f t="shared" si="49"/>
        <v>2019</v>
      </c>
      <c r="I1033" s="5">
        <f t="shared" ca="1" si="50"/>
        <v>-7.50821210699203E-3</v>
      </c>
      <c r="J1033" s="16"/>
    </row>
    <row r="1034" spans="1:10" x14ac:dyDescent="0.2">
      <c r="A1034" s="3">
        <v>43775</v>
      </c>
      <c r="B1034" s="1">
        <f ca="1">IFERROR(__xludf.DUMMYFUNCTION("""COMPUTED_VALUE"""),21.2)</f>
        <v>21.2</v>
      </c>
      <c r="C1034" s="1">
        <f ca="1">IFERROR(__xludf.DUMMYFUNCTION("""COMPUTED_VALUE"""),21.78)</f>
        <v>21.78</v>
      </c>
      <c r="D1034" s="1">
        <f ca="1">IFERROR(__xludf.DUMMYFUNCTION("""COMPUTED_VALUE"""),20.97)</f>
        <v>20.97</v>
      </c>
      <c r="E1034" s="1">
        <f ca="1">IFERROR(__xludf.DUMMYFUNCTION("""COMPUTED_VALUE"""),21.77)</f>
        <v>21.77</v>
      </c>
      <c r="F1034" s="1">
        <f ca="1">IFERROR(__xludf.DUMMYFUNCTION("""COMPUTED_VALUE"""),7940932)</f>
        <v>7940932</v>
      </c>
      <c r="G1034" s="5">
        <f t="shared" ca="1" si="48"/>
        <v>2.7560863573725374E-2</v>
      </c>
      <c r="H1034" s="14">
        <f t="shared" si="49"/>
        <v>2019</v>
      </c>
      <c r="I1034" s="5">
        <f t="shared" ca="1" si="50"/>
        <v>2.6886792452830204E-2</v>
      </c>
      <c r="J1034" s="16"/>
    </row>
    <row r="1035" spans="1:10" x14ac:dyDescent="0.2">
      <c r="A1035" s="3">
        <v>43776</v>
      </c>
      <c r="B1035" s="1">
        <f ca="1">IFERROR(__xludf.DUMMYFUNCTION("""COMPUTED_VALUE"""),21.94)</f>
        <v>21.94</v>
      </c>
      <c r="C1035" s="1">
        <f ca="1">IFERROR(__xludf.DUMMYFUNCTION("""COMPUTED_VALUE"""),22.77)</f>
        <v>22.77</v>
      </c>
      <c r="D1035" s="1">
        <f ca="1">IFERROR(__xludf.DUMMYFUNCTION("""COMPUTED_VALUE"""),21.87)</f>
        <v>21.87</v>
      </c>
      <c r="E1035" s="1">
        <f ca="1">IFERROR(__xludf.DUMMYFUNCTION("""COMPUTED_VALUE"""),22.37)</f>
        <v>22.37</v>
      </c>
      <c r="F1035" s="1">
        <f ca="1">IFERROR(__xludf.DUMMYFUNCTION("""COMPUTED_VALUE"""),14467348)</f>
        <v>14467348</v>
      </c>
      <c r="G1035" s="5">
        <f t="shared" ca="1" si="48"/>
        <v>4.9172999552972475E-3</v>
      </c>
      <c r="H1035" s="14">
        <f t="shared" si="49"/>
        <v>2019</v>
      </c>
      <c r="I1035" s="5">
        <f t="shared" ca="1" si="50"/>
        <v>1.9598906107566077E-2</v>
      </c>
      <c r="J1035" s="16"/>
    </row>
    <row r="1036" spans="1:10" x14ac:dyDescent="0.2">
      <c r="A1036" s="3">
        <v>43777</v>
      </c>
      <c r="B1036" s="1">
        <f ca="1">IFERROR(__xludf.DUMMYFUNCTION("""COMPUTED_VALUE"""),22.3)</f>
        <v>22.3</v>
      </c>
      <c r="C1036" s="1">
        <f ca="1">IFERROR(__xludf.DUMMYFUNCTION("""COMPUTED_VALUE"""),22.5)</f>
        <v>22.5</v>
      </c>
      <c r="D1036" s="1">
        <f ca="1">IFERROR(__xludf.DUMMYFUNCTION("""COMPUTED_VALUE"""),22.17)</f>
        <v>22.17</v>
      </c>
      <c r="E1036" s="1">
        <f ca="1">IFERROR(__xludf.DUMMYFUNCTION("""COMPUTED_VALUE"""),22.48)</f>
        <v>22.48</v>
      </c>
      <c r="F1036" s="1">
        <f ca="1">IFERROR(__xludf.DUMMYFUNCTION("""COMPUTED_VALUE"""),6074221)</f>
        <v>6074221</v>
      </c>
      <c r="G1036" s="5">
        <f t="shared" ca="1" si="48"/>
        <v>2.3576512455516063E-2</v>
      </c>
      <c r="H1036" s="14">
        <f t="shared" si="49"/>
        <v>2019</v>
      </c>
      <c r="I1036" s="5">
        <f t="shared" ca="1" si="50"/>
        <v>8.0717488789237533E-3</v>
      </c>
      <c r="J1036" s="16"/>
    </row>
    <row r="1037" spans="1:10" x14ac:dyDescent="0.2">
      <c r="A1037" s="3">
        <v>43780</v>
      </c>
      <c r="B1037" s="1">
        <f ca="1">IFERROR(__xludf.DUMMYFUNCTION("""COMPUTED_VALUE"""),22.93)</f>
        <v>22.93</v>
      </c>
      <c r="C1037" s="1">
        <f ca="1">IFERROR(__xludf.DUMMYFUNCTION("""COMPUTED_VALUE"""),23.28)</f>
        <v>23.28</v>
      </c>
      <c r="D1037" s="1">
        <f ca="1">IFERROR(__xludf.DUMMYFUNCTION("""COMPUTED_VALUE"""),22.8)</f>
        <v>22.8</v>
      </c>
      <c r="E1037" s="1">
        <f ca="1">IFERROR(__xludf.DUMMYFUNCTION("""COMPUTED_VALUE"""),23.01)</f>
        <v>23.01</v>
      </c>
      <c r="F1037" s="1">
        <f ca="1">IFERROR(__xludf.DUMMYFUNCTION("""COMPUTED_VALUE"""),9993689)</f>
        <v>9993689</v>
      </c>
      <c r="G1037" s="5">
        <f t="shared" ca="1" si="48"/>
        <v>1.3906996957844272E-2</v>
      </c>
      <c r="H1037" s="14">
        <f t="shared" si="49"/>
        <v>2019</v>
      </c>
      <c r="I1037" s="5">
        <f t="shared" ca="1" si="50"/>
        <v>3.4888791975578653E-3</v>
      </c>
      <c r="J1037" s="16"/>
    </row>
    <row r="1038" spans="1:10" x14ac:dyDescent="0.2">
      <c r="A1038" s="3">
        <v>43781</v>
      </c>
      <c r="B1038" s="1">
        <f ca="1">IFERROR(__xludf.DUMMYFUNCTION("""COMPUTED_VALUE"""),23.13)</f>
        <v>23.13</v>
      </c>
      <c r="C1038" s="1">
        <f ca="1">IFERROR(__xludf.DUMMYFUNCTION("""COMPUTED_VALUE"""),23.36)</f>
        <v>23.36</v>
      </c>
      <c r="D1038" s="1">
        <f ca="1">IFERROR(__xludf.DUMMYFUNCTION("""COMPUTED_VALUE"""),22.94)</f>
        <v>22.94</v>
      </c>
      <c r="E1038" s="1">
        <f ca="1">IFERROR(__xludf.DUMMYFUNCTION("""COMPUTED_VALUE"""),23.33)</f>
        <v>23.33</v>
      </c>
      <c r="F1038" s="1">
        <f ca="1">IFERROR(__xludf.DUMMYFUNCTION("""COMPUTED_VALUE"""),7359383)</f>
        <v>7359383</v>
      </c>
      <c r="G1038" s="5">
        <f t="shared" ca="1" si="48"/>
        <v>-1.1144449207029491E-2</v>
      </c>
      <c r="H1038" s="14">
        <f t="shared" si="49"/>
        <v>2019</v>
      </c>
      <c r="I1038" s="5">
        <f t="shared" ca="1" si="50"/>
        <v>8.6467790747946083E-3</v>
      </c>
      <c r="J1038" s="16"/>
    </row>
    <row r="1039" spans="1:10" x14ac:dyDescent="0.2">
      <c r="A1039" s="3">
        <v>43782</v>
      </c>
      <c r="B1039" s="1">
        <f ca="1">IFERROR(__xludf.DUMMYFUNCTION("""COMPUTED_VALUE"""),23.67)</f>
        <v>23.67</v>
      </c>
      <c r="C1039" s="1">
        <f ca="1">IFERROR(__xludf.DUMMYFUNCTION("""COMPUTED_VALUE"""),23.76)</f>
        <v>23.76</v>
      </c>
      <c r="D1039" s="1">
        <f ca="1">IFERROR(__xludf.DUMMYFUNCTION("""COMPUTED_VALUE"""),23.01)</f>
        <v>23.01</v>
      </c>
      <c r="E1039" s="1">
        <f ca="1">IFERROR(__xludf.DUMMYFUNCTION("""COMPUTED_VALUE"""),23.07)</f>
        <v>23.07</v>
      </c>
      <c r="F1039" s="1">
        <f ca="1">IFERROR(__xludf.DUMMYFUNCTION("""COMPUTED_VALUE"""),8467863)</f>
        <v>8467863</v>
      </c>
      <c r="G1039" s="5">
        <f t="shared" ca="1" si="48"/>
        <v>9.5361941915907619E-3</v>
      </c>
      <c r="H1039" s="14">
        <f t="shared" si="49"/>
        <v>2019</v>
      </c>
      <c r="I1039" s="5">
        <f t="shared" ca="1" si="50"/>
        <v>-2.5348542458808677E-2</v>
      </c>
      <c r="J1039" s="16"/>
    </row>
    <row r="1040" spans="1:10" x14ac:dyDescent="0.2">
      <c r="A1040" s="3">
        <v>43783</v>
      </c>
      <c r="B1040" s="1">
        <f ca="1">IFERROR(__xludf.DUMMYFUNCTION("""COMPUTED_VALUE"""),23.07)</f>
        <v>23.07</v>
      </c>
      <c r="C1040" s="1">
        <f ca="1">IFERROR(__xludf.DUMMYFUNCTION("""COMPUTED_VALUE"""),23.59)</f>
        <v>23.59</v>
      </c>
      <c r="D1040" s="1">
        <f ca="1">IFERROR(__xludf.DUMMYFUNCTION("""COMPUTED_VALUE"""),22.86)</f>
        <v>22.86</v>
      </c>
      <c r="E1040" s="1">
        <f ca="1">IFERROR(__xludf.DUMMYFUNCTION("""COMPUTED_VALUE"""),23.29)</f>
        <v>23.29</v>
      </c>
      <c r="F1040" s="1">
        <f ca="1">IFERROR(__xludf.DUMMYFUNCTION("""COMPUTED_VALUE"""),6471703)</f>
        <v>6471703</v>
      </c>
      <c r="G1040" s="5">
        <f t="shared" ca="1" si="48"/>
        <v>8.1580077286389566E-3</v>
      </c>
      <c r="H1040" s="14">
        <f t="shared" si="49"/>
        <v>2019</v>
      </c>
      <c r="I1040" s="5">
        <f t="shared" ca="1" si="50"/>
        <v>9.5361941915907619E-3</v>
      </c>
      <c r="J1040" s="16"/>
    </row>
    <row r="1041" spans="1:10" x14ac:dyDescent="0.2">
      <c r="A1041" s="3">
        <v>43784</v>
      </c>
      <c r="B1041" s="1">
        <f ca="1">IFERROR(__xludf.DUMMYFUNCTION("""COMPUTED_VALUE"""),23.38)</f>
        <v>23.38</v>
      </c>
      <c r="C1041" s="1">
        <f ca="1">IFERROR(__xludf.DUMMYFUNCTION("""COMPUTED_VALUE"""),23.52)</f>
        <v>23.52</v>
      </c>
      <c r="D1041" s="1">
        <f ca="1">IFERROR(__xludf.DUMMYFUNCTION("""COMPUTED_VALUE"""),23.22)</f>
        <v>23.22</v>
      </c>
      <c r="E1041" s="1">
        <f ca="1">IFERROR(__xludf.DUMMYFUNCTION("""COMPUTED_VALUE"""),23.48)</f>
        <v>23.48</v>
      </c>
      <c r="F1041" s="1">
        <f ca="1">IFERROR(__xludf.DUMMYFUNCTION("""COMPUTED_VALUE"""),4812563)</f>
        <v>4812563</v>
      </c>
      <c r="G1041" s="5">
        <f t="shared" ca="1" si="48"/>
        <v>-6.3884156729132084E-3</v>
      </c>
      <c r="H1041" s="14">
        <f t="shared" si="49"/>
        <v>2019</v>
      </c>
      <c r="I1041" s="5">
        <f t="shared" ca="1" si="50"/>
        <v>4.277159965782781E-3</v>
      </c>
      <c r="J1041" s="16"/>
    </row>
    <row r="1042" spans="1:10" x14ac:dyDescent="0.2">
      <c r="A1042" s="3">
        <v>43787</v>
      </c>
      <c r="B1042" s="1">
        <f ca="1">IFERROR(__xludf.DUMMYFUNCTION("""COMPUTED_VALUE"""),23.53)</f>
        <v>23.53</v>
      </c>
      <c r="C1042" s="1">
        <f ca="1">IFERROR(__xludf.DUMMYFUNCTION("""COMPUTED_VALUE"""),23.54)</f>
        <v>23.54</v>
      </c>
      <c r="D1042" s="1">
        <f ca="1">IFERROR(__xludf.DUMMYFUNCTION("""COMPUTED_VALUE"""),23.07)</f>
        <v>23.07</v>
      </c>
      <c r="E1042" s="1">
        <f ca="1">IFERROR(__xludf.DUMMYFUNCTION("""COMPUTED_VALUE"""),23.33)</f>
        <v>23.33</v>
      </c>
      <c r="F1042" s="1">
        <f ca="1">IFERROR(__xludf.DUMMYFUNCTION("""COMPUTED_VALUE"""),4408505)</f>
        <v>4408505</v>
      </c>
      <c r="G1042" s="5">
        <f t="shared" ca="1" si="48"/>
        <v>2.7432490355765136E-2</v>
      </c>
      <c r="H1042" s="14">
        <f t="shared" si="49"/>
        <v>2019</v>
      </c>
      <c r="I1042" s="5">
        <f t="shared" ca="1" si="50"/>
        <v>-8.499787505312488E-3</v>
      </c>
      <c r="J1042" s="16"/>
    </row>
    <row r="1043" spans="1:10" x14ac:dyDescent="0.2">
      <c r="A1043" s="3">
        <v>43788</v>
      </c>
      <c r="B1043" s="1">
        <f ca="1">IFERROR(__xludf.DUMMYFUNCTION("""COMPUTED_VALUE"""),23.45)</f>
        <v>23.45</v>
      </c>
      <c r="C1043" s="1">
        <f ca="1">IFERROR(__xludf.DUMMYFUNCTION("""COMPUTED_VALUE"""),24)</f>
        <v>24</v>
      </c>
      <c r="D1043" s="1">
        <f ca="1">IFERROR(__xludf.DUMMYFUNCTION("""COMPUTED_VALUE"""),23.19)</f>
        <v>23.19</v>
      </c>
      <c r="E1043" s="1">
        <f ca="1">IFERROR(__xludf.DUMMYFUNCTION("""COMPUTED_VALUE"""),23.97)</f>
        <v>23.97</v>
      </c>
      <c r="F1043" s="1">
        <f ca="1">IFERROR(__xludf.DUMMYFUNCTION("""COMPUTED_VALUE"""),7736078)</f>
        <v>7736078</v>
      </c>
      <c r="G1043" s="5">
        <f t="shared" ca="1" si="48"/>
        <v>-2.0442219440967812E-2</v>
      </c>
      <c r="H1043" s="14">
        <f t="shared" si="49"/>
        <v>2019</v>
      </c>
      <c r="I1043" s="5">
        <f t="shared" ca="1" si="50"/>
        <v>2.217484008528783E-2</v>
      </c>
      <c r="J1043" s="16"/>
    </row>
    <row r="1044" spans="1:10" x14ac:dyDescent="0.2">
      <c r="A1044" s="3">
        <v>43789</v>
      </c>
      <c r="B1044" s="1">
        <f ca="1">IFERROR(__xludf.DUMMYFUNCTION("""COMPUTED_VALUE"""),24)</f>
        <v>24</v>
      </c>
      <c r="C1044" s="1">
        <f ca="1">IFERROR(__xludf.DUMMYFUNCTION("""COMPUTED_VALUE"""),24.08)</f>
        <v>24.08</v>
      </c>
      <c r="D1044" s="1">
        <f ca="1">IFERROR(__xludf.DUMMYFUNCTION("""COMPUTED_VALUE"""),23.3)</f>
        <v>23.3</v>
      </c>
      <c r="E1044" s="1">
        <f ca="1">IFERROR(__xludf.DUMMYFUNCTION("""COMPUTED_VALUE"""),23.48)</f>
        <v>23.48</v>
      </c>
      <c r="F1044" s="1">
        <f ca="1">IFERROR(__xludf.DUMMYFUNCTION("""COMPUTED_VALUE"""),6733965)</f>
        <v>6733965</v>
      </c>
      <c r="G1044" s="5">
        <f t="shared" ca="1" si="48"/>
        <v>7.6660988074957288E-3</v>
      </c>
      <c r="H1044" s="14">
        <f t="shared" si="49"/>
        <v>2019</v>
      </c>
      <c r="I1044" s="5">
        <f t="shared" ca="1" si="50"/>
        <v>-2.166666666666665E-2</v>
      </c>
      <c r="J1044" s="16"/>
    </row>
    <row r="1045" spans="1:10" x14ac:dyDescent="0.2">
      <c r="A1045" s="3">
        <v>43790</v>
      </c>
      <c r="B1045" s="1">
        <f ca="1">IFERROR(__xludf.DUMMYFUNCTION("""COMPUTED_VALUE"""),23.63)</f>
        <v>23.63</v>
      </c>
      <c r="C1045" s="1">
        <f ca="1">IFERROR(__xludf.DUMMYFUNCTION("""COMPUTED_VALUE"""),24.06)</f>
        <v>24.06</v>
      </c>
      <c r="D1045" s="1">
        <f ca="1">IFERROR(__xludf.DUMMYFUNCTION("""COMPUTED_VALUE"""),23.6)</f>
        <v>23.6</v>
      </c>
      <c r="E1045" s="1">
        <f ca="1">IFERROR(__xludf.DUMMYFUNCTION("""COMPUTED_VALUE"""),23.66)</f>
        <v>23.66</v>
      </c>
      <c r="F1045" s="1">
        <f ca="1">IFERROR(__xludf.DUMMYFUNCTION("""COMPUTED_VALUE"""),6110013)</f>
        <v>6110013</v>
      </c>
      <c r="G1045" s="5">
        <f t="shared" ca="1" si="48"/>
        <v>-6.1707523245984823E-2</v>
      </c>
      <c r="H1045" s="14">
        <f t="shared" si="49"/>
        <v>2019</v>
      </c>
      <c r="I1045" s="5">
        <f t="shared" ca="1" si="50"/>
        <v>1.26957257723238E-3</v>
      </c>
      <c r="J1045" s="16"/>
    </row>
    <row r="1046" spans="1:10" x14ac:dyDescent="0.2">
      <c r="A1046" s="3">
        <v>43791</v>
      </c>
      <c r="B1046" s="1">
        <f ca="1">IFERROR(__xludf.DUMMYFUNCTION("""COMPUTED_VALUE"""),22.68)</f>
        <v>22.68</v>
      </c>
      <c r="C1046" s="1">
        <f ca="1">IFERROR(__xludf.DUMMYFUNCTION("""COMPUTED_VALUE"""),22.73)</f>
        <v>22.73</v>
      </c>
      <c r="D1046" s="1">
        <f ca="1">IFERROR(__xludf.DUMMYFUNCTION("""COMPUTED_VALUE"""),22)</f>
        <v>22</v>
      </c>
      <c r="E1046" s="1">
        <f ca="1">IFERROR(__xludf.DUMMYFUNCTION("""COMPUTED_VALUE"""),22.2)</f>
        <v>22.2</v>
      </c>
      <c r="F1046" s="1">
        <f ca="1">IFERROR(__xludf.DUMMYFUNCTION("""COMPUTED_VALUE"""),16870642)</f>
        <v>16870642</v>
      </c>
      <c r="G1046" s="5">
        <f t="shared" ca="1" si="48"/>
        <v>9.9099099099100186E-3</v>
      </c>
      <c r="H1046" s="14">
        <f t="shared" si="49"/>
        <v>2019</v>
      </c>
      <c r="I1046" s="5">
        <f t="shared" ca="1" si="50"/>
        <v>-2.1164021164021184E-2</v>
      </c>
      <c r="J1046" s="16"/>
    </row>
    <row r="1047" spans="1:10" x14ac:dyDescent="0.2">
      <c r="A1047" s="3">
        <v>43794</v>
      </c>
      <c r="B1047" s="1">
        <f ca="1">IFERROR(__xludf.DUMMYFUNCTION("""COMPUTED_VALUE"""),22.95)</f>
        <v>22.95</v>
      </c>
      <c r="C1047" s="1">
        <f ca="1">IFERROR(__xludf.DUMMYFUNCTION("""COMPUTED_VALUE"""),22.97)</f>
        <v>22.97</v>
      </c>
      <c r="D1047" s="1">
        <f ca="1">IFERROR(__xludf.DUMMYFUNCTION("""COMPUTED_VALUE"""),22.3)</f>
        <v>22.3</v>
      </c>
      <c r="E1047" s="1">
        <f ca="1">IFERROR(__xludf.DUMMYFUNCTION("""COMPUTED_VALUE"""),22.42)</f>
        <v>22.42</v>
      </c>
      <c r="F1047" s="1">
        <f ca="1">IFERROR(__xludf.DUMMYFUNCTION("""COMPUTED_VALUE"""),12345765)</f>
        <v>12345765</v>
      </c>
      <c r="G1047" s="5">
        <f t="shared" ca="1" si="48"/>
        <v>-2.1855486173059855E-2</v>
      </c>
      <c r="H1047" s="14">
        <f t="shared" si="49"/>
        <v>2019</v>
      </c>
      <c r="I1047" s="5">
        <f t="shared" ca="1" si="50"/>
        <v>-2.3093681917211225E-2</v>
      </c>
      <c r="J1047" s="16"/>
    </row>
    <row r="1048" spans="1:10" x14ac:dyDescent="0.2">
      <c r="A1048" s="3">
        <v>43795</v>
      </c>
      <c r="B1048" s="1">
        <f ca="1">IFERROR(__xludf.DUMMYFUNCTION("""COMPUTED_VALUE"""),22.35)</f>
        <v>22.35</v>
      </c>
      <c r="C1048" s="1">
        <f ca="1">IFERROR(__xludf.DUMMYFUNCTION("""COMPUTED_VALUE"""),22.37)</f>
        <v>22.37</v>
      </c>
      <c r="D1048" s="1">
        <f ca="1">IFERROR(__xludf.DUMMYFUNCTION("""COMPUTED_VALUE"""),21.81)</f>
        <v>21.81</v>
      </c>
      <c r="E1048" s="1">
        <f ca="1">IFERROR(__xludf.DUMMYFUNCTION("""COMPUTED_VALUE"""),21.93)</f>
        <v>21.93</v>
      </c>
      <c r="F1048" s="1">
        <f ca="1">IFERROR(__xludf.DUMMYFUNCTION("""COMPUTED_VALUE"""),7956239)</f>
        <v>7956239</v>
      </c>
      <c r="G1048" s="5">
        <f t="shared" ca="1" si="48"/>
        <v>7.2959416324669471E-3</v>
      </c>
      <c r="H1048" s="14">
        <f t="shared" si="49"/>
        <v>2019</v>
      </c>
      <c r="I1048" s="5">
        <f t="shared" ca="1" si="50"/>
        <v>-1.8791946308724907E-2</v>
      </c>
      <c r="J1048" s="16"/>
    </row>
    <row r="1049" spans="1:10" x14ac:dyDescent="0.2">
      <c r="A1049" s="3">
        <v>43796</v>
      </c>
      <c r="B1049" s="1">
        <f ca="1">IFERROR(__xludf.DUMMYFUNCTION("""COMPUTED_VALUE"""),22.07)</f>
        <v>22.07</v>
      </c>
      <c r="C1049" s="1">
        <f ca="1">IFERROR(__xludf.DUMMYFUNCTION("""COMPUTED_VALUE"""),22.26)</f>
        <v>22.26</v>
      </c>
      <c r="D1049" s="1">
        <f ca="1">IFERROR(__xludf.DUMMYFUNCTION("""COMPUTED_VALUE"""),21.9)</f>
        <v>21.9</v>
      </c>
      <c r="E1049" s="1">
        <f ca="1">IFERROR(__xludf.DUMMYFUNCTION("""COMPUTED_VALUE"""),22.09)</f>
        <v>22.09</v>
      </c>
      <c r="F1049" s="1">
        <f ca="1">IFERROR(__xludf.DUMMYFUNCTION("""COMPUTED_VALUE"""),5563459)</f>
        <v>5563459</v>
      </c>
      <c r="G1049" s="5">
        <f t="shared" ca="1" si="48"/>
        <v>-4.074241738343135E-3</v>
      </c>
      <c r="H1049" s="14">
        <f t="shared" si="49"/>
        <v>2019</v>
      </c>
      <c r="I1049" s="5">
        <f t="shared" ca="1" si="50"/>
        <v>9.0620752152240926E-4</v>
      </c>
      <c r="J1049" s="16"/>
    </row>
    <row r="1050" spans="1:10" x14ac:dyDescent="0.2">
      <c r="A1050" s="3">
        <v>43798</v>
      </c>
      <c r="B1050" s="1">
        <f ca="1">IFERROR(__xludf.DUMMYFUNCTION("""COMPUTED_VALUE"""),22.07)</f>
        <v>22.07</v>
      </c>
      <c r="C1050" s="1">
        <f ca="1">IFERROR(__xludf.DUMMYFUNCTION("""COMPUTED_VALUE"""),22.08)</f>
        <v>22.08</v>
      </c>
      <c r="D1050" s="1">
        <f ca="1">IFERROR(__xludf.DUMMYFUNCTION("""COMPUTED_VALUE"""),21.83)</f>
        <v>21.83</v>
      </c>
      <c r="E1050" s="1">
        <f ca="1">IFERROR(__xludf.DUMMYFUNCTION("""COMPUTED_VALUE"""),22)</f>
        <v>22</v>
      </c>
      <c r="F1050" s="1">
        <f ca="1">IFERROR(__xludf.DUMMYFUNCTION("""COMPUTED_VALUE"""),2465629)</f>
        <v>2465629</v>
      </c>
      <c r="G1050" s="5">
        <f t="shared" ca="1" si="48"/>
        <v>1.4545454545454558E-2</v>
      </c>
      <c r="H1050" s="14">
        <f t="shared" si="49"/>
        <v>2019</v>
      </c>
      <c r="I1050" s="5">
        <f t="shared" ca="1" si="50"/>
        <v>-3.171726325328513E-3</v>
      </c>
      <c r="J1050" s="16"/>
    </row>
    <row r="1051" spans="1:10" x14ac:dyDescent="0.2">
      <c r="A1051" s="3">
        <v>43801</v>
      </c>
      <c r="B1051" s="1">
        <f ca="1">IFERROR(__xludf.DUMMYFUNCTION("""COMPUTED_VALUE"""),21.96)</f>
        <v>21.96</v>
      </c>
      <c r="C1051" s="1">
        <f ca="1">IFERROR(__xludf.DUMMYFUNCTION("""COMPUTED_VALUE"""),22.43)</f>
        <v>22.43</v>
      </c>
      <c r="D1051" s="1">
        <f ca="1">IFERROR(__xludf.DUMMYFUNCTION("""COMPUTED_VALUE"""),21.91)</f>
        <v>21.91</v>
      </c>
      <c r="E1051" s="1">
        <f ca="1">IFERROR(__xludf.DUMMYFUNCTION("""COMPUTED_VALUE"""),22.32)</f>
        <v>22.32</v>
      </c>
      <c r="F1051" s="1">
        <f ca="1">IFERROR(__xludf.DUMMYFUNCTION("""COMPUTED_VALUE"""),6081986)</f>
        <v>6081986</v>
      </c>
      <c r="G1051" s="5">
        <f t="shared" ca="1" si="48"/>
        <v>4.0322580645161228E-3</v>
      </c>
      <c r="H1051" s="14">
        <f t="shared" si="49"/>
        <v>2019</v>
      </c>
      <c r="I1051" s="5">
        <f t="shared" ca="1" si="50"/>
        <v>1.6393442622950793E-2</v>
      </c>
      <c r="J1051" s="16"/>
    </row>
    <row r="1052" spans="1:10" x14ac:dyDescent="0.2">
      <c r="A1052" s="3">
        <v>43802</v>
      </c>
      <c r="B1052" s="1">
        <f ca="1">IFERROR(__xludf.DUMMYFUNCTION("""COMPUTED_VALUE"""),22.17)</f>
        <v>22.17</v>
      </c>
      <c r="C1052" s="1">
        <f ca="1">IFERROR(__xludf.DUMMYFUNCTION("""COMPUTED_VALUE"""),22.53)</f>
        <v>22.53</v>
      </c>
      <c r="D1052" s="1">
        <f ca="1">IFERROR(__xludf.DUMMYFUNCTION("""COMPUTED_VALUE"""),22.15)</f>
        <v>22.15</v>
      </c>
      <c r="E1052" s="1">
        <f ca="1">IFERROR(__xludf.DUMMYFUNCTION("""COMPUTED_VALUE"""),22.41)</f>
        <v>22.41</v>
      </c>
      <c r="F1052" s="1">
        <f ca="1">IFERROR(__xludf.DUMMYFUNCTION("""COMPUTED_VALUE"""),6613476)</f>
        <v>6613476</v>
      </c>
      <c r="G1052" s="5">
        <f t="shared" ca="1" si="48"/>
        <v>-9.3708165997323008E-3</v>
      </c>
      <c r="H1052" s="14">
        <f t="shared" si="49"/>
        <v>2019</v>
      </c>
      <c r="I1052" s="5">
        <f t="shared" ca="1" si="50"/>
        <v>1.0825439783491132E-2</v>
      </c>
      <c r="J1052" s="16"/>
    </row>
    <row r="1053" spans="1:10" x14ac:dyDescent="0.2">
      <c r="A1053" s="3">
        <v>43803</v>
      </c>
      <c r="B1053" s="1">
        <f ca="1">IFERROR(__xludf.DUMMYFUNCTION("""COMPUTED_VALUE"""),22.52)</f>
        <v>22.52</v>
      </c>
      <c r="C1053" s="1">
        <f ca="1">IFERROR(__xludf.DUMMYFUNCTION("""COMPUTED_VALUE"""),22.52)</f>
        <v>22.52</v>
      </c>
      <c r="D1053" s="1">
        <f ca="1">IFERROR(__xludf.DUMMYFUNCTION("""COMPUTED_VALUE"""),22.19)</f>
        <v>22.19</v>
      </c>
      <c r="E1053" s="1">
        <f ca="1">IFERROR(__xludf.DUMMYFUNCTION("""COMPUTED_VALUE"""),22.2)</f>
        <v>22.2</v>
      </c>
      <c r="F1053" s="1">
        <f ca="1">IFERROR(__xludf.DUMMYFUNCTION("""COMPUTED_VALUE"""),5536255)</f>
        <v>5536255</v>
      </c>
      <c r="G1053" s="5">
        <f t="shared" ca="1" si="48"/>
        <v>-8.1081081081080964E-3</v>
      </c>
      <c r="H1053" s="14">
        <f t="shared" si="49"/>
        <v>2019</v>
      </c>
      <c r="I1053" s="5">
        <f t="shared" ca="1" si="50"/>
        <v>-1.4209591474245128E-2</v>
      </c>
      <c r="J1053" s="16"/>
    </row>
    <row r="1054" spans="1:10" x14ac:dyDescent="0.2">
      <c r="A1054" s="3">
        <v>43804</v>
      </c>
      <c r="B1054" s="1">
        <f ca="1">IFERROR(__xludf.DUMMYFUNCTION("""COMPUTED_VALUE"""),22.19)</f>
        <v>22.19</v>
      </c>
      <c r="C1054" s="1">
        <f ca="1">IFERROR(__xludf.DUMMYFUNCTION("""COMPUTED_VALUE"""),22.29)</f>
        <v>22.29</v>
      </c>
      <c r="D1054" s="1">
        <f ca="1">IFERROR(__xludf.DUMMYFUNCTION("""COMPUTED_VALUE"""),21.82)</f>
        <v>21.82</v>
      </c>
      <c r="E1054" s="1">
        <f ca="1">IFERROR(__xludf.DUMMYFUNCTION("""COMPUTED_VALUE"""),22.02)</f>
        <v>22.02</v>
      </c>
      <c r="F1054" s="1">
        <f ca="1">IFERROR(__xludf.DUMMYFUNCTION("""COMPUTED_VALUE"""),3736976)</f>
        <v>3736976</v>
      </c>
      <c r="G1054" s="5">
        <f t="shared" ca="1" si="48"/>
        <v>1.6802906448683062E-2</v>
      </c>
      <c r="H1054" s="14">
        <f t="shared" si="49"/>
        <v>2019</v>
      </c>
      <c r="I1054" s="5">
        <f t="shared" ca="1" si="50"/>
        <v>-7.6611086074809239E-3</v>
      </c>
      <c r="J1054" s="16"/>
    </row>
    <row r="1055" spans="1:10" x14ac:dyDescent="0.2">
      <c r="A1055" s="3">
        <v>43805</v>
      </c>
      <c r="B1055" s="1">
        <f ca="1">IFERROR(__xludf.DUMMYFUNCTION("""COMPUTED_VALUE"""),22.33)</f>
        <v>22.33</v>
      </c>
      <c r="C1055" s="1">
        <f ca="1">IFERROR(__xludf.DUMMYFUNCTION("""COMPUTED_VALUE"""),22.59)</f>
        <v>22.59</v>
      </c>
      <c r="D1055" s="1">
        <f ca="1">IFERROR(__xludf.DUMMYFUNCTION("""COMPUTED_VALUE"""),22.32)</f>
        <v>22.32</v>
      </c>
      <c r="E1055" s="1">
        <f ca="1">IFERROR(__xludf.DUMMYFUNCTION("""COMPUTED_VALUE"""),22.39)</f>
        <v>22.39</v>
      </c>
      <c r="F1055" s="1">
        <f ca="1">IFERROR(__xludf.DUMMYFUNCTION("""COMPUTED_VALUE"""),7618937)</f>
        <v>7618937</v>
      </c>
      <c r="G1055" s="5">
        <f t="shared" ca="1" si="48"/>
        <v>1.1165698972755694E-2</v>
      </c>
      <c r="H1055" s="14">
        <f t="shared" si="49"/>
        <v>2019</v>
      </c>
      <c r="I1055" s="5">
        <f t="shared" ca="1" si="50"/>
        <v>2.6869682042096857E-3</v>
      </c>
      <c r="J1055" s="16"/>
    </row>
    <row r="1056" spans="1:10" x14ac:dyDescent="0.2">
      <c r="A1056" s="3">
        <v>43808</v>
      </c>
      <c r="B1056" s="1">
        <f ca="1">IFERROR(__xludf.DUMMYFUNCTION("""COMPUTED_VALUE"""),22.44)</f>
        <v>22.44</v>
      </c>
      <c r="C1056" s="1">
        <f ca="1">IFERROR(__xludf.DUMMYFUNCTION("""COMPUTED_VALUE"""),22.96)</f>
        <v>22.96</v>
      </c>
      <c r="D1056" s="1">
        <f ca="1">IFERROR(__xludf.DUMMYFUNCTION("""COMPUTED_VALUE"""),22.34)</f>
        <v>22.34</v>
      </c>
      <c r="E1056" s="1">
        <f ca="1">IFERROR(__xludf.DUMMYFUNCTION("""COMPUTED_VALUE"""),22.64)</f>
        <v>22.64</v>
      </c>
      <c r="F1056" s="1">
        <f ca="1">IFERROR(__xludf.DUMMYFUNCTION("""COMPUTED_VALUE"""),9040217)</f>
        <v>9040217</v>
      </c>
      <c r="G1056" s="5">
        <f t="shared" ca="1" si="48"/>
        <v>2.7385159010600749E-2</v>
      </c>
      <c r="H1056" s="14">
        <f t="shared" si="49"/>
        <v>2019</v>
      </c>
      <c r="I1056" s="5">
        <f t="shared" ca="1" si="50"/>
        <v>8.9126559714794683E-3</v>
      </c>
      <c r="J1056" s="16"/>
    </row>
    <row r="1057" spans="1:10" x14ac:dyDescent="0.2">
      <c r="A1057" s="3">
        <v>43809</v>
      </c>
      <c r="B1057" s="1">
        <f ca="1">IFERROR(__xludf.DUMMYFUNCTION("""COMPUTED_VALUE"""),22.66)</f>
        <v>22.66</v>
      </c>
      <c r="C1057" s="1">
        <f ca="1">IFERROR(__xludf.DUMMYFUNCTION("""COMPUTED_VALUE"""),23.38)</f>
        <v>23.38</v>
      </c>
      <c r="D1057" s="1">
        <f ca="1">IFERROR(__xludf.DUMMYFUNCTION("""COMPUTED_VALUE"""),22.62)</f>
        <v>22.62</v>
      </c>
      <c r="E1057" s="1">
        <f ca="1">IFERROR(__xludf.DUMMYFUNCTION("""COMPUTED_VALUE"""),23.26)</f>
        <v>23.26</v>
      </c>
      <c r="F1057" s="1">
        <f ca="1">IFERROR(__xludf.DUMMYFUNCTION("""COMPUTED_VALUE"""),8839951)</f>
        <v>8839951</v>
      </c>
      <c r="G1057" s="5">
        <f t="shared" ca="1" si="48"/>
        <v>1.0748065348237317E-2</v>
      </c>
      <c r="H1057" s="14">
        <f t="shared" si="49"/>
        <v>2019</v>
      </c>
      <c r="I1057" s="5">
        <f t="shared" ca="1" si="50"/>
        <v>2.6478375992939163E-2</v>
      </c>
      <c r="J1057" s="16"/>
    </row>
    <row r="1058" spans="1:10" x14ac:dyDescent="0.2">
      <c r="A1058" s="3">
        <v>43810</v>
      </c>
      <c r="B1058" s="1">
        <f ca="1">IFERROR(__xludf.DUMMYFUNCTION("""COMPUTED_VALUE"""),23.46)</f>
        <v>23.46</v>
      </c>
      <c r="C1058" s="1">
        <f ca="1">IFERROR(__xludf.DUMMYFUNCTION("""COMPUTED_VALUE"""),23.81)</f>
        <v>23.81</v>
      </c>
      <c r="D1058" s="1">
        <f ca="1">IFERROR(__xludf.DUMMYFUNCTION("""COMPUTED_VALUE"""),23.41)</f>
        <v>23.41</v>
      </c>
      <c r="E1058" s="1">
        <f ca="1">IFERROR(__xludf.DUMMYFUNCTION("""COMPUTED_VALUE"""),23.51)</f>
        <v>23.51</v>
      </c>
      <c r="F1058" s="1">
        <f ca="1">IFERROR(__xludf.DUMMYFUNCTION("""COMPUTED_VALUE"""),6919162)</f>
        <v>6919162</v>
      </c>
      <c r="G1058" s="5">
        <f t="shared" ca="1" si="48"/>
        <v>1.9991492981709862E-2</v>
      </c>
      <c r="H1058" s="14">
        <f t="shared" si="49"/>
        <v>2019</v>
      </c>
      <c r="I1058" s="5">
        <f t="shared" ca="1" si="50"/>
        <v>2.1312872975277368E-3</v>
      </c>
      <c r="J1058" s="16"/>
    </row>
    <row r="1059" spans="1:10" x14ac:dyDescent="0.2">
      <c r="A1059" s="3">
        <v>43811</v>
      </c>
      <c r="B1059" s="1">
        <f ca="1">IFERROR(__xludf.DUMMYFUNCTION("""COMPUTED_VALUE"""),23.66)</f>
        <v>23.66</v>
      </c>
      <c r="C1059" s="1">
        <f ca="1">IFERROR(__xludf.DUMMYFUNCTION("""COMPUTED_VALUE"""),24.18)</f>
        <v>24.18</v>
      </c>
      <c r="D1059" s="1">
        <f ca="1">IFERROR(__xludf.DUMMYFUNCTION("""COMPUTED_VALUE"""),23.55)</f>
        <v>23.55</v>
      </c>
      <c r="E1059" s="1">
        <f ca="1">IFERROR(__xludf.DUMMYFUNCTION("""COMPUTED_VALUE"""),23.98)</f>
        <v>23.98</v>
      </c>
      <c r="F1059" s="1">
        <f ca="1">IFERROR(__xludf.DUMMYFUNCTION("""COMPUTED_VALUE"""),7776211)</f>
        <v>7776211</v>
      </c>
      <c r="G1059" s="5">
        <f t="shared" ca="1" si="48"/>
        <v>-3.7531276063386097E-3</v>
      </c>
      <c r="H1059" s="14">
        <f t="shared" si="49"/>
        <v>2019</v>
      </c>
      <c r="I1059" s="5">
        <f t="shared" ca="1" si="50"/>
        <v>1.352493660185969E-2</v>
      </c>
      <c r="J1059" s="16"/>
    </row>
    <row r="1060" spans="1:10" x14ac:dyDescent="0.2">
      <c r="A1060" s="3">
        <v>43812</v>
      </c>
      <c r="B1060" s="1">
        <f ca="1">IFERROR(__xludf.DUMMYFUNCTION("""COMPUTED_VALUE"""),24.07)</f>
        <v>24.07</v>
      </c>
      <c r="C1060" s="1">
        <f ca="1">IFERROR(__xludf.DUMMYFUNCTION("""COMPUTED_VALUE"""),24.35)</f>
        <v>24.35</v>
      </c>
      <c r="D1060" s="1">
        <f ca="1">IFERROR(__xludf.DUMMYFUNCTION("""COMPUTED_VALUE"""),23.64)</f>
        <v>23.64</v>
      </c>
      <c r="E1060" s="1">
        <f ca="1">IFERROR(__xludf.DUMMYFUNCTION("""COMPUTED_VALUE"""),23.89)</f>
        <v>23.89</v>
      </c>
      <c r="F1060" s="1">
        <f ca="1">IFERROR(__xludf.DUMMYFUNCTION("""COMPUTED_VALUE"""),6574281)</f>
        <v>6574281</v>
      </c>
      <c r="G1060" s="5">
        <f t="shared" ca="1" si="48"/>
        <v>6.446211804102131E-2</v>
      </c>
      <c r="H1060" s="14">
        <f t="shared" si="49"/>
        <v>2019</v>
      </c>
      <c r="I1060" s="5">
        <f t="shared" ca="1" si="50"/>
        <v>-7.478188616535094E-3</v>
      </c>
      <c r="J1060" s="16"/>
    </row>
    <row r="1061" spans="1:10" x14ac:dyDescent="0.2">
      <c r="A1061" s="3">
        <v>43815</v>
      </c>
      <c r="B1061" s="1">
        <f ca="1">IFERROR(__xludf.DUMMYFUNCTION("""COMPUTED_VALUE"""),24.17)</f>
        <v>24.17</v>
      </c>
      <c r="C1061" s="1">
        <f ca="1">IFERROR(__xludf.DUMMYFUNCTION("""COMPUTED_VALUE"""),25.57)</f>
        <v>25.57</v>
      </c>
      <c r="D1061" s="1">
        <f ca="1">IFERROR(__xludf.DUMMYFUNCTION("""COMPUTED_VALUE"""),24.17)</f>
        <v>24.17</v>
      </c>
      <c r="E1061" s="1">
        <f ca="1">IFERROR(__xludf.DUMMYFUNCTION("""COMPUTED_VALUE"""),25.43)</f>
        <v>25.43</v>
      </c>
      <c r="F1061" s="1">
        <f ca="1">IFERROR(__xludf.DUMMYFUNCTION("""COMPUTED_VALUE"""),18220940)</f>
        <v>18220940</v>
      </c>
      <c r="G1061" s="5">
        <f t="shared" ca="1" si="48"/>
        <v>-6.2917813605977251E-3</v>
      </c>
      <c r="H1061" s="14">
        <f t="shared" si="49"/>
        <v>2019</v>
      </c>
      <c r="I1061" s="5">
        <f t="shared" ca="1" si="50"/>
        <v>5.2130740587505088E-2</v>
      </c>
      <c r="J1061" s="16"/>
    </row>
    <row r="1062" spans="1:10" x14ac:dyDescent="0.2">
      <c r="A1062" s="3">
        <v>43816</v>
      </c>
      <c r="B1062" s="1">
        <f ca="1">IFERROR(__xludf.DUMMYFUNCTION("""COMPUTED_VALUE"""),25.27)</f>
        <v>25.27</v>
      </c>
      <c r="C1062" s="1">
        <f ca="1">IFERROR(__xludf.DUMMYFUNCTION("""COMPUTED_VALUE"""),25.7)</f>
        <v>25.7</v>
      </c>
      <c r="D1062" s="1">
        <f ca="1">IFERROR(__xludf.DUMMYFUNCTION("""COMPUTED_VALUE"""),25.06)</f>
        <v>25.06</v>
      </c>
      <c r="E1062" s="1">
        <f ca="1">IFERROR(__xludf.DUMMYFUNCTION("""COMPUTED_VALUE"""),25.27)</f>
        <v>25.27</v>
      </c>
      <c r="F1062" s="1">
        <f ca="1">IFERROR(__xludf.DUMMYFUNCTION("""COMPUTED_VALUE"""),8503775)</f>
        <v>8503775</v>
      </c>
      <c r="G1062" s="5">
        <f t="shared" ca="1" si="48"/>
        <v>3.7198258804907056E-2</v>
      </c>
      <c r="H1062" s="14">
        <f t="shared" si="49"/>
        <v>2019</v>
      </c>
      <c r="I1062" s="5">
        <f t="shared" ca="1" si="50"/>
        <v>0</v>
      </c>
      <c r="J1062" s="16"/>
    </row>
    <row r="1063" spans="1:10" x14ac:dyDescent="0.2">
      <c r="A1063" s="3">
        <v>43817</v>
      </c>
      <c r="B1063" s="1">
        <f ca="1">IFERROR(__xludf.DUMMYFUNCTION("""COMPUTED_VALUE"""),25.38)</f>
        <v>25.38</v>
      </c>
      <c r="C1063" s="1">
        <f ca="1">IFERROR(__xludf.DUMMYFUNCTION("""COMPUTED_VALUE"""),26.35)</f>
        <v>26.35</v>
      </c>
      <c r="D1063" s="1">
        <f ca="1">IFERROR(__xludf.DUMMYFUNCTION("""COMPUTED_VALUE"""),25.37)</f>
        <v>25.37</v>
      </c>
      <c r="E1063" s="1">
        <f ca="1">IFERROR(__xludf.DUMMYFUNCTION("""COMPUTED_VALUE"""),26.21)</f>
        <v>26.21</v>
      </c>
      <c r="F1063" s="1">
        <f ca="1">IFERROR(__xludf.DUMMYFUNCTION("""COMPUTED_VALUE"""),14136392)</f>
        <v>14136392</v>
      </c>
      <c r="G1063" s="5">
        <f t="shared" ca="1" si="48"/>
        <v>2.7851964898893567E-2</v>
      </c>
      <c r="H1063" s="14">
        <f t="shared" si="49"/>
        <v>2019</v>
      </c>
      <c r="I1063" s="5">
        <f t="shared" ca="1" si="50"/>
        <v>3.2702915681639161E-2</v>
      </c>
      <c r="J1063" s="16"/>
    </row>
    <row r="1064" spans="1:10" x14ac:dyDescent="0.2">
      <c r="A1064" s="3">
        <v>43818</v>
      </c>
      <c r="B1064" s="1">
        <f ca="1">IFERROR(__xludf.DUMMYFUNCTION("""COMPUTED_VALUE"""),26.49)</f>
        <v>26.49</v>
      </c>
      <c r="C1064" s="1">
        <f ca="1">IFERROR(__xludf.DUMMYFUNCTION("""COMPUTED_VALUE"""),27.12)</f>
        <v>27.12</v>
      </c>
      <c r="D1064" s="1">
        <f ca="1">IFERROR(__xludf.DUMMYFUNCTION("""COMPUTED_VALUE"""),26.43)</f>
        <v>26.43</v>
      </c>
      <c r="E1064" s="1">
        <f ca="1">IFERROR(__xludf.DUMMYFUNCTION("""COMPUTED_VALUE"""),26.94)</f>
        <v>26.94</v>
      </c>
      <c r="F1064" s="1">
        <f ca="1">IFERROR(__xludf.DUMMYFUNCTION("""COMPUTED_VALUE"""),18120307)</f>
        <v>18120307</v>
      </c>
      <c r="G1064" s="5">
        <f t="shared" ca="1" si="48"/>
        <v>3.7119524870080872E-3</v>
      </c>
      <c r="H1064" s="14">
        <f t="shared" si="49"/>
        <v>2019</v>
      </c>
      <c r="I1064" s="5">
        <f t="shared" ca="1" si="50"/>
        <v>1.6987542468856281E-2</v>
      </c>
      <c r="J1064" s="16"/>
    </row>
    <row r="1065" spans="1:10" x14ac:dyDescent="0.2">
      <c r="A1065" s="3">
        <v>43819</v>
      </c>
      <c r="B1065" s="1">
        <f ca="1">IFERROR(__xludf.DUMMYFUNCTION("""COMPUTED_VALUE"""),27.35)</f>
        <v>27.35</v>
      </c>
      <c r="C1065" s="1">
        <f ca="1">IFERROR(__xludf.DUMMYFUNCTION("""COMPUTED_VALUE"""),27.53)</f>
        <v>27.53</v>
      </c>
      <c r="D1065" s="1">
        <f ca="1">IFERROR(__xludf.DUMMYFUNCTION("""COMPUTED_VALUE"""),26.68)</f>
        <v>26.68</v>
      </c>
      <c r="E1065" s="1">
        <f ca="1">IFERROR(__xludf.DUMMYFUNCTION("""COMPUTED_VALUE"""),27.04)</f>
        <v>27.04</v>
      </c>
      <c r="F1065" s="1">
        <f ca="1">IFERROR(__xludf.DUMMYFUNCTION("""COMPUTED_VALUE"""),14785206)</f>
        <v>14785206</v>
      </c>
      <c r="G1065" s="5">
        <f t="shared" ca="1" si="48"/>
        <v>3.3653846153846159E-2</v>
      </c>
      <c r="H1065" s="14">
        <f t="shared" si="49"/>
        <v>2019</v>
      </c>
      <c r="I1065" s="5">
        <f t="shared" ca="1" si="50"/>
        <v>-1.1334552102376683E-2</v>
      </c>
      <c r="J1065" s="16"/>
    </row>
    <row r="1066" spans="1:10" x14ac:dyDescent="0.2">
      <c r="A1066" s="3">
        <v>43822</v>
      </c>
      <c r="B1066" s="1">
        <f ca="1">IFERROR(__xludf.DUMMYFUNCTION("""COMPUTED_VALUE"""),27.45)</f>
        <v>27.45</v>
      </c>
      <c r="C1066" s="1">
        <f ca="1">IFERROR(__xludf.DUMMYFUNCTION("""COMPUTED_VALUE"""),28.13)</f>
        <v>28.13</v>
      </c>
      <c r="D1066" s="1">
        <f ca="1">IFERROR(__xludf.DUMMYFUNCTION("""COMPUTED_VALUE"""),27.33)</f>
        <v>27.33</v>
      </c>
      <c r="E1066" s="1">
        <f ca="1">IFERROR(__xludf.DUMMYFUNCTION("""COMPUTED_VALUE"""),27.95)</f>
        <v>27.95</v>
      </c>
      <c r="F1066" s="1">
        <f ca="1">IFERROR(__xludf.DUMMYFUNCTION("""COMPUTED_VALUE"""),13332821)</f>
        <v>13332821</v>
      </c>
      <c r="G1066" s="5">
        <f t="shared" ca="1" si="48"/>
        <v>1.431127012522369E-2</v>
      </c>
      <c r="H1066" s="14">
        <f t="shared" si="49"/>
        <v>2019</v>
      </c>
      <c r="I1066" s="5">
        <f t="shared" ca="1" si="50"/>
        <v>1.8214936247723135E-2</v>
      </c>
      <c r="J1066" s="16"/>
    </row>
    <row r="1067" spans="1:10" x14ac:dyDescent="0.2">
      <c r="A1067" s="3">
        <v>43823</v>
      </c>
      <c r="B1067" s="1">
        <f ca="1">IFERROR(__xludf.DUMMYFUNCTION("""COMPUTED_VALUE"""),27.89)</f>
        <v>27.89</v>
      </c>
      <c r="C1067" s="1">
        <f ca="1">IFERROR(__xludf.DUMMYFUNCTION("""COMPUTED_VALUE"""),28.36)</f>
        <v>28.36</v>
      </c>
      <c r="D1067" s="1">
        <f ca="1">IFERROR(__xludf.DUMMYFUNCTION("""COMPUTED_VALUE"""),27.51)</f>
        <v>27.51</v>
      </c>
      <c r="E1067" s="1">
        <f ca="1">IFERROR(__xludf.DUMMYFUNCTION("""COMPUTED_VALUE"""),28.35)</f>
        <v>28.35</v>
      </c>
      <c r="F1067" s="1">
        <f ca="1">IFERROR(__xludf.DUMMYFUNCTION("""COMPUTED_VALUE"""),8054720)</f>
        <v>8054720</v>
      </c>
      <c r="G1067" s="5">
        <f t="shared" ca="1" si="48"/>
        <v>1.3403880070546702E-2</v>
      </c>
      <c r="H1067" s="14">
        <f t="shared" si="49"/>
        <v>2019</v>
      </c>
      <c r="I1067" s="5">
        <f t="shared" ca="1" si="50"/>
        <v>1.6493366798135563E-2</v>
      </c>
      <c r="J1067" s="16"/>
    </row>
    <row r="1068" spans="1:10" x14ac:dyDescent="0.2">
      <c r="A1068" s="3">
        <v>43825</v>
      </c>
      <c r="B1068" s="1">
        <f ca="1">IFERROR(__xludf.DUMMYFUNCTION("""COMPUTED_VALUE"""),28.53)</f>
        <v>28.53</v>
      </c>
      <c r="C1068" s="1">
        <f ca="1">IFERROR(__xludf.DUMMYFUNCTION("""COMPUTED_VALUE"""),28.9)</f>
        <v>28.9</v>
      </c>
      <c r="D1068" s="1">
        <f ca="1">IFERROR(__xludf.DUMMYFUNCTION("""COMPUTED_VALUE"""),28.42)</f>
        <v>28.42</v>
      </c>
      <c r="E1068" s="1">
        <f ca="1">IFERROR(__xludf.DUMMYFUNCTION("""COMPUTED_VALUE"""),28.73)</f>
        <v>28.73</v>
      </c>
      <c r="F1068" s="1">
        <f ca="1">IFERROR(__xludf.DUMMYFUNCTION("""COMPUTED_VALUE"""),10648289)</f>
        <v>10648289</v>
      </c>
      <c r="G1068" s="5">
        <f t="shared" ca="1" si="48"/>
        <v>-1.3922728854855256E-3</v>
      </c>
      <c r="H1068" s="14">
        <f t="shared" si="49"/>
        <v>2019</v>
      </c>
      <c r="I1068" s="5">
        <f t="shared" ca="1" si="50"/>
        <v>7.0101647388713384E-3</v>
      </c>
      <c r="J1068" s="16"/>
    </row>
    <row r="1069" spans="1:10" x14ac:dyDescent="0.2">
      <c r="A1069" s="3">
        <v>43826</v>
      </c>
      <c r="B1069" s="1">
        <f ca="1">IFERROR(__xludf.DUMMYFUNCTION("""COMPUTED_VALUE"""),29)</f>
        <v>29</v>
      </c>
      <c r="C1069" s="1">
        <f ca="1">IFERROR(__xludf.DUMMYFUNCTION("""COMPUTED_VALUE"""),29.02)</f>
        <v>29.02</v>
      </c>
      <c r="D1069" s="1">
        <f ca="1">IFERROR(__xludf.DUMMYFUNCTION("""COMPUTED_VALUE"""),28.41)</f>
        <v>28.41</v>
      </c>
      <c r="E1069" s="1">
        <f ca="1">IFERROR(__xludf.DUMMYFUNCTION("""COMPUTED_VALUE"""),28.69)</f>
        <v>28.69</v>
      </c>
      <c r="F1069" s="1">
        <f ca="1">IFERROR(__xludf.DUMMYFUNCTION("""COMPUTED_VALUE"""),9956827)</f>
        <v>9956827</v>
      </c>
      <c r="G1069" s="5">
        <f t="shared" ca="1" si="48"/>
        <v>-3.6249564308121388E-2</v>
      </c>
      <c r="H1069" s="14">
        <f t="shared" si="49"/>
        <v>2019</v>
      </c>
      <c r="I1069" s="5">
        <f t="shared" ca="1" si="50"/>
        <v>-1.0689655172413749E-2</v>
      </c>
      <c r="J1069" s="16"/>
    </row>
    <row r="1070" spans="1:10" x14ac:dyDescent="0.2">
      <c r="A1070" s="3">
        <v>43829</v>
      </c>
      <c r="B1070" s="1">
        <f ca="1">IFERROR(__xludf.DUMMYFUNCTION("""COMPUTED_VALUE"""),28.59)</f>
        <v>28.59</v>
      </c>
      <c r="C1070" s="1">
        <f ca="1">IFERROR(__xludf.DUMMYFUNCTION("""COMPUTED_VALUE"""),28.6)</f>
        <v>28.6</v>
      </c>
      <c r="D1070" s="1">
        <f ca="1">IFERROR(__xludf.DUMMYFUNCTION("""COMPUTED_VALUE"""),27.28)</f>
        <v>27.28</v>
      </c>
      <c r="E1070" s="1">
        <f ca="1">IFERROR(__xludf.DUMMYFUNCTION("""COMPUTED_VALUE"""),27.65)</f>
        <v>27.65</v>
      </c>
      <c r="F1070" s="1">
        <f ca="1">IFERROR(__xludf.DUMMYFUNCTION("""COMPUTED_VALUE"""),12601265)</f>
        <v>12601265</v>
      </c>
      <c r="G1070" s="5">
        <f t="shared" ca="1" si="48"/>
        <v>8.679927667269511E-3</v>
      </c>
      <c r="H1070" s="14">
        <f t="shared" si="49"/>
        <v>2019</v>
      </c>
      <c r="I1070" s="5">
        <f t="shared" ca="1" si="50"/>
        <v>-3.287862889122075E-2</v>
      </c>
      <c r="J1070" s="16"/>
    </row>
    <row r="1071" spans="1:10" x14ac:dyDescent="0.2">
      <c r="A1071" s="3">
        <v>43830</v>
      </c>
      <c r="B1071" s="1">
        <f ca="1">IFERROR(__xludf.DUMMYFUNCTION("""COMPUTED_VALUE"""),27)</f>
        <v>27</v>
      </c>
      <c r="C1071" s="1">
        <f ca="1">IFERROR(__xludf.DUMMYFUNCTION("""COMPUTED_VALUE"""),28.09)</f>
        <v>28.09</v>
      </c>
      <c r="D1071" s="1">
        <f ca="1">IFERROR(__xludf.DUMMYFUNCTION("""COMPUTED_VALUE"""),26.81)</f>
        <v>26.81</v>
      </c>
      <c r="E1071" s="1">
        <f ca="1">IFERROR(__xludf.DUMMYFUNCTION("""COMPUTED_VALUE"""),27.89)</f>
        <v>27.89</v>
      </c>
      <c r="F1071" s="1">
        <f ca="1">IFERROR(__xludf.DUMMYFUNCTION("""COMPUTED_VALUE"""),10292456)</f>
        <v>10292456</v>
      </c>
      <c r="G1071" s="5">
        <f t="shared" ca="1" si="48"/>
        <v>2.8325564718537078E-2</v>
      </c>
      <c r="H1071" s="14">
        <f t="shared" si="49"/>
        <v>2019</v>
      </c>
      <c r="I1071" s="5">
        <f t="shared" ca="1" si="50"/>
        <v>3.2962962962962986E-2</v>
      </c>
      <c r="J1071" s="16"/>
    </row>
    <row r="1072" spans="1:10" x14ac:dyDescent="0.2">
      <c r="A1072" s="3">
        <v>43832</v>
      </c>
      <c r="B1072" s="1">
        <f ca="1">IFERROR(__xludf.DUMMYFUNCTION("""COMPUTED_VALUE"""),28.3)</f>
        <v>28.3</v>
      </c>
      <c r="C1072" s="1">
        <f ca="1">IFERROR(__xludf.DUMMYFUNCTION("""COMPUTED_VALUE"""),28.71)</f>
        <v>28.71</v>
      </c>
      <c r="D1072" s="1">
        <f ca="1">IFERROR(__xludf.DUMMYFUNCTION("""COMPUTED_VALUE"""),28.11)</f>
        <v>28.11</v>
      </c>
      <c r="E1072" s="1">
        <f ca="1">IFERROR(__xludf.DUMMYFUNCTION("""COMPUTED_VALUE"""),28.68)</f>
        <v>28.68</v>
      </c>
      <c r="F1072" s="1">
        <f ca="1">IFERROR(__xludf.DUMMYFUNCTION("""COMPUTED_VALUE"""),9558386)</f>
        <v>9558386</v>
      </c>
      <c r="G1072" s="5">
        <f t="shared" ca="1" si="48"/>
        <v>2.9637377963737846E-2</v>
      </c>
      <c r="H1072" s="14">
        <f t="shared" si="49"/>
        <v>2020</v>
      </c>
      <c r="I1072" s="5">
        <f t="shared" ca="1" si="50"/>
        <v>1.3427561837455795E-2</v>
      </c>
      <c r="J1072" s="16"/>
    </row>
    <row r="1073" spans="1:10" x14ac:dyDescent="0.2">
      <c r="A1073" s="3">
        <v>43833</v>
      </c>
      <c r="B1073" s="1">
        <f ca="1">IFERROR(__xludf.DUMMYFUNCTION("""COMPUTED_VALUE"""),29.37)</f>
        <v>29.37</v>
      </c>
      <c r="C1073" s="1">
        <f ca="1">IFERROR(__xludf.DUMMYFUNCTION("""COMPUTED_VALUE"""),30.27)</f>
        <v>30.27</v>
      </c>
      <c r="D1073" s="1">
        <f ca="1">IFERROR(__xludf.DUMMYFUNCTION("""COMPUTED_VALUE"""),29.13)</f>
        <v>29.13</v>
      </c>
      <c r="E1073" s="1">
        <f ca="1">IFERROR(__xludf.DUMMYFUNCTION("""COMPUTED_VALUE"""),29.53)</f>
        <v>29.53</v>
      </c>
      <c r="F1073" s="1">
        <f ca="1">IFERROR(__xludf.DUMMYFUNCTION("""COMPUTED_VALUE"""),17794697)</f>
        <v>17794697</v>
      </c>
      <c r="G1073" s="5">
        <f t="shared" ca="1" si="48"/>
        <v>1.9302404334575016E-2</v>
      </c>
      <c r="H1073" s="14">
        <f t="shared" si="49"/>
        <v>2020</v>
      </c>
      <c r="I1073" s="5">
        <f t="shared" ca="1" si="50"/>
        <v>5.4477357848144413E-3</v>
      </c>
      <c r="J1073" s="16"/>
    </row>
    <row r="1074" spans="1:10" x14ac:dyDescent="0.2">
      <c r="A1074" s="3">
        <v>43836</v>
      </c>
      <c r="B1074" s="1">
        <f ca="1">IFERROR(__xludf.DUMMYFUNCTION("""COMPUTED_VALUE"""),29.36)</f>
        <v>29.36</v>
      </c>
      <c r="C1074" s="1">
        <f ca="1">IFERROR(__xludf.DUMMYFUNCTION("""COMPUTED_VALUE"""),30.1)</f>
        <v>30.1</v>
      </c>
      <c r="D1074" s="1">
        <f ca="1">IFERROR(__xludf.DUMMYFUNCTION("""COMPUTED_VALUE"""),29.33)</f>
        <v>29.33</v>
      </c>
      <c r="E1074" s="1">
        <f ca="1">IFERROR(__xludf.DUMMYFUNCTION("""COMPUTED_VALUE"""),30.1)</f>
        <v>30.1</v>
      </c>
      <c r="F1074" s="1">
        <f ca="1">IFERROR(__xludf.DUMMYFUNCTION("""COMPUTED_VALUE"""),10157499)</f>
        <v>10157499</v>
      </c>
      <c r="G1074" s="5">
        <f t="shared" ca="1" si="48"/>
        <v>3.8870431893687642E-2</v>
      </c>
      <c r="H1074" s="14">
        <f t="shared" si="49"/>
        <v>2020</v>
      </c>
      <c r="I1074" s="5">
        <f t="shared" ca="1" si="50"/>
        <v>2.520435967302459E-2</v>
      </c>
      <c r="J1074" s="16"/>
    </row>
    <row r="1075" spans="1:10" x14ac:dyDescent="0.2">
      <c r="A1075" s="3">
        <v>43837</v>
      </c>
      <c r="B1075" s="1">
        <f ca="1">IFERROR(__xludf.DUMMYFUNCTION("""COMPUTED_VALUE"""),30.76)</f>
        <v>30.76</v>
      </c>
      <c r="C1075" s="1">
        <f ca="1">IFERROR(__xludf.DUMMYFUNCTION("""COMPUTED_VALUE"""),31.44)</f>
        <v>31.44</v>
      </c>
      <c r="D1075" s="1">
        <f ca="1">IFERROR(__xludf.DUMMYFUNCTION("""COMPUTED_VALUE"""),30.22)</f>
        <v>30.22</v>
      </c>
      <c r="E1075" s="1">
        <f ca="1">IFERROR(__xludf.DUMMYFUNCTION("""COMPUTED_VALUE"""),31.27)</f>
        <v>31.27</v>
      </c>
      <c r="F1075" s="1">
        <f ca="1">IFERROR(__xludf.DUMMYFUNCTION("""COMPUTED_VALUE"""),18209138)</f>
        <v>18209138</v>
      </c>
      <c r="G1075" s="5">
        <f t="shared" ca="1" si="48"/>
        <v>4.9248480972177891E-2</v>
      </c>
      <c r="H1075" s="14">
        <f t="shared" si="49"/>
        <v>2020</v>
      </c>
      <c r="I1075" s="5">
        <f t="shared" ca="1" si="50"/>
        <v>1.6579973992197593E-2</v>
      </c>
      <c r="J1075" s="16"/>
    </row>
    <row r="1076" spans="1:10" x14ac:dyDescent="0.2">
      <c r="A1076" s="3">
        <v>43838</v>
      </c>
      <c r="B1076" s="1">
        <f ca="1">IFERROR(__xludf.DUMMYFUNCTION("""COMPUTED_VALUE"""),31.58)</f>
        <v>31.58</v>
      </c>
      <c r="C1076" s="1">
        <f ca="1">IFERROR(__xludf.DUMMYFUNCTION("""COMPUTED_VALUE"""),33.23)</f>
        <v>33.229999999999997</v>
      </c>
      <c r="D1076" s="1">
        <f ca="1">IFERROR(__xludf.DUMMYFUNCTION("""COMPUTED_VALUE"""),31.22)</f>
        <v>31.22</v>
      </c>
      <c r="E1076" s="1">
        <f ca="1">IFERROR(__xludf.DUMMYFUNCTION("""COMPUTED_VALUE"""),32.81)</f>
        <v>32.81</v>
      </c>
      <c r="F1076" s="1">
        <f ca="1">IFERROR(__xludf.DUMMYFUNCTION("""COMPUTED_VALUE"""),31199393)</f>
        <v>31199393</v>
      </c>
      <c r="G1076" s="5">
        <f t="shared" ca="1" si="48"/>
        <v>-2.1944529106979544E-2</v>
      </c>
      <c r="H1076" s="14">
        <f t="shared" si="49"/>
        <v>2020</v>
      </c>
      <c r="I1076" s="5">
        <f t="shared" ca="1" si="50"/>
        <v>3.8948701709943127E-2</v>
      </c>
      <c r="J1076" s="16"/>
    </row>
    <row r="1077" spans="1:10" x14ac:dyDescent="0.2">
      <c r="A1077" s="3">
        <v>43839</v>
      </c>
      <c r="B1077" s="1">
        <f ca="1">IFERROR(__xludf.DUMMYFUNCTION("""COMPUTED_VALUE"""),33.14)</f>
        <v>33.14</v>
      </c>
      <c r="C1077" s="1">
        <f ca="1">IFERROR(__xludf.DUMMYFUNCTION("""COMPUTED_VALUE"""),33.25)</f>
        <v>33.25</v>
      </c>
      <c r="D1077" s="1">
        <f ca="1">IFERROR(__xludf.DUMMYFUNCTION("""COMPUTED_VALUE"""),31.52)</f>
        <v>31.52</v>
      </c>
      <c r="E1077" s="1">
        <f ca="1">IFERROR(__xludf.DUMMYFUNCTION("""COMPUTED_VALUE"""),32.09)</f>
        <v>32.090000000000003</v>
      </c>
      <c r="F1077" s="1">
        <f ca="1">IFERROR(__xludf.DUMMYFUNCTION("""COMPUTED_VALUE"""),28463186)</f>
        <v>28463186</v>
      </c>
      <c r="G1077" s="5">
        <f t="shared" ca="1" si="48"/>
        <v>-6.5440947335619936E-3</v>
      </c>
      <c r="H1077" s="14">
        <f t="shared" si="49"/>
        <v>2020</v>
      </c>
      <c r="I1077" s="5">
        <f t="shared" ca="1" si="50"/>
        <v>-3.1683765841882837E-2</v>
      </c>
      <c r="J1077" s="16"/>
    </row>
    <row r="1078" spans="1:10" x14ac:dyDescent="0.2">
      <c r="A1078" s="3">
        <v>43840</v>
      </c>
      <c r="B1078" s="1">
        <f ca="1">IFERROR(__xludf.DUMMYFUNCTION("""COMPUTED_VALUE"""),32.12)</f>
        <v>32.119999999999997</v>
      </c>
      <c r="C1078" s="1">
        <f ca="1">IFERROR(__xludf.DUMMYFUNCTION("""COMPUTED_VALUE"""),32.33)</f>
        <v>32.33</v>
      </c>
      <c r="D1078" s="1">
        <f ca="1">IFERROR(__xludf.DUMMYFUNCTION("""COMPUTED_VALUE"""),31.58)</f>
        <v>31.58</v>
      </c>
      <c r="E1078" s="1">
        <f ca="1">IFERROR(__xludf.DUMMYFUNCTION("""COMPUTED_VALUE"""),31.88)</f>
        <v>31.88</v>
      </c>
      <c r="F1078" s="1">
        <f ca="1">IFERROR(__xludf.DUMMYFUNCTION("""COMPUTED_VALUE"""),12976832)</f>
        <v>12976832</v>
      </c>
      <c r="G1078" s="5">
        <f t="shared" ca="1" si="48"/>
        <v>9.7553324968632463E-2</v>
      </c>
      <c r="H1078" s="14">
        <f t="shared" si="49"/>
        <v>2020</v>
      </c>
      <c r="I1078" s="5">
        <f t="shared" ca="1" si="50"/>
        <v>-7.4719800747197525E-3</v>
      </c>
      <c r="J1078" s="16"/>
    </row>
    <row r="1079" spans="1:10" x14ac:dyDescent="0.2">
      <c r="A1079" s="3">
        <v>43843</v>
      </c>
      <c r="B1079" s="1">
        <f ca="1">IFERROR(__xludf.DUMMYFUNCTION("""COMPUTED_VALUE"""),32.9)</f>
        <v>32.9</v>
      </c>
      <c r="C1079" s="1">
        <f ca="1">IFERROR(__xludf.DUMMYFUNCTION("""COMPUTED_VALUE"""),35.04)</f>
        <v>35.04</v>
      </c>
      <c r="D1079" s="1">
        <f ca="1">IFERROR(__xludf.DUMMYFUNCTION("""COMPUTED_VALUE"""),32.8)</f>
        <v>32.799999999999997</v>
      </c>
      <c r="E1079" s="1">
        <f ca="1">IFERROR(__xludf.DUMMYFUNCTION("""COMPUTED_VALUE"""),34.99)</f>
        <v>34.99</v>
      </c>
      <c r="F1079" s="1">
        <f ca="1">IFERROR(__xludf.DUMMYFUNCTION("""COMPUTED_VALUE"""),26634547)</f>
        <v>26634547</v>
      </c>
      <c r="G1079" s="5">
        <f t="shared" ca="1" si="48"/>
        <v>2.4864246927693553E-2</v>
      </c>
      <c r="H1079" s="14">
        <f t="shared" si="49"/>
        <v>2020</v>
      </c>
      <c r="I1079" s="5">
        <f t="shared" ca="1" si="50"/>
        <v>6.352583586626151E-2</v>
      </c>
      <c r="J1079" s="16"/>
    </row>
    <row r="1080" spans="1:10" x14ac:dyDescent="0.2">
      <c r="A1080" s="3">
        <v>43844</v>
      </c>
      <c r="B1080" s="1">
        <f ca="1">IFERROR(__xludf.DUMMYFUNCTION("""COMPUTED_VALUE"""),36.28)</f>
        <v>36.28</v>
      </c>
      <c r="C1080" s="1">
        <f ca="1">IFERROR(__xludf.DUMMYFUNCTION("""COMPUTED_VALUE"""),36.49)</f>
        <v>36.49</v>
      </c>
      <c r="D1080" s="1">
        <f ca="1">IFERROR(__xludf.DUMMYFUNCTION("""COMPUTED_VALUE"""),34.99)</f>
        <v>34.99</v>
      </c>
      <c r="E1080" s="1">
        <f ca="1">IFERROR(__xludf.DUMMYFUNCTION("""COMPUTED_VALUE"""),35.86)</f>
        <v>35.86</v>
      </c>
      <c r="F1080" s="1">
        <f ca="1">IFERROR(__xludf.DUMMYFUNCTION("""COMPUTED_VALUE"""),29061377)</f>
        <v>29061377</v>
      </c>
      <c r="G1080" s="5">
        <f t="shared" ca="1" si="48"/>
        <v>-3.5973229224762947E-2</v>
      </c>
      <c r="H1080" s="14">
        <f t="shared" si="49"/>
        <v>2020</v>
      </c>
      <c r="I1080" s="5">
        <f t="shared" ca="1" si="50"/>
        <v>-1.1576626240352859E-2</v>
      </c>
      <c r="J1080" s="16"/>
    </row>
    <row r="1081" spans="1:10" x14ac:dyDescent="0.2">
      <c r="A1081" s="3">
        <v>43845</v>
      </c>
      <c r="B1081" s="1">
        <f ca="1">IFERROR(__xludf.DUMMYFUNCTION("""COMPUTED_VALUE"""),35.32)</f>
        <v>35.32</v>
      </c>
      <c r="C1081" s="1">
        <f ca="1">IFERROR(__xludf.DUMMYFUNCTION("""COMPUTED_VALUE"""),35.86)</f>
        <v>35.86</v>
      </c>
      <c r="D1081" s="1">
        <f ca="1">IFERROR(__xludf.DUMMYFUNCTION("""COMPUTED_VALUE"""),34.45)</f>
        <v>34.450000000000003</v>
      </c>
      <c r="E1081" s="1">
        <f ca="1">IFERROR(__xludf.DUMMYFUNCTION("""COMPUTED_VALUE"""),34.57)</f>
        <v>34.57</v>
      </c>
      <c r="F1081" s="1">
        <f ca="1">IFERROR(__xludf.DUMMYFUNCTION("""COMPUTED_VALUE"""),17368831)</f>
        <v>17368831</v>
      </c>
      <c r="G1081" s="5">
        <f t="shared" ca="1" si="48"/>
        <v>-9.8351171536014866E-3</v>
      </c>
      <c r="H1081" s="14">
        <f t="shared" si="49"/>
        <v>2020</v>
      </c>
      <c r="I1081" s="5">
        <f t="shared" ca="1" si="50"/>
        <v>-2.1234428086070217E-2</v>
      </c>
      <c r="J1081" s="16"/>
    </row>
    <row r="1082" spans="1:10" x14ac:dyDescent="0.2">
      <c r="A1082" s="3">
        <v>43846</v>
      </c>
      <c r="B1082" s="1">
        <f ca="1">IFERROR(__xludf.DUMMYFUNCTION("""COMPUTED_VALUE"""),32.92)</f>
        <v>32.92</v>
      </c>
      <c r="C1082" s="1">
        <f ca="1">IFERROR(__xludf.DUMMYFUNCTION("""COMPUTED_VALUE"""),34.3)</f>
        <v>34.299999999999997</v>
      </c>
      <c r="D1082" s="1">
        <f ca="1">IFERROR(__xludf.DUMMYFUNCTION("""COMPUTED_VALUE"""),32.81)</f>
        <v>32.81</v>
      </c>
      <c r="E1082" s="1">
        <f ca="1">IFERROR(__xludf.DUMMYFUNCTION("""COMPUTED_VALUE"""),34.23)</f>
        <v>34.229999999999997</v>
      </c>
      <c r="F1082" s="1">
        <f ca="1">IFERROR(__xludf.DUMMYFUNCTION("""COMPUTED_VALUE"""),21736653)</f>
        <v>21736653</v>
      </c>
      <c r="G1082" s="5">
        <f t="shared" ca="1" si="48"/>
        <v>-5.8428279287173757E-3</v>
      </c>
      <c r="H1082" s="14">
        <f t="shared" si="49"/>
        <v>2020</v>
      </c>
      <c r="I1082" s="5">
        <f t="shared" ca="1" si="50"/>
        <v>3.9793438639125003E-2</v>
      </c>
      <c r="J1082" s="16"/>
    </row>
    <row r="1083" spans="1:10" x14ac:dyDescent="0.2">
      <c r="A1083" s="3">
        <v>43847</v>
      </c>
      <c r="B1083" s="1">
        <f ca="1">IFERROR(__xludf.DUMMYFUNCTION("""COMPUTED_VALUE"""),33.84)</f>
        <v>33.840000000000003</v>
      </c>
      <c r="C1083" s="1">
        <f ca="1">IFERROR(__xludf.DUMMYFUNCTION("""COMPUTED_VALUE"""),34.38)</f>
        <v>34.380000000000003</v>
      </c>
      <c r="D1083" s="1">
        <f ca="1">IFERROR(__xludf.DUMMYFUNCTION("""COMPUTED_VALUE"""),33.54)</f>
        <v>33.54</v>
      </c>
      <c r="E1083" s="1">
        <f ca="1">IFERROR(__xludf.DUMMYFUNCTION("""COMPUTED_VALUE"""),34.03)</f>
        <v>34.03</v>
      </c>
      <c r="F1083" s="1">
        <f ca="1">IFERROR(__xludf.DUMMYFUNCTION("""COMPUTED_VALUE"""),13629073)</f>
        <v>13629073</v>
      </c>
      <c r="G1083" s="5">
        <f t="shared" ca="1" si="48"/>
        <v>7.1995298266235547E-2</v>
      </c>
      <c r="H1083" s="14">
        <f t="shared" si="49"/>
        <v>2020</v>
      </c>
      <c r="I1083" s="5">
        <f t="shared" ca="1" si="50"/>
        <v>5.6146572104018239E-3</v>
      </c>
      <c r="J1083" s="16"/>
    </row>
    <row r="1084" spans="1:10" x14ac:dyDescent="0.2">
      <c r="A1084" s="3">
        <v>43851</v>
      </c>
      <c r="B1084" s="1">
        <f ca="1">IFERROR(__xludf.DUMMYFUNCTION("""COMPUTED_VALUE"""),35.35)</f>
        <v>35.35</v>
      </c>
      <c r="C1084" s="1">
        <f ca="1">IFERROR(__xludf.DUMMYFUNCTION("""COMPUTED_VALUE"""),36.57)</f>
        <v>36.57</v>
      </c>
      <c r="D1084" s="1">
        <f ca="1">IFERROR(__xludf.DUMMYFUNCTION("""COMPUTED_VALUE"""),35.23)</f>
        <v>35.229999999999997</v>
      </c>
      <c r="E1084" s="1">
        <f ca="1">IFERROR(__xludf.DUMMYFUNCTION("""COMPUTED_VALUE"""),36.48)</f>
        <v>36.479999999999997</v>
      </c>
      <c r="F1084" s="1">
        <f ca="1">IFERROR(__xludf.DUMMYFUNCTION("""COMPUTED_VALUE"""),17803471)</f>
        <v>17803471</v>
      </c>
      <c r="G1084" s="5">
        <f t="shared" ca="1" si="48"/>
        <v>4.0844298245614093E-2</v>
      </c>
      <c r="H1084" s="14">
        <f t="shared" si="49"/>
        <v>2020</v>
      </c>
      <c r="I1084" s="5">
        <f t="shared" ca="1" si="50"/>
        <v>3.1966053748231839E-2</v>
      </c>
      <c r="J1084" s="16"/>
    </row>
    <row r="1085" spans="1:10" x14ac:dyDescent="0.2">
      <c r="A1085" s="3">
        <v>43852</v>
      </c>
      <c r="B1085" s="1">
        <f ca="1">IFERROR(__xludf.DUMMYFUNCTION("""COMPUTED_VALUE"""),38.13)</f>
        <v>38.130000000000003</v>
      </c>
      <c r="C1085" s="1">
        <f ca="1">IFERROR(__xludf.DUMMYFUNCTION("""COMPUTED_VALUE"""),39.63)</f>
        <v>39.630000000000003</v>
      </c>
      <c r="D1085" s="1">
        <f ca="1">IFERROR(__xludf.DUMMYFUNCTION("""COMPUTED_VALUE"""),37.27)</f>
        <v>37.270000000000003</v>
      </c>
      <c r="E1085" s="1">
        <f ca="1">IFERROR(__xludf.DUMMYFUNCTION("""COMPUTED_VALUE"""),37.97)</f>
        <v>37.97</v>
      </c>
      <c r="F1085" s="1">
        <f ca="1">IFERROR(__xludf.DUMMYFUNCTION("""COMPUTED_VALUE"""),31369028)</f>
        <v>31369028</v>
      </c>
      <c r="G1085" s="5">
        <f t="shared" ca="1" si="48"/>
        <v>4.7405846721095529E-3</v>
      </c>
      <c r="H1085" s="14">
        <f t="shared" si="49"/>
        <v>2020</v>
      </c>
      <c r="I1085" s="5">
        <f t="shared" ca="1" si="50"/>
        <v>-4.1961709939681005E-3</v>
      </c>
      <c r="J1085" s="16"/>
    </row>
    <row r="1086" spans="1:10" x14ac:dyDescent="0.2">
      <c r="A1086" s="3">
        <v>43853</v>
      </c>
      <c r="B1086" s="1">
        <f ca="1">IFERROR(__xludf.DUMMYFUNCTION("""COMPUTED_VALUE"""),37.62)</f>
        <v>37.619999999999997</v>
      </c>
      <c r="C1086" s="1">
        <f ca="1">IFERROR(__xludf.DUMMYFUNCTION("""COMPUTED_VALUE"""),38.8)</f>
        <v>38.799999999999997</v>
      </c>
      <c r="D1086" s="1">
        <f ca="1">IFERROR(__xludf.DUMMYFUNCTION("""COMPUTED_VALUE"""),37.04)</f>
        <v>37.04</v>
      </c>
      <c r="E1086" s="1">
        <f ca="1">IFERROR(__xludf.DUMMYFUNCTION("""COMPUTED_VALUE"""),38.15)</f>
        <v>38.15</v>
      </c>
      <c r="F1086" s="1">
        <f ca="1">IFERROR(__xludf.DUMMYFUNCTION("""COMPUTED_VALUE"""),19651042)</f>
        <v>19651042</v>
      </c>
      <c r="G1086" s="5">
        <f t="shared" ca="1" si="48"/>
        <v>-1.3106159895150722E-2</v>
      </c>
      <c r="H1086" s="14">
        <f t="shared" si="49"/>
        <v>2020</v>
      </c>
      <c r="I1086" s="5">
        <f t="shared" ca="1" si="50"/>
        <v>1.4088250930356224E-2</v>
      </c>
      <c r="J1086" s="16"/>
    </row>
    <row r="1087" spans="1:10" x14ac:dyDescent="0.2">
      <c r="A1087" s="3">
        <v>43854</v>
      </c>
      <c r="B1087" s="1">
        <f ca="1">IFERROR(__xludf.DUMMYFUNCTION("""COMPUTED_VALUE"""),38.04)</f>
        <v>38.04</v>
      </c>
      <c r="C1087" s="1">
        <f ca="1">IFERROR(__xludf.DUMMYFUNCTION("""COMPUTED_VALUE"""),38.26)</f>
        <v>38.26</v>
      </c>
      <c r="D1087" s="1">
        <f ca="1">IFERROR(__xludf.DUMMYFUNCTION("""COMPUTED_VALUE"""),36.95)</f>
        <v>36.950000000000003</v>
      </c>
      <c r="E1087" s="1">
        <f ca="1">IFERROR(__xludf.DUMMYFUNCTION("""COMPUTED_VALUE"""),37.65)</f>
        <v>37.65</v>
      </c>
      <c r="F1087" s="1">
        <f ca="1">IFERROR(__xludf.DUMMYFUNCTION("""COMPUTED_VALUE"""),14353600)</f>
        <v>14353600</v>
      </c>
      <c r="G1087" s="5">
        <f t="shared" ca="1" si="48"/>
        <v>-1.1952191235059648E-2</v>
      </c>
      <c r="H1087" s="14">
        <f t="shared" si="49"/>
        <v>2020</v>
      </c>
      <c r="I1087" s="5">
        <f t="shared" ca="1" si="50"/>
        <v>-1.0252365930599383E-2</v>
      </c>
      <c r="J1087" s="16"/>
    </row>
    <row r="1088" spans="1:10" x14ac:dyDescent="0.2">
      <c r="A1088" s="3">
        <v>43857</v>
      </c>
      <c r="B1088" s="1">
        <f ca="1">IFERROR(__xludf.DUMMYFUNCTION("""COMPUTED_VALUE"""),36.13)</f>
        <v>36.130000000000003</v>
      </c>
      <c r="C1088" s="1">
        <f ca="1">IFERROR(__xludf.DUMMYFUNCTION("""COMPUTED_VALUE"""),37.63)</f>
        <v>37.630000000000003</v>
      </c>
      <c r="D1088" s="1">
        <f ca="1">IFERROR(__xludf.DUMMYFUNCTION("""COMPUTED_VALUE"""),35.95)</f>
        <v>35.950000000000003</v>
      </c>
      <c r="E1088" s="1">
        <f ca="1">IFERROR(__xludf.DUMMYFUNCTION("""COMPUTED_VALUE"""),37.2)</f>
        <v>37.200000000000003</v>
      </c>
      <c r="F1088" s="1">
        <f ca="1">IFERROR(__xludf.DUMMYFUNCTION("""COMPUTED_VALUE"""),13608068)</f>
        <v>13608068</v>
      </c>
      <c r="G1088" s="5">
        <f t="shared" ca="1" si="48"/>
        <v>1.5860215053763341E-2</v>
      </c>
      <c r="H1088" s="14">
        <f t="shared" si="49"/>
        <v>2020</v>
      </c>
      <c r="I1088" s="5">
        <f t="shared" ca="1" si="50"/>
        <v>2.9615278162192091E-2</v>
      </c>
      <c r="J1088" s="16"/>
    </row>
    <row r="1089" spans="1:10" x14ac:dyDescent="0.2">
      <c r="A1089" s="3">
        <v>43858</v>
      </c>
      <c r="B1089" s="1">
        <f ca="1">IFERROR(__xludf.DUMMYFUNCTION("""COMPUTED_VALUE"""),37.9)</f>
        <v>37.9</v>
      </c>
      <c r="C1089" s="1">
        <f ca="1">IFERROR(__xludf.DUMMYFUNCTION("""COMPUTED_VALUE"""),38.45)</f>
        <v>38.450000000000003</v>
      </c>
      <c r="D1089" s="1">
        <f ca="1">IFERROR(__xludf.DUMMYFUNCTION("""COMPUTED_VALUE"""),37.21)</f>
        <v>37.21</v>
      </c>
      <c r="E1089" s="1">
        <f ca="1">IFERROR(__xludf.DUMMYFUNCTION("""COMPUTED_VALUE"""),37.79)</f>
        <v>37.79</v>
      </c>
      <c r="F1089" s="1">
        <f ca="1">IFERROR(__xludf.DUMMYFUNCTION("""COMPUTED_VALUE"""),11788493)</f>
        <v>11788493</v>
      </c>
      <c r="G1089" s="5">
        <f t="shared" ca="1" si="48"/>
        <v>2.487430537179142E-2</v>
      </c>
      <c r="H1089" s="14">
        <f t="shared" si="49"/>
        <v>2020</v>
      </c>
      <c r="I1089" s="5">
        <f t="shared" ca="1" si="50"/>
        <v>-2.9023746701846817E-3</v>
      </c>
      <c r="J1089" s="16"/>
    </row>
    <row r="1090" spans="1:10" x14ac:dyDescent="0.2">
      <c r="A1090" s="3">
        <v>43859</v>
      </c>
      <c r="B1090" s="1">
        <f ca="1">IFERROR(__xludf.DUMMYFUNCTION("""COMPUTED_VALUE"""),38.38)</f>
        <v>38.380000000000003</v>
      </c>
      <c r="C1090" s="1">
        <f ca="1">IFERROR(__xludf.DUMMYFUNCTION("""COMPUTED_VALUE"""),39.32)</f>
        <v>39.32</v>
      </c>
      <c r="D1090" s="1">
        <f ca="1">IFERROR(__xludf.DUMMYFUNCTION("""COMPUTED_VALUE"""),37.83)</f>
        <v>37.83</v>
      </c>
      <c r="E1090" s="1">
        <f ca="1">IFERROR(__xludf.DUMMYFUNCTION("""COMPUTED_VALUE"""),38.73)</f>
        <v>38.729999999999997</v>
      </c>
      <c r="F1090" s="1">
        <f ca="1">IFERROR(__xludf.DUMMYFUNCTION("""COMPUTED_VALUE"""),18216672)</f>
        <v>18216672</v>
      </c>
      <c r="G1090" s="5">
        <f t="shared" ca="1" si="48"/>
        <v>0.10302091402013949</v>
      </c>
      <c r="H1090" s="14">
        <f t="shared" si="49"/>
        <v>2020</v>
      </c>
      <c r="I1090" s="5">
        <f t="shared" ca="1" si="50"/>
        <v>9.1193329859300225E-3</v>
      </c>
      <c r="J1090" s="16"/>
    </row>
    <row r="1091" spans="1:10" x14ac:dyDescent="0.2">
      <c r="A1091" s="3">
        <v>43860</v>
      </c>
      <c r="B1091" s="1">
        <f ca="1">IFERROR(__xludf.DUMMYFUNCTION("""COMPUTED_VALUE"""),42.16)</f>
        <v>42.16</v>
      </c>
      <c r="C1091" s="1">
        <f ca="1">IFERROR(__xludf.DUMMYFUNCTION("""COMPUTED_VALUE"""),43.39)</f>
        <v>43.39</v>
      </c>
      <c r="D1091" s="1">
        <f ca="1">IFERROR(__xludf.DUMMYFUNCTION("""COMPUTED_VALUE"""),41.2)</f>
        <v>41.2</v>
      </c>
      <c r="E1091" s="1">
        <f ca="1">IFERROR(__xludf.DUMMYFUNCTION("""COMPUTED_VALUE"""),42.72)</f>
        <v>42.72</v>
      </c>
      <c r="F1091" s="1">
        <f ca="1">IFERROR(__xludf.DUMMYFUNCTION("""COMPUTED_VALUE"""),29005676)</f>
        <v>29005676</v>
      </c>
      <c r="G1091" s="5">
        <f t="shared" ref="G1091:G1154" ca="1" si="51">(E1092-E1091)/E1091</f>
        <v>1.5215355805243413E-2</v>
      </c>
      <c r="H1091" s="14">
        <f t="shared" ref="H1091:H1154" si="52">YEAR(A1091)</f>
        <v>2020</v>
      </c>
      <c r="I1091" s="5">
        <f t="shared" ref="I1091:I1154" ca="1" si="53">((E1091 - B1091) / B1091)</f>
        <v>1.3282732447817892E-2</v>
      </c>
      <c r="J1091" s="16"/>
    </row>
    <row r="1092" spans="1:10" x14ac:dyDescent="0.2">
      <c r="A1092" s="3">
        <v>43861</v>
      </c>
      <c r="B1092" s="1">
        <f ca="1">IFERROR(__xludf.DUMMYFUNCTION("""COMPUTED_VALUE"""),42.67)</f>
        <v>42.67</v>
      </c>
      <c r="C1092" s="1">
        <f ca="1">IFERROR(__xludf.DUMMYFUNCTION("""COMPUTED_VALUE"""),43.53)</f>
        <v>43.53</v>
      </c>
      <c r="D1092" s="1">
        <f ca="1">IFERROR(__xludf.DUMMYFUNCTION("""COMPUTED_VALUE"""),42.17)</f>
        <v>42.17</v>
      </c>
      <c r="E1092" s="1">
        <f ca="1">IFERROR(__xludf.DUMMYFUNCTION("""COMPUTED_VALUE"""),43.37)</f>
        <v>43.37</v>
      </c>
      <c r="F1092" s="1">
        <f ca="1">IFERROR(__xludf.DUMMYFUNCTION("""COMPUTED_VALUE"""),15719266)</f>
        <v>15719266</v>
      </c>
      <c r="G1092" s="5">
        <f t="shared" ca="1" si="51"/>
        <v>0.19898547382983636</v>
      </c>
      <c r="H1092" s="14">
        <f t="shared" si="52"/>
        <v>2020</v>
      </c>
      <c r="I1092" s="5">
        <f t="shared" ca="1" si="53"/>
        <v>1.6404968361846631E-2</v>
      </c>
      <c r="J1092" s="16"/>
    </row>
    <row r="1093" spans="1:10" x14ac:dyDescent="0.2">
      <c r="A1093" s="3">
        <v>43864</v>
      </c>
      <c r="B1093" s="1">
        <f ca="1">IFERROR(__xludf.DUMMYFUNCTION("""COMPUTED_VALUE"""),44.91)</f>
        <v>44.91</v>
      </c>
      <c r="C1093" s="1">
        <f ca="1">IFERROR(__xludf.DUMMYFUNCTION("""COMPUTED_VALUE"""),52.41)</f>
        <v>52.41</v>
      </c>
      <c r="D1093" s="1">
        <f ca="1">IFERROR(__xludf.DUMMYFUNCTION("""COMPUTED_VALUE"""),44.9)</f>
        <v>44.9</v>
      </c>
      <c r="E1093" s="1">
        <f ca="1">IFERROR(__xludf.DUMMYFUNCTION("""COMPUTED_VALUE"""),52)</f>
        <v>52</v>
      </c>
      <c r="F1093" s="1">
        <f ca="1">IFERROR(__xludf.DUMMYFUNCTION("""COMPUTED_VALUE"""),47233495)</f>
        <v>47233495</v>
      </c>
      <c r="G1093" s="5">
        <f t="shared" ca="1" si="51"/>
        <v>0.13730769230769233</v>
      </c>
      <c r="H1093" s="14">
        <f t="shared" si="52"/>
        <v>2020</v>
      </c>
      <c r="I1093" s="5">
        <f t="shared" ca="1" si="53"/>
        <v>0.15787129815185935</v>
      </c>
      <c r="J1093" s="16"/>
    </row>
    <row r="1094" spans="1:10" x14ac:dyDescent="0.2">
      <c r="A1094" s="3">
        <v>43865</v>
      </c>
      <c r="B1094" s="1">
        <f ca="1">IFERROR(__xludf.DUMMYFUNCTION("""COMPUTED_VALUE"""),58.86)</f>
        <v>58.86</v>
      </c>
      <c r="C1094" s="1">
        <f ca="1">IFERROR(__xludf.DUMMYFUNCTION("""COMPUTED_VALUE"""),64.6)</f>
        <v>64.599999999999994</v>
      </c>
      <c r="D1094" s="1">
        <f ca="1">IFERROR(__xludf.DUMMYFUNCTION("""COMPUTED_VALUE"""),55.59)</f>
        <v>55.59</v>
      </c>
      <c r="E1094" s="1">
        <f ca="1">IFERROR(__xludf.DUMMYFUNCTION("""COMPUTED_VALUE"""),59.14)</f>
        <v>59.14</v>
      </c>
      <c r="F1094" s="1">
        <f ca="1">IFERROR(__xludf.DUMMYFUNCTION("""COMPUTED_VALUE"""),60938758)</f>
        <v>60938758</v>
      </c>
      <c r="G1094" s="5">
        <f t="shared" ca="1" si="51"/>
        <v>-0.1717957389245858</v>
      </c>
      <c r="H1094" s="14">
        <f t="shared" si="52"/>
        <v>2020</v>
      </c>
      <c r="I1094" s="5">
        <f t="shared" ca="1" si="53"/>
        <v>4.7570506286102807E-3</v>
      </c>
      <c r="J1094" s="16"/>
    </row>
    <row r="1095" spans="1:10" x14ac:dyDescent="0.2">
      <c r="A1095" s="3">
        <v>43866</v>
      </c>
      <c r="B1095" s="1">
        <f ca="1">IFERROR(__xludf.DUMMYFUNCTION("""COMPUTED_VALUE"""),54.88)</f>
        <v>54.88</v>
      </c>
      <c r="C1095" s="1">
        <f ca="1">IFERROR(__xludf.DUMMYFUNCTION("""COMPUTED_VALUE"""),56.4)</f>
        <v>56.4</v>
      </c>
      <c r="D1095" s="1">
        <f ca="1">IFERROR(__xludf.DUMMYFUNCTION("""COMPUTED_VALUE"""),46.94)</f>
        <v>46.94</v>
      </c>
      <c r="E1095" s="1">
        <f ca="1">IFERROR(__xludf.DUMMYFUNCTION("""COMPUTED_VALUE"""),48.98)</f>
        <v>48.98</v>
      </c>
      <c r="F1095" s="1">
        <f ca="1">IFERROR(__xludf.DUMMYFUNCTION("""COMPUTED_VALUE"""),48423837)</f>
        <v>48423837</v>
      </c>
      <c r="G1095" s="5">
        <f t="shared" ca="1" si="51"/>
        <v>1.9395671702735869E-2</v>
      </c>
      <c r="H1095" s="14">
        <f t="shared" si="52"/>
        <v>2020</v>
      </c>
      <c r="I1095" s="5">
        <f t="shared" ca="1" si="53"/>
        <v>-0.10750728862973771</v>
      </c>
      <c r="J1095" s="16"/>
    </row>
    <row r="1096" spans="1:10" x14ac:dyDescent="0.2">
      <c r="A1096" s="3">
        <v>43867</v>
      </c>
      <c r="B1096" s="1">
        <f ca="1">IFERROR(__xludf.DUMMYFUNCTION("""COMPUTED_VALUE"""),46.66)</f>
        <v>46.66</v>
      </c>
      <c r="C1096" s="1">
        <f ca="1">IFERROR(__xludf.DUMMYFUNCTION("""COMPUTED_VALUE"""),53.06)</f>
        <v>53.06</v>
      </c>
      <c r="D1096" s="1">
        <f ca="1">IFERROR(__xludf.DUMMYFUNCTION("""COMPUTED_VALUE"""),45.8)</f>
        <v>45.8</v>
      </c>
      <c r="E1096" s="1">
        <f ca="1">IFERROR(__xludf.DUMMYFUNCTION("""COMPUTED_VALUE"""),49.93)</f>
        <v>49.93</v>
      </c>
      <c r="F1096" s="1">
        <f ca="1">IFERROR(__xludf.DUMMYFUNCTION("""COMPUTED_VALUE"""),39880752)</f>
        <v>39880752</v>
      </c>
      <c r="G1096" s="5">
        <f t="shared" ca="1" si="51"/>
        <v>-1.2016823552974619E-3</v>
      </c>
      <c r="H1096" s="14">
        <f t="shared" si="52"/>
        <v>2020</v>
      </c>
      <c r="I1096" s="5">
        <f t="shared" ca="1" si="53"/>
        <v>7.008144020574375E-2</v>
      </c>
      <c r="J1096" s="16"/>
    </row>
    <row r="1097" spans="1:10" x14ac:dyDescent="0.2">
      <c r="A1097" s="3">
        <v>43868</v>
      </c>
      <c r="B1097" s="1">
        <f ca="1">IFERROR(__xludf.DUMMYFUNCTION("""COMPUTED_VALUE"""),48.7)</f>
        <v>48.7</v>
      </c>
      <c r="C1097" s="1">
        <f ca="1">IFERROR(__xludf.DUMMYFUNCTION("""COMPUTED_VALUE"""),51.32)</f>
        <v>51.32</v>
      </c>
      <c r="D1097" s="1">
        <f ca="1">IFERROR(__xludf.DUMMYFUNCTION("""COMPUTED_VALUE"""),48.67)</f>
        <v>48.67</v>
      </c>
      <c r="E1097" s="1">
        <f ca="1">IFERROR(__xludf.DUMMYFUNCTION("""COMPUTED_VALUE"""),49.87)</f>
        <v>49.87</v>
      </c>
      <c r="F1097" s="1">
        <f ca="1">IFERROR(__xludf.DUMMYFUNCTION("""COMPUTED_VALUE"""),17063521)</f>
        <v>17063521</v>
      </c>
      <c r="G1097" s="5">
        <f t="shared" ca="1" si="51"/>
        <v>3.1080810106276405E-2</v>
      </c>
      <c r="H1097" s="14">
        <f t="shared" si="52"/>
        <v>2020</v>
      </c>
      <c r="I1097" s="5">
        <f t="shared" ca="1" si="53"/>
        <v>2.4024640657084078E-2</v>
      </c>
      <c r="J1097" s="16"/>
    </row>
    <row r="1098" spans="1:10" x14ac:dyDescent="0.2">
      <c r="A1098" s="3">
        <v>43871</v>
      </c>
      <c r="B1098" s="1">
        <f ca="1">IFERROR(__xludf.DUMMYFUNCTION("""COMPUTED_VALUE"""),53.33)</f>
        <v>53.33</v>
      </c>
      <c r="C1098" s="1">
        <f ca="1">IFERROR(__xludf.DUMMYFUNCTION("""COMPUTED_VALUE"""),54.67)</f>
        <v>54.67</v>
      </c>
      <c r="D1098" s="1">
        <f ca="1">IFERROR(__xludf.DUMMYFUNCTION("""COMPUTED_VALUE"""),50.16)</f>
        <v>50.16</v>
      </c>
      <c r="E1098" s="1">
        <f ca="1">IFERROR(__xludf.DUMMYFUNCTION("""COMPUTED_VALUE"""),51.42)</f>
        <v>51.42</v>
      </c>
      <c r="F1098" s="1">
        <f ca="1">IFERROR(__xludf.DUMMYFUNCTION("""COMPUTED_VALUE"""),24689163)</f>
        <v>24689163</v>
      </c>
      <c r="G1098" s="5">
        <f t="shared" ca="1" si="51"/>
        <v>4.0840140023337386E-3</v>
      </c>
      <c r="H1098" s="14">
        <f t="shared" si="52"/>
        <v>2020</v>
      </c>
      <c r="I1098" s="5">
        <f t="shared" ca="1" si="53"/>
        <v>-3.5814738421151258E-2</v>
      </c>
      <c r="J1098" s="16"/>
    </row>
    <row r="1099" spans="1:10" x14ac:dyDescent="0.2">
      <c r="A1099" s="3">
        <v>43872</v>
      </c>
      <c r="B1099" s="1">
        <f ca="1">IFERROR(__xludf.DUMMYFUNCTION("""COMPUTED_VALUE"""),51.25)</f>
        <v>51.25</v>
      </c>
      <c r="C1099" s="1">
        <f ca="1">IFERROR(__xludf.DUMMYFUNCTION("""COMPUTED_VALUE"""),52.23)</f>
        <v>52.23</v>
      </c>
      <c r="D1099" s="1">
        <f ca="1">IFERROR(__xludf.DUMMYFUNCTION("""COMPUTED_VALUE"""),50.53)</f>
        <v>50.53</v>
      </c>
      <c r="E1099" s="1">
        <f ca="1">IFERROR(__xludf.DUMMYFUNCTION("""COMPUTED_VALUE"""),51.63)</f>
        <v>51.63</v>
      </c>
      <c r="F1099" s="1">
        <f ca="1">IFERROR(__xludf.DUMMYFUNCTION("""COMPUTED_VALUE"""),11697473)</f>
        <v>11697473</v>
      </c>
      <c r="G1099" s="5">
        <f t="shared" ca="1" si="51"/>
        <v>-9.2969203951191928E-3</v>
      </c>
      <c r="H1099" s="14">
        <f t="shared" si="52"/>
        <v>2020</v>
      </c>
      <c r="I1099" s="5">
        <f t="shared" ca="1" si="53"/>
        <v>7.4146341463415134E-3</v>
      </c>
      <c r="J1099" s="16"/>
    </row>
    <row r="1100" spans="1:10" x14ac:dyDescent="0.2">
      <c r="A1100" s="3">
        <v>43873</v>
      </c>
      <c r="B1100" s="1">
        <f ca="1">IFERROR(__xludf.DUMMYFUNCTION("""COMPUTED_VALUE"""),51.86)</f>
        <v>51.86</v>
      </c>
      <c r="C1100" s="1">
        <f ca="1">IFERROR(__xludf.DUMMYFUNCTION("""COMPUTED_VALUE"""),52.65)</f>
        <v>52.65</v>
      </c>
      <c r="D1100" s="1">
        <f ca="1">IFERROR(__xludf.DUMMYFUNCTION("""COMPUTED_VALUE"""),50.89)</f>
        <v>50.89</v>
      </c>
      <c r="E1100" s="1">
        <f ca="1">IFERROR(__xludf.DUMMYFUNCTION("""COMPUTED_VALUE"""),51.15)</f>
        <v>51.15</v>
      </c>
      <c r="F1100" s="1">
        <f ca="1">IFERROR(__xludf.DUMMYFUNCTION("""COMPUTED_VALUE"""),12022470)</f>
        <v>12022470</v>
      </c>
      <c r="G1100" s="5">
        <f t="shared" ca="1" si="51"/>
        <v>4.7898338220918921E-2</v>
      </c>
      <c r="H1100" s="14">
        <f t="shared" si="52"/>
        <v>2020</v>
      </c>
      <c r="I1100" s="5">
        <f t="shared" ca="1" si="53"/>
        <v>-1.3690705746239894E-2</v>
      </c>
      <c r="J1100" s="16"/>
    </row>
    <row r="1101" spans="1:10" x14ac:dyDescent="0.2">
      <c r="A1101" s="3">
        <v>43874</v>
      </c>
      <c r="B1101" s="1">
        <f ca="1">IFERROR(__xludf.DUMMYFUNCTION("""COMPUTED_VALUE"""),49.46)</f>
        <v>49.46</v>
      </c>
      <c r="C1101" s="1">
        <f ca="1">IFERROR(__xludf.DUMMYFUNCTION("""COMPUTED_VALUE"""),54.53)</f>
        <v>54.53</v>
      </c>
      <c r="D1101" s="1">
        <f ca="1">IFERROR(__xludf.DUMMYFUNCTION("""COMPUTED_VALUE"""),49)</f>
        <v>49</v>
      </c>
      <c r="E1101" s="1">
        <f ca="1">IFERROR(__xludf.DUMMYFUNCTION("""COMPUTED_VALUE"""),53.6)</f>
        <v>53.6</v>
      </c>
      <c r="F1101" s="1">
        <f ca="1">IFERROR(__xludf.DUMMYFUNCTION("""COMPUTED_VALUE"""),26289348)</f>
        <v>26289348</v>
      </c>
      <c r="G1101" s="5">
        <f t="shared" ca="1" si="51"/>
        <v>-4.8507462686566789E-3</v>
      </c>
      <c r="H1101" s="14">
        <f t="shared" si="52"/>
        <v>2020</v>
      </c>
      <c r="I1101" s="5">
        <f t="shared" ca="1" si="53"/>
        <v>8.3704003234937333E-2</v>
      </c>
      <c r="J1101" s="16"/>
    </row>
    <row r="1102" spans="1:10" x14ac:dyDescent="0.2">
      <c r="A1102" s="3">
        <v>43875</v>
      </c>
      <c r="B1102" s="1">
        <f ca="1">IFERROR(__xludf.DUMMYFUNCTION("""COMPUTED_VALUE"""),52.48)</f>
        <v>52.48</v>
      </c>
      <c r="C1102" s="1">
        <f ca="1">IFERROR(__xludf.DUMMYFUNCTION("""COMPUTED_VALUE"""),54.2)</f>
        <v>54.2</v>
      </c>
      <c r="D1102" s="1">
        <f ca="1">IFERROR(__xludf.DUMMYFUNCTION("""COMPUTED_VALUE"""),52.37)</f>
        <v>52.37</v>
      </c>
      <c r="E1102" s="1">
        <f ca="1">IFERROR(__xludf.DUMMYFUNCTION("""COMPUTED_VALUE"""),53.34)</f>
        <v>53.34</v>
      </c>
      <c r="F1102" s="1">
        <f ca="1">IFERROR(__xludf.DUMMYFUNCTION("""COMPUTED_VALUE"""),15693711)</f>
        <v>15693711</v>
      </c>
      <c r="G1102" s="5">
        <f t="shared" ca="1" si="51"/>
        <v>7.2928383952005876E-2</v>
      </c>
      <c r="H1102" s="14">
        <f t="shared" si="52"/>
        <v>2020</v>
      </c>
      <c r="I1102" s="5">
        <f t="shared" ca="1" si="53"/>
        <v>1.6387195121951345E-2</v>
      </c>
      <c r="J1102" s="16"/>
    </row>
    <row r="1103" spans="1:10" x14ac:dyDescent="0.2">
      <c r="A1103" s="3">
        <v>43879</v>
      </c>
      <c r="B1103" s="1">
        <f ca="1">IFERROR(__xludf.DUMMYFUNCTION("""COMPUTED_VALUE"""),56.11)</f>
        <v>56.11</v>
      </c>
      <c r="C1103" s="1">
        <f ca="1">IFERROR(__xludf.DUMMYFUNCTION("""COMPUTED_VALUE"""),57.33)</f>
        <v>57.33</v>
      </c>
      <c r="D1103" s="1">
        <f ca="1">IFERROR(__xludf.DUMMYFUNCTION("""COMPUTED_VALUE"""),55.49)</f>
        <v>55.49</v>
      </c>
      <c r="E1103" s="1">
        <f ca="1">IFERROR(__xludf.DUMMYFUNCTION("""COMPUTED_VALUE"""),57.23)</f>
        <v>57.23</v>
      </c>
      <c r="F1103" s="1">
        <f ca="1">IFERROR(__xludf.DUMMYFUNCTION("""COMPUTED_VALUE"""),16698369)</f>
        <v>16698369</v>
      </c>
      <c r="G1103" s="5">
        <f t="shared" ca="1" si="51"/>
        <v>6.8670277826314866E-2</v>
      </c>
      <c r="H1103" s="14">
        <f t="shared" si="52"/>
        <v>2020</v>
      </c>
      <c r="I1103" s="5">
        <f t="shared" ca="1" si="53"/>
        <v>1.9960791302798028E-2</v>
      </c>
      <c r="J1103" s="16"/>
    </row>
    <row r="1104" spans="1:10" x14ac:dyDescent="0.2">
      <c r="A1104" s="3">
        <v>43880</v>
      </c>
      <c r="B1104" s="1">
        <f ca="1">IFERROR(__xludf.DUMMYFUNCTION("""COMPUTED_VALUE"""),61.57)</f>
        <v>61.57</v>
      </c>
      <c r="C1104" s="1">
        <f ca="1">IFERROR(__xludf.DUMMYFUNCTION("""COMPUTED_VALUE"""),62.99)</f>
        <v>62.99</v>
      </c>
      <c r="D1104" s="1">
        <f ca="1">IFERROR(__xludf.DUMMYFUNCTION("""COMPUTED_VALUE"""),60.07)</f>
        <v>60.07</v>
      </c>
      <c r="E1104" s="1">
        <f ca="1">IFERROR(__xludf.DUMMYFUNCTION("""COMPUTED_VALUE"""),61.16)</f>
        <v>61.16</v>
      </c>
      <c r="F1104" s="1">
        <f ca="1">IFERROR(__xludf.DUMMYFUNCTION("""COMPUTED_VALUE"""),25422958)</f>
        <v>25422958</v>
      </c>
      <c r="G1104" s="5">
        <f t="shared" ca="1" si="51"/>
        <v>-1.9620667102681424E-2</v>
      </c>
      <c r="H1104" s="14">
        <f t="shared" si="52"/>
        <v>2020</v>
      </c>
      <c r="I1104" s="5">
        <f t="shared" ca="1" si="53"/>
        <v>-6.6590872178009372E-3</v>
      </c>
      <c r="J1104" s="16"/>
    </row>
    <row r="1105" spans="1:10" x14ac:dyDescent="0.2">
      <c r="A1105" s="3">
        <v>43881</v>
      </c>
      <c r="B1105" s="1">
        <f ca="1">IFERROR(__xludf.DUMMYFUNCTION("""COMPUTED_VALUE"""),60.8)</f>
        <v>60.8</v>
      </c>
      <c r="C1105" s="1">
        <f ca="1">IFERROR(__xludf.DUMMYFUNCTION("""COMPUTED_VALUE"""),60.8)</f>
        <v>60.8</v>
      </c>
      <c r="D1105" s="1">
        <f ca="1">IFERROR(__xludf.DUMMYFUNCTION("""COMPUTED_VALUE"""),57.33)</f>
        <v>57.33</v>
      </c>
      <c r="E1105" s="1">
        <f ca="1">IFERROR(__xludf.DUMMYFUNCTION("""COMPUTED_VALUE"""),59.96)</f>
        <v>59.96</v>
      </c>
      <c r="F1105" s="1">
        <f ca="1">IFERROR(__xludf.DUMMYFUNCTION("""COMPUTED_VALUE"""),17634893)</f>
        <v>17634893</v>
      </c>
      <c r="G1105" s="5">
        <f t="shared" ca="1" si="51"/>
        <v>1.834556370913933E-3</v>
      </c>
      <c r="H1105" s="14">
        <f t="shared" si="52"/>
        <v>2020</v>
      </c>
      <c r="I1105" s="5">
        <f t="shared" ca="1" si="53"/>
        <v>-1.3815789473684151E-2</v>
      </c>
      <c r="J1105" s="16"/>
    </row>
    <row r="1106" spans="1:10" x14ac:dyDescent="0.2">
      <c r="A1106" s="3">
        <v>43882</v>
      </c>
      <c r="B1106" s="1">
        <f ca="1">IFERROR(__xludf.DUMMYFUNCTION("""COMPUTED_VALUE"""),60.47)</f>
        <v>60.47</v>
      </c>
      <c r="C1106" s="1">
        <f ca="1">IFERROR(__xludf.DUMMYFUNCTION("""COMPUTED_VALUE"""),60.87)</f>
        <v>60.87</v>
      </c>
      <c r="D1106" s="1">
        <f ca="1">IFERROR(__xludf.DUMMYFUNCTION("""COMPUTED_VALUE"""),58.7)</f>
        <v>58.7</v>
      </c>
      <c r="E1106" s="1">
        <f ca="1">IFERROR(__xludf.DUMMYFUNCTION("""COMPUTED_VALUE"""),60.07)</f>
        <v>60.07</v>
      </c>
      <c r="F1106" s="1">
        <f ca="1">IFERROR(__xludf.DUMMYFUNCTION("""COMPUTED_VALUE"""),14339446)</f>
        <v>14339446</v>
      </c>
      <c r="G1106" s="5">
        <f t="shared" ca="1" si="51"/>
        <v>-7.45796570667554E-2</v>
      </c>
      <c r="H1106" s="14">
        <f t="shared" si="52"/>
        <v>2020</v>
      </c>
      <c r="I1106" s="5">
        <f t="shared" ca="1" si="53"/>
        <v>-6.6148503390110565E-3</v>
      </c>
      <c r="J1106" s="16"/>
    </row>
    <row r="1107" spans="1:10" x14ac:dyDescent="0.2">
      <c r="A1107" s="3">
        <v>43885</v>
      </c>
      <c r="B1107" s="1">
        <f ca="1">IFERROR(__xludf.DUMMYFUNCTION("""COMPUTED_VALUE"""),55.93)</f>
        <v>55.93</v>
      </c>
      <c r="C1107" s="1">
        <f ca="1">IFERROR(__xludf.DUMMYFUNCTION("""COMPUTED_VALUE"""),57.57)</f>
        <v>57.57</v>
      </c>
      <c r="D1107" s="1">
        <f ca="1">IFERROR(__xludf.DUMMYFUNCTION("""COMPUTED_VALUE"""),54.81)</f>
        <v>54.81</v>
      </c>
      <c r="E1107" s="1">
        <f ca="1">IFERROR(__xludf.DUMMYFUNCTION("""COMPUTED_VALUE"""),55.59)</f>
        <v>55.59</v>
      </c>
      <c r="F1107" s="1">
        <f ca="1">IFERROR(__xludf.DUMMYFUNCTION("""COMPUTED_VALUE"""),15192163)</f>
        <v>15192163</v>
      </c>
      <c r="G1107" s="5">
        <f t="shared" ca="1" si="51"/>
        <v>-4.065479402770291E-2</v>
      </c>
      <c r="H1107" s="14">
        <f t="shared" si="52"/>
        <v>2020</v>
      </c>
      <c r="I1107" s="5">
        <f t="shared" ca="1" si="53"/>
        <v>-6.0790273556230344E-3</v>
      </c>
      <c r="J1107" s="16"/>
    </row>
    <row r="1108" spans="1:10" x14ac:dyDescent="0.2">
      <c r="A1108" s="3">
        <v>43886</v>
      </c>
      <c r="B1108" s="1">
        <f ca="1">IFERROR(__xludf.DUMMYFUNCTION("""COMPUTED_VALUE"""),56.6)</f>
        <v>56.6</v>
      </c>
      <c r="C1108" s="1">
        <f ca="1">IFERROR(__xludf.DUMMYFUNCTION("""COMPUTED_VALUE"""),57.11)</f>
        <v>57.11</v>
      </c>
      <c r="D1108" s="1">
        <f ca="1">IFERROR(__xludf.DUMMYFUNCTION("""COMPUTED_VALUE"""),52.47)</f>
        <v>52.47</v>
      </c>
      <c r="E1108" s="1">
        <f ca="1">IFERROR(__xludf.DUMMYFUNCTION("""COMPUTED_VALUE"""),53.33)</f>
        <v>53.33</v>
      </c>
      <c r="F1108" s="1">
        <f ca="1">IFERROR(__xludf.DUMMYFUNCTION("""COMPUTED_VALUE"""),17290481)</f>
        <v>17290481</v>
      </c>
      <c r="G1108" s="5">
        <f t="shared" ca="1" si="51"/>
        <v>-2.6439152447027877E-2</v>
      </c>
      <c r="H1108" s="14">
        <f t="shared" si="52"/>
        <v>2020</v>
      </c>
      <c r="I1108" s="5">
        <f t="shared" ca="1" si="53"/>
        <v>-5.7773851590106062E-2</v>
      </c>
      <c r="J1108" s="16"/>
    </row>
    <row r="1109" spans="1:10" x14ac:dyDescent="0.2">
      <c r="A1109" s="3">
        <v>43887</v>
      </c>
      <c r="B1109" s="1">
        <f ca="1">IFERROR(__xludf.DUMMYFUNCTION("""COMPUTED_VALUE"""),52.17)</f>
        <v>52.17</v>
      </c>
      <c r="C1109" s="1">
        <f ca="1">IFERROR(__xludf.DUMMYFUNCTION("""COMPUTED_VALUE"""),54.22)</f>
        <v>54.22</v>
      </c>
      <c r="D1109" s="1">
        <f ca="1">IFERROR(__xludf.DUMMYFUNCTION("""COMPUTED_VALUE"""),51.74)</f>
        <v>51.74</v>
      </c>
      <c r="E1109" s="1">
        <f ca="1">IFERROR(__xludf.DUMMYFUNCTION("""COMPUTED_VALUE"""),51.92)</f>
        <v>51.92</v>
      </c>
      <c r="F1109" s="1">
        <f ca="1">IFERROR(__xludf.DUMMYFUNCTION("""COMPUTED_VALUE"""),14153843)</f>
        <v>14153843</v>
      </c>
      <c r="G1109" s="5">
        <f t="shared" ca="1" si="51"/>
        <v>-0.12808166409861321</v>
      </c>
      <c r="H1109" s="14">
        <f t="shared" si="52"/>
        <v>2020</v>
      </c>
      <c r="I1109" s="5">
        <f t="shared" ca="1" si="53"/>
        <v>-4.7920260686218135E-3</v>
      </c>
      <c r="J1109" s="16"/>
    </row>
    <row r="1110" spans="1:10" x14ac:dyDescent="0.2">
      <c r="A1110" s="3">
        <v>43888</v>
      </c>
      <c r="B1110" s="1">
        <f ca="1">IFERROR(__xludf.DUMMYFUNCTION("""COMPUTED_VALUE"""),48.67)</f>
        <v>48.67</v>
      </c>
      <c r="C1110" s="1">
        <f ca="1">IFERROR(__xludf.DUMMYFUNCTION("""COMPUTED_VALUE"""),49.32)</f>
        <v>49.32</v>
      </c>
      <c r="D1110" s="1">
        <f ca="1">IFERROR(__xludf.DUMMYFUNCTION("""COMPUTED_VALUE"""),44.6)</f>
        <v>44.6</v>
      </c>
      <c r="E1110" s="1">
        <f ca="1">IFERROR(__xludf.DUMMYFUNCTION("""COMPUTED_VALUE"""),45.27)</f>
        <v>45.27</v>
      </c>
      <c r="F1110" s="1">
        <f ca="1">IFERROR(__xludf.DUMMYFUNCTION("""COMPUTED_VALUE"""),24277160)</f>
        <v>24277160</v>
      </c>
      <c r="G1110" s="5">
        <f t="shared" ca="1" si="51"/>
        <v>-1.6346366246962712E-2</v>
      </c>
      <c r="H1110" s="14">
        <f t="shared" si="52"/>
        <v>2020</v>
      </c>
      <c r="I1110" s="5">
        <f t="shared" ca="1" si="53"/>
        <v>-6.9858228888432267E-2</v>
      </c>
      <c r="J1110" s="16"/>
    </row>
    <row r="1111" spans="1:10" x14ac:dyDescent="0.2">
      <c r="A1111" s="3">
        <v>43889</v>
      </c>
      <c r="B1111" s="1">
        <f ca="1">IFERROR(__xludf.DUMMYFUNCTION("""COMPUTED_VALUE"""),41.98)</f>
        <v>41.98</v>
      </c>
      <c r="C1111" s="1">
        <f ca="1">IFERROR(__xludf.DUMMYFUNCTION("""COMPUTED_VALUE"""),46.03)</f>
        <v>46.03</v>
      </c>
      <c r="D1111" s="1">
        <f ca="1">IFERROR(__xludf.DUMMYFUNCTION("""COMPUTED_VALUE"""),40.77)</f>
        <v>40.770000000000003</v>
      </c>
      <c r="E1111" s="1">
        <f ca="1">IFERROR(__xludf.DUMMYFUNCTION("""COMPUTED_VALUE"""),44.53)</f>
        <v>44.53</v>
      </c>
      <c r="F1111" s="1">
        <f ca="1">IFERROR(__xludf.DUMMYFUNCTION("""COMPUTED_VALUE"""),24564171)</f>
        <v>24564171</v>
      </c>
      <c r="G1111" s="5">
        <f t="shared" ca="1" si="51"/>
        <v>0.11318212441050975</v>
      </c>
      <c r="H1111" s="14">
        <f t="shared" si="52"/>
        <v>2020</v>
      </c>
      <c r="I1111" s="5">
        <f t="shared" ca="1" si="53"/>
        <v>6.0743211052882433E-2</v>
      </c>
      <c r="J1111" s="16"/>
    </row>
    <row r="1112" spans="1:10" x14ac:dyDescent="0.2">
      <c r="A1112" s="3">
        <v>43892</v>
      </c>
      <c r="B1112" s="1">
        <f ca="1">IFERROR(__xludf.DUMMYFUNCTION("""COMPUTED_VALUE"""),47.42)</f>
        <v>47.42</v>
      </c>
      <c r="C1112" s="1">
        <f ca="1">IFERROR(__xludf.DUMMYFUNCTION("""COMPUTED_VALUE"""),49.58)</f>
        <v>49.58</v>
      </c>
      <c r="D1112" s="1">
        <f ca="1">IFERROR(__xludf.DUMMYFUNCTION("""COMPUTED_VALUE"""),45.78)</f>
        <v>45.78</v>
      </c>
      <c r="E1112" s="1">
        <f ca="1">IFERROR(__xludf.DUMMYFUNCTION("""COMPUTED_VALUE"""),49.57)</f>
        <v>49.57</v>
      </c>
      <c r="F1112" s="1">
        <f ca="1">IFERROR(__xludf.DUMMYFUNCTION("""COMPUTED_VALUE"""),20194991)</f>
        <v>20194991</v>
      </c>
      <c r="G1112" s="5">
        <f t="shared" ca="1" si="51"/>
        <v>2.6225539640912358E-3</v>
      </c>
      <c r="H1112" s="14">
        <f t="shared" si="52"/>
        <v>2020</v>
      </c>
      <c r="I1112" s="5">
        <f t="shared" ca="1" si="53"/>
        <v>4.5339519190215068E-2</v>
      </c>
      <c r="J1112" s="16"/>
    </row>
    <row r="1113" spans="1:10" x14ac:dyDescent="0.2">
      <c r="A1113" s="3">
        <v>43893</v>
      </c>
      <c r="B1113" s="1">
        <f ca="1">IFERROR(__xludf.DUMMYFUNCTION("""COMPUTED_VALUE"""),53.67)</f>
        <v>53.67</v>
      </c>
      <c r="C1113" s="1">
        <f ca="1">IFERROR(__xludf.DUMMYFUNCTION("""COMPUTED_VALUE"""),53.8)</f>
        <v>53.8</v>
      </c>
      <c r="D1113" s="1">
        <f ca="1">IFERROR(__xludf.DUMMYFUNCTION("""COMPUTED_VALUE"""),47.74)</f>
        <v>47.74</v>
      </c>
      <c r="E1113" s="1">
        <f ca="1">IFERROR(__xludf.DUMMYFUNCTION("""COMPUTED_VALUE"""),49.7)</f>
        <v>49.7</v>
      </c>
      <c r="F1113" s="1">
        <f ca="1">IFERROR(__xludf.DUMMYFUNCTION("""COMPUTED_VALUE"""),25784003)</f>
        <v>25784003</v>
      </c>
      <c r="G1113" s="5">
        <f t="shared" ca="1" si="51"/>
        <v>5.4325955734405634E-3</v>
      </c>
      <c r="H1113" s="14">
        <f t="shared" si="52"/>
        <v>2020</v>
      </c>
      <c r="I1113" s="5">
        <f t="shared" ca="1" si="53"/>
        <v>-7.3970560834730734E-2</v>
      </c>
      <c r="J1113" s="16"/>
    </row>
    <row r="1114" spans="1:10" x14ac:dyDescent="0.2">
      <c r="A1114" s="3">
        <v>43894</v>
      </c>
      <c r="B1114" s="1">
        <f ca="1">IFERROR(__xludf.DUMMYFUNCTION("""COMPUTED_VALUE"""),50.93)</f>
        <v>50.93</v>
      </c>
      <c r="C1114" s="1">
        <f ca="1">IFERROR(__xludf.DUMMYFUNCTION("""COMPUTED_VALUE"""),51.1)</f>
        <v>51.1</v>
      </c>
      <c r="D1114" s="1">
        <f ca="1">IFERROR(__xludf.DUMMYFUNCTION("""COMPUTED_VALUE"""),48.32)</f>
        <v>48.32</v>
      </c>
      <c r="E1114" s="1">
        <f ca="1">IFERROR(__xludf.DUMMYFUNCTION("""COMPUTED_VALUE"""),49.97)</f>
        <v>49.97</v>
      </c>
      <c r="F1114" s="1">
        <f ca="1">IFERROR(__xludf.DUMMYFUNCTION("""COMPUTED_VALUE"""),15048977)</f>
        <v>15048977</v>
      </c>
      <c r="G1114" s="5">
        <f t="shared" ca="1" si="51"/>
        <v>-3.3420052031218769E-2</v>
      </c>
      <c r="H1114" s="14">
        <f t="shared" si="52"/>
        <v>2020</v>
      </c>
      <c r="I1114" s="5">
        <f t="shared" ca="1" si="53"/>
        <v>-1.8849401138818004E-2</v>
      </c>
      <c r="J1114" s="16"/>
    </row>
    <row r="1115" spans="1:10" x14ac:dyDescent="0.2">
      <c r="A1115" s="3">
        <v>43895</v>
      </c>
      <c r="B1115" s="1">
        <f ca="1">IFERROR(__xludf.DUMMYFUNCTION("""COMPUTED_VALUE"""),48.25)</f>
        <v>48.25</v>
      </c>
      <c r="C1115" s="1">
        <f ca="1">IFERROR(__xludf.DUMMYFUNCTION("""COMPUTED_VALUE"""),49.72)</f>
        <v>49.72</v>
      </c>
      <c r="D1115" s="1">
        <f ca="1">IFERROR(__xludf.DUMMYFUNCTION("""COMPUTED_VALUE"""),47.87)</f>
        <v>47.87</v>
      </c>
      <c r="E1115" s="1">
        <f ca="1">IFERROR(__xludf.DUMMYFUNCTION("""COMPUTED_VALUE"""),48.3)</f>
        <v>48.3</v>
      </c>
      <c r="F1115" s="1">
        <f ca="1">IFERROR(__xludf.DUMMYFUNCTION("""COMPUTED_VALUE"""),10852657)</f>
        <v>10852657</v>
      </c>
      <c r="G1115" s="5">
        <f t="shared" ca="1" si="51"/>
        <v>-2.8985507246376784E-2</v>
      </c>
      <c r="H1115" s="14">
        <f t="shared" si="52"/>
        <v>2020</v>
      </c>
      <c r="I1115" s="5">
        <f t="shared" ca="1" si="53"/>
        <v>1.0362694300517547E-3</v>
      </c>
      <c r="J1115" s="16"/>
    </row>
    <row r="1116" spans="1:10" x14ac:dyDescent="0.2">
      <c r="A1116" s="3">
        <v>43896</v>
      </c>
      <c r="B1116" s="1">
        <f ca="1">IFERROR(__xludf.DUMMYFUNCTION("""COMPUTED_VALUE"""),46)</f>
        <v>46</v>
      </c>
      <c r="C1116" s="1">
        <f ca="1">IFERROR(__xludf.DUMMYFUNCTION("""COMPUTED_VALUE"""),47.13)</f>
        <v>47.13</v>
      </c>
      <c r="D1116" s="1">
        <f ca="1">IFERROR(__xludf.DUMMYFUNCTION("""COMPUTED_VALUE"""),45.62)</f>
        <v>45.62</v>
      </c>
      <c r="E1116" s="1">
        <f ca="1">IFERROR(__xludf.DUMMYFUNCTION("""COMPUTED_VALUE"""),46.9)</f>
        <v>46.9</v>
      </c>
      <c r="F1116" s="1">
        <f ca="1">IFERROR(__xludf.DUMMYFUNCTION("""COMPUTED_VALUE"""),12662918)</f>
        <v>12662918</v>
      </c>
      <c r="G1116" s="5">
        <f t="shared" ca="1" si="51"/>
        <v>-0.13582089552238802</v>
      </c>
      <c r="H1116" s="14">
        <f t="shared" si="52"/>
        <v>2020</v>
      </c>
      <c r="I1116" s="5">
        <f t="shared" ca="1" si="53"/>
        <v>1.9565217391304318E-2</v>
      </c>
      <c r="J1116" s="16"/>
    </row>
    <row r="1117" spans="1:10" x14ac:dyDescent="0.2">
      <c r="A1117" s="3">
        <v>43899</v>
      </c>
      <c r="B1117" s="1">
        <f ca="1">IFERROR(__xludf.DUMMYFUNCTION("""COMPUTED_VALUE"""),40.36)</f>
        <v>40.36</v>
      </c>
      <c r="C1117" s="1">
        <f ca="1">IFERROR(__xludf.DUMMYFUNCTION("""COMPUTED_VALUE"""),44.2)</f>
        <v>44.2</v>
      </c>
      <c r="D1117" s="1">
        <f ca="1">IFERROR(__xludf.DUMMYFUNCTION("""COMPUTED_VALUE"""),40.33)</f>
        <v>40.33</v>
      </c>
      <c r="E1117" s="1">
        <f ca="1">IFERROR(__xludf.DUMMYFUNCTION("""COMPUTED_VALUE"""),40.53)</f>
        <v>40.53</v>
      </c>
      <c r="F1117" s="1">
        <f ca="1">IFERROR(__xludf.DUMMYFUNCTION("""COMPUTED_VALUE"""),17073740)</f>
        <v>17073740</v>
      </c>
      <c r="G1117" s="5">
        <f t="shared" ca="1" si="51"/>
        <v>6.1435973353071847E-2</v>
      </c>
      <c r="H1117" s="14">
        <f t="shared" si="52"/>
        <v>2020</v>
      </c>
      <c r="I1117" s="5">
        <f t="shared" ca="1" si="53"/>
        <v>4.2120911793855726E-3</v>
      </c>
      <c r="J1117" s="16"/>
    </row>
    <row r="1118" spans="1:10" x14ac:dyDescent="0.2">
      <c r="A1118" s="3">
        <v>43900</v>
      </c>
      <c r="B1118" s="1">
        <f ca="1">IFERROR(__xludf.DUMMYFUNCTION("""COMPUTED_VALUE"""),43.96)</f>
        <v>43.96</v>
      </c>
      <c r="C1118" s="1">
        <f ca="1">IFERROR(__xludf.DUMMYFUNCTION("""COMPUTED_VALUE"""),44.53)</f>
        <v>44.53</v>
      </c>
      <c r="D1118" s="1">
        <f ca="1">IFERROR(__xludf.DUMMYFUNCTION("""COMPUTED_VALUE"""),40.53)</f>
        <v>40.53</v>
      </c>
      <c r="E1118" s="1">
        <f ca="1">IFERROR(__xludf.DUMMYFUNCTION("""COMPUTED_VALUE"""),43.02)</f>
        <v>43.02</v>
      </c>
      <c r="F1118" s="1">
        <f ca="1">IFERROR(__xludf.DUMMYFUNCTION("""COMPUTED_VALUE"""),15594443)</f>
        <v>15594443</v>
      </c>
      <c r="G1118" s="5">
        <f t="shared" ca="1" si="51"/>
        <v>-1.7201301720130218E-2</v>
      </c>
      <c r="H1118" s="14">
        <f t="shared" si="52"/>
        <v>2020</v>
      </c>
      <c r="I1118" s="5">
        <f t="shared" ca="1" si="53"/>
        <v>-2.1383075523202861E-2</v>
      </c>
      <c r="J1118" s="16"/>
    </row>
    <row r="1119" spans="1:10" x14ac:dyDescent="0.2">
      <c r="A1119" s="3">
        <v>43901</v>
      </c>
      <c r="B1119" s="1">
        <f ca="1">IFERROR(__xludf.DUMMYFUNCTION("""COMPUTED_VALUE"""),42.68)</f>
        <v>42.68</v>
      </c>
      <c r="C1119" s="1">
        <f ca="1">IFERROR(__xludf.DUMMYFUNCTION("""COMPUTED_VALUE"""),43.57)</f>
        <v>43.57</v>
      </c>
      <c r="D1119" s="1">
        <f ca="1">IFERROR(__xludf.DUMMYFUNCTION("""COMPUTED_VALUE"""),40.87)</f>
        <v>40.869999999999997</v>
      </c>
      <c r="E1119" s="1">
        <f ca="1">IFERROR(__xludf.DUMMYFUNCTION("""COMPUTED_VALUE"""),42.28)</f>
        <v>42.28</v>
      </c>
      <c r="F1119" s="1">
        <f ca="1">IFERROR(__xludf.DUMMYFUNCTION("""COMPUTED_VALUE"""),13413587)</f>
        <v>13413587</v>
      </c>
      <c r="G1119" s="5">
        <f t="shared" ca="1" si="51"/>
        <v>-0.1161305581835384</v>
      </c>
      <c r="H1119" s="14">
        <f t="shared" si="52"/>
        <v>2020</v>
      </c>
      <c r="I1119" s="5">
        <f t="shared" ca="1" si="53"/>
        <v>-9.3720712277412972E-3</v>
      </c>
      <c r="J1119" s="16"/>
    </row>
    <row r="1120" spans="1:10" x14ac:dyDescent="0.2">
      <c r="A1120" s="3">
        <v>43902</v>
      </c>
      <c r="B1120" s="1">
        <f ca="1">IFERROR(__xludf.DUMMYFUNCTION("""COMPUTED_VALUE"""),38.73)</f>
        <v>38.729999999999997</v>
      </c>
      <c r="C1120" s="1">
        <f ca="1">IFERROR(__xludf.DUMMYFUNCTION("""COMPUTED_VALUE"""),39.63)</f>
        <v>39.630000000000003</v>
      </c>
      <c r="D1120" s="1">
        <f ca="1">IFERROR(__xludf.DUMMYFUNCTION("""COMPUTED_VALUE"""),36.42)</f>
        <v>36.42</v>
      </c>
      <c r="E1120" s="1">
        <f ca="1">IFERROR(__xludf.DUMMYFUNCTION("""COMPUTED_VALUE"""),37.37)</f>
        <v>37.369999999999997</v>
      </c>
      <c r="F1120" s="1">
        <f ca="1">IFERROR(__xludf.DUMMYFUNCTION("""COMPUTED_VALUE"""),18909052)</f>
        <v>18909052</v>
      </c>
      <c r="G1120" s="5">
        <f t="shared" ca="1" si="51"/>
        <v>-2.4886272411024882E-2</v>
      </c>
      <c r="H1120" s="14">
        <f t="shared" si="52"/>
        <v>2020</v>
      </c>
      <c r="I1120" s="5">
        <f t="shared" ca="1" si="53"/>
        <v>-3.5114898011877088E-2</v>
      </c>
      <c r="J1120" s="16"/>
    </row>
    <row r="1121" spans="1:10" x14ac:dyDescent="0.2">
      <c r="A1121" s="3">
        <v>43903</v>
      </c>
      <c r="B1121" s="1">
        <f ca="1">IFERROR(__xludf.DUMMYFUNCTION("""COMPUTED_VALUE"""),39.67)</f>
        <v>39.67</v>
      </c>
      <c r="C1121" s="1">
        <f ca="1">IFERROR(__xludf.DUMMYFUNCTION("""COMPUTED_VALUE"""),40.5)</f>
        <v>40.5</v>
      </c>
      <c r="D1121" s="1">
        <f ca="1">IFERROR(__xludf.DUMMYFUNCTION("""COMPUTED_VALUE"""),33.47)</f>
        <v>33.47</v>
      </c>
      <c r="E1121" s="1">
        <f ca="1">IFERROR(__xludf.DUMMYFUNCTION("""COMPUTED_VALUE"""),36.44)</f>
        <v>36.44</v>
      </c>
      <c r="F1121" s="1">
        <f ca="1">IFERROR(__xludf.DUMMYFUNCTION("""COMPUTED_VALUE"""),22640254)</f>
        <v>22640254</v>
      </c>
      <c r="G1121" s="5">
        <f t="shared" ca="1" si="51"/>
        <v>-0.18578485181119639</v>
      </c>
      <c r="H1121" s="14">
        <f t="shared" si="52"/>
        <v>2020</v>
      </c>
      <c r="I1121" s="5">
        <f t="shared" ca="1" si="53"/>
        <v>-8.1421729266448292E-2</v>
      </c>
      <c r="J1121" s="16"/>
    </row>
    <row r="1122" spans="1:10" x14ac:dyDescent="0.2">
      <c r="A1122" s="3">
        <v>43906</v>
      </c>
      <c r="B1122" s="1">
        <f ca="1">IFERROR(__xludf.DUMMYFUNCTION("""COMPUTED_VALUE"""),31.3)</f>
        <v>31.3</v>
      </c>
      <c r="C1122" s="1">
        <f ca="1">IFERROR(__xludf.DUMMYFUNCTION("""COMPUTED_VALUE"""),32.99)</f>
        <v>32.99</v>
      </c>
      <c r="D1122" s="1">
        <f ca="1">IFERROR(__xludf.DUMMYFUNCTION("""COMPUTED_VALUE"""),29.48)</f>
        <v>29.48</v>
      </c>
      <c r="E1122" s="1">
        <f ca="1">IFERROR(__xludf.DUMMYFUNCTION("""COMPUTED_VALUE"""),29.67)</f>
        <v>29.67</v>
      </c>
      <c r="F1122" s="1">
        <f ca="1">IFERROR(__xludf.DUMMYFUNCTION("""COMPUTED_VALUE"""),20489464)</f>
        <v>20489464</v>
      </c>
      <c r="G1122" s="5">
        <f t="shared" ca="1" si="51"/>
        <v>-3.3367037411526856E-2</v>
      </c>
      <c r="H1122" s="14">
        <f t="shared" si="52"/>
        <v>2020</v>
      </c>
      <c r="I1122" s="5">
        <f t="shared" ca="1" si="53"/>
        <v>-5.2076677316293896E-2</v>
      </c>
      <c r="J1122" s="16"/>
    </row>
    <row r="1123" spans="1:10" x14ac:dyDescent="0.2">
      <c r="A1123" s="3">
        <v>43907</v>
      </c>
      <c r="B1123" s="1">
        <f ca="1">IFERROR(__xludf.DUMMYFUNCTION("""COMPUTED_VALUE"""),29.33)</f>
        <v>29.33</v>
      </c>
      <c r="C1123" s="1">
        <f ca="1">IFERROR(__xludf.DUMMYFUNCTION("""COMPUTED_VALUE"""),31.46)</f>
        <v>31.46</v>
      </c>
      <c r="D1123" s="1">
        <f ca="1">IFERROR(__xludf.DUMMYFUNCTION("""COMPUTED_VALUE"""),26.4)</f>
        <v>26.4</v>
      </c>
      <c r="E1123" s="1">
        <f ca="1">IFERROR(__xludf.DUMMYFUNCTION("""COMPUTED_VALUE"""),28.68)</f>
        <v>28.68</v>
      </c>
      <c r="F1123" s="1">
        <f ca="1">IFERROR(__xludf.DUMMYFUNCTION("""COMPUTED_VALUE"""),23994580)</f>
        <v>23994580</v>
      </c>
      <c r="G1123" s="5">
        <f t="shared" ca="1" si="51"/>
        <v>-0.16039051603905166</v>
      </c>
      <c r="H1123" s="14">
        <f t="shared" si="52"/>
        <v>2020</v>
      </c>
      <c r="I1123" s="5">
        <f t="shared" ca="1" si="53"/>
        <v>-2.2161609273781066E-2</v>
      </c>
      <c r="J1123" s="16"/>
    </row>
    <row r="1124" spans="1:10" x14ac:dyDescent="0.2">
      <c r="A1124" s="3">
        <v>43908</v>
      </c>
      <c r="B1124" s="1">
        <f ca="1">IFERROR(__xludf.DUMMYFUNCTION("""COMPUTED_VALUE"""),25.93)</f>
        <v>25.93</v>
      </c>
      <c r="C1124" s="1">
        <f ca="1">IFERROR(__xludf.DUMMYFUNCTION("""COMPUTED_VALUE"""),26.99)</f>
        <v>26.99</v>
      </c>
      <c r="D1124" s="1">
        <f ca="1">IFERROR(__xludf.DUMMYFUNCTION("""COMPUTED_VALUE"""),23.37)</f>
        <v>23.37</v>
      </c>
      <c r="E1124" s="1">
        <f ca="1">IFERROR(__xludf.DUMMYFUNCTION("""COMPUTED_VALUE"""),24.08)</f>
        <v>24.08</v>
      </c>
      <c r="F1124" s="1">
        <f ca="1">IFERROR(__xludf.DUMMYFUNCTION("""COMPUTED_VALUE"""),23786162)</f>
        <v>23786162</v>
      </c>
      <c r="G1124" s="5">
        <f t="shared" ca="1" si="51"/>
        <v>0.18397009966777422</v>
      </c>
      <c r="H1124" s="14">
        <f t="shared" si="52"/>
        <v>2020</v>
      </c>
      <c r="I1124" s="5">
        <f t="shared" ca="1" si="53"/>
        <v>-7.1345931353644476E-2</v>
      </c>
      <c r="J1124" s="16"/>
    </row>
    <row r="1125" spans="1:10" x14ac:dyDescent="0.2">
      <c r="A1125" s="3">
        <v>43909</v>
      </c>
      <c r="B1125" s="1">
        <f ca="1">IFERROR(__xludf.DUMMYFUNCTION("""COMPUTED_VALUE"""),24.98)</f>
        <v>24.98</v>
      </c>
      <c r="C1125" s="1">
        <f ca="1">IFERROR(__xludf.DUMMYFUNCTION("""COMPUTED_VALUE"""),30.13)</f>
        <v>30.13</v>
      </c>
      <c r="D1125" s="1">
        <f ca="1">IFERROR(__xludf.DUMMYFUNCTION("""COMPUTED_VALUE"""),23.9)</f>
        <v>23.9</v>
      </c>
      <c r="E1125" s="1">
        <f ca="1">IFERROR(__xludf.DUMMYFUNCTION("""COMPUTED_VALUE"""),28.51)</f>
        <v>28.51</v>
      </c>
      <c r="F1125" s="1">
        <f ca="1">IFERROR(__xludf.DUMMYFUNCTION("""COMPUTED_VALUE"""),30195460)</f>
        <v>30195460</v>
      </c>
      <c r="G1125" s="5">
        <f t="shared" ca="1" si="51"/>
        <v>-3.5075412136098078E-4</v>
      </c>
      <c r="H1125" s="14">
        <f t="shared" si="52"/>
        <v>2020</v>
      </c>
      <c r="I1125" s="5">
        <f t="shared" ca="1" si="53"/>
        <v>0.14131305044035233</v>
      </c>
      <c r="J1125" s="16"/>
    </row>
    <row r="1126" spans="1:10" x14ac:dyDescent="0.2">
      <c r="A1126" s="3">
        <v>43910</v>
      </c>
      <c r="B1126" s="1">
        <f ca="1">IFERROR(__xludf.DUMMYFUNCTION("""COMPUTED_VALUE"""),29.21)</f>
        <v>29.21</v>
      </c>
      <c r="C1126" s="1">
        <f ca="1">IFERROR(__xludf.DUMMYFUNCTION("""COMPUTED_VALUE"""),31.8)</f>
        <v>31.8</v>
      </c>
      <c r="D1126" s="1">
        <f ca="1">IFERROR(__xludf.DUMMYFUNCTION("""COMPUTED_VALUE"""),28.39)</f>
        <v>28.39</v>
      </c>
      <c r="E1126" s="1">
        <f ca="1">IFERROR(__xludf.DUMMYFUNCTION("""COMPUTED_VALUE"""),28.5)</f>
        <v>28.5</v>
      </c>
      <c r="F1126" s="1">
        <f ca="1">IFERROR(__xludf.DUMMYFUNCTION("""COMPUTED_VALUE"""),28285502)</f>
        <v>28285502</v>
      </c>
      <c r="G1126" s="5">
        <f t="shared" ca="1" si="51"/>
        <v>1.5789473684210503E-2</v>
      </c>
      <c r="H1126" s="14">
        <f t="shared" si="52"/>
        <v>2020</v>
      </c>
      <c r="I1126" s="5">
        <f t="shared" ca="1" si="53"/>
        <v>-2.4306744265662473E-2</v>
      </c>
      <c r="J1126" s="16"/>
    </row>
    <row r="1127" spans="1:10" x14ac:dyDescent="0.2">
      <c r="A1127" s="3">
        <v>43913</v>
      </c>
      <c r="B1127" s="1">
        <f ca="1">IFERROR(__xludf.DUMMYFUNCTION("""COMPUTED_VALUE"""),28.91)</f>
        <v>28.91</v>
      </c>
      <c r="C1127" s="1">
        <f ca="1">IFERROR(__xludf.DUMMYFUNCTION("""COMPUTED_VALUE"""),29.47)</f>
        <v>29.47</v>
      </c>
      <c r="D1127" s="1">
        <f ca="1">IFERROR(__xludf.DUMMYFUNCTION("""COMPUTED_VALUE"""),27.37)</f>
        <v>27.37</v>
      </c>
      <c r="E1127" s="1">
        <f ca="1">IFERROR(__xludf.DUMMYFUNCTION("""COMPUTED_VALUE"""),28.95)</f>
        <v>28.95</v>
      </c>
      <c r="F1127" s="1">
        <f ca="1">IFERROR(__xludf.DUMMYFUNCTION("""COMPUTED_VALUE"""),16454549)</f>
        <v>16454549</v>
      </c>
      <c r="G1127" s="5">
        <f t="shared" ca="1" si="51"/>
        <v>0.16303972366148542</v>
      </c>
      <c r="H1127" s="14">
        <f t="shared" si="52"/>
        <v>2020</v>
      </c>
      <c r="I1127" s="5">
        <f t="shared" ca="1" si="53"/>
        <v>1.383604289173267E-3</v>
      </c>
      <c r="J1127" s="16"/>
    </row>
    <row r="1128" spans="1:10" x14ac:dyDescent="0.2">
      <c r="A1128" s="3">
        <v>43914</v>
      </c>
      <c r="B1128" s="1">
        <f ca="1">IFERROR(__xludf.DUMMYFUNCTION("""COMPUTED_VALUE"""),31.82)</f>
        <v>31.82</v>
      </c>
      <c r="C1128" s="1">
        <f ca="1">IFERROR(__xludf.DUMMYFUNCTION("""COMPUTED_VALUE"""),34.25)</f>
        <v>34.25</v>
      </c>
      <c r="D1128" s="1">
        <f ca="1">IFERROR(__xludf.DUMMYFUNCTION("""COMPUTED_VALUE"""),31.6)</f>
        <v>31.6</v>
      </c>
      <c r="E1128" s="1">
        <f ca="1">IFERROR(__xludf.DUMMYFUNCTION("""COMPUTED_VALUE"""),33.67)</f>
        <v>33.67</v>
      </c>
      <c r="F1128" s="1">
        <f ca="1">IFERROR(__xludf.DUMMYFUNCTION("""COMPUTED_VALUE"""),22895170)</f>
        <v>22895170</v>
      </c>
      <c r="G1128" s="5">
        <f t="shared" ca="1" si="51"/>
        <v>6.7716067716067752E-2</v>
      </c>
      <c r="H1128" s="14">
        <f t="shared" si="52"/>
        <v>2020</v>
      </c>
      <c r="I1128" s="5">
        <f t="shared" ca="1" si="53"/>
        <v>5.8139534883720971E-2</v>
      </c>
      <c r="J1128" s="16"/>
    </row>
    <row r="1129" spans="1:10" x14ac:dyDescent="0.2">
      <c r="A1129" s="3">
        <v>43915</v>
      </c>
      <c r="B1129" s="1">
        <f ca="1">IFERROR(__xludf.DUMMYFUNCTION("""COMPUTED_VALUE"""),36.35)</f>
        <v>36.35</v>
      </c>
      <c r="C1129" s="1">
        <f ca="1">IFERROR(__xludf.DUMMYFUNCTION("""COMPUTED_VALUE"""),37.13)</f>
        <v>37.130000000000003</v>
      </c>
      <c r="D1129" s="1">
        <f ca="1">IFERROR(__xludf.DUMMYFUNCTION("""COMPUTED_VALUE"""),34.07)</f>
        <v>34.07</v>
      </c>
      <c r="E1129" s="1">
        <f ca="1">IFERROR(__xludf.DUMMYFUNCTION("""COMPUTED_VALUE"""),35.95)</f>
        <v>35.950000000000003</v>
      </c>
      <c r="F1129" s="1">
        <f ca="1">IFERROR(__xludf.DUMMYFUNCTION("""COMPUTED_VALUE"""),21222745)</f>
        <v>21222745</v>
      </c>
      <c r="G1129" s="5">
        <f t="shared" ca="1" si="51"/>
        <v>-2.0584144645340804E-2</v>
      </c>
      <c r="H1129" s="14">
        <f t="shared" si="52"/>
        <v>2020</v>
      </c>
      <c r="I1129" s="5">
        <f t="shared" ca="1" si="53"/>
        <v>-1.1004126547455256E-2</v>
      </c>
      <c r="J1129" s="16"/>
    </row>
    <row r="1130" spans="1:10" x14ac:dyDescent="0.2">
      <c r="A1130" s="3">
        <v>43916</v>
      </c>
      <c r="B1130" s="1">
        <f ca="1">IFERROR(__xludf.DUMMYFUNCTION("""COMPUTED_VALUE"""),36.49)</f>
        <v>36.49</v>
      </c>
      <c r="C1130" s="1">
        <f ca="1">IFERROR(__xludf.DUMMYFUNCTION("""COMPUTED_VALUE"""),37.33)</f>
        <v>37.33</v>
      </c>
      <c r="D1130" s="1">
        <f ca="1">IFERROR(__xludf.DUMMYFUNCTION("""COMPUTED_VALUE"""),34.15)</f>
        <v>34.15</v>
      </c>
      <c r="E1130" s="1">
        <f ca="1">IFERROR(__xludf.DUMMYFUNCTION("""COMPUTED_VALUE"""),35.21)</f>
        <v>35.21</v>
      </c>
      <c r="F1130" s="1">
        <f ca="1">IFERROR(__xludf.DUMMYFUNCTION("""COMPUTED_VALUE"""),17422082)</f>
        <v>17422082</v>
      </c>
      <c r="G1130" s="5">
        <f t="shared" ca="1" si="51"/>
        <v>-2.6128940641863156E-2</v>
      </c>
      <c r="H1130" s="14">
        <f t="shared" si="52"/>
        <v>2020</v>
      </c>
      <c r="I1130" s="5">
        <f t="shared" ca="1" si="53"/>
        <v>-3.5078103590024695E-2</v>
      </c>
      <c r="J1130" s="16"/>
    </row>
    <row r="1131" spans="1:10" x14ac:dyDescent="0.2">
      <c r="A1131" s="3">
        <v>43917</v>
      </c>
      <c r="B1131" s="1">
        <f ca="1">IFERROR(__xludf.DUMMYFUNCTION("""COMPUTED_VALUE"""),33.67)</f>
        <v>33.67</v>
      </c>
      <c r="C1131" s="1">
        <f ca="1">IFERROR(__xludf.DUMMYFUNCTION("""COMPUTED_VALUE"""),35.05)</f>
        <v>35.049999999999997</v>
      </c>
      <c r="D1131" s="1">
        <f ca="1">IFERROR(__xludf.DUMMYFUNCTION("""COMPUTED_VALUE"""),32.94)</f>
        <v>32.94</v>
      </c>
      <c r="E1131" s="1">
        <f ca="1">IFERROR(__xludf.DUMMYFUNCTION("""COMPUTED_VALUE"""),34.29)</f>
        <v>34.29</v>
      </c>
      <c r="F1131" s="1">
        <f ca="1">IFERROR(__xludf.DUMMYFUNCTION("""COMPUTED_VALUE"""),14377408)</f>
        <v>14377408</v>
      </c>
      <c r="G1131" s="5">
        <f t="shared" ca="1" si="51"/>
        <v>-2.3622047244094554E-2</v>
      </c>
      <c r="H1131" s="14">
        <f t="shared" si="52"/>
        <v>2020</v>
      </c>
      <c r="I1131" s="5">
        <f t="shared" ca="1" si="53"/>
        <v>1.8414018414018338E-2</v>
      </c>
      <c r="J1131" s="16"/>
    </row>
    <row r="1132" spans="1:10" x14ac:dyDescent="0.2">
      <c r="A1132" s="3">
        <v>43920</v>
      </c>
      <c r="B1132" s="1">
        <f ca="1">IFERROR(__xludf.DUMMYFUNCTION("""COMPUTED_VALUE"""),34.02)</f>
        <v>34.020000000000003</v>
      </c>
      <c r="C1132" s="1">
        <f ca="1">IFERROR(__xludf.DUMMYFUNCTION("""COMPUTED_VALUE"""),34.44)</f>
        <v>34.44</v>
      </c>
      <c r="D1132" s="1">
        <f ca="1">IFERROR(__xludf.DUMMYFUNCTION("""COMPUTED_VALUE"""),32.75)</f>
        <v>32.75</v>
      </c>
      <c r="E1132" s="1">
        <f ca="1">IFERROR(__xludf.DUMMYFUNCTION("""COMPUTED_VALUE"""),33.48)</f>
        <v>33.479999999999997</v>
      </c>
      <c r="F1132" s="1">
        <f ca="1">IFERROR(__xludf.DUMMYFUNCTION("""COMPUTED_VALUE"""),11998067)</f>
        <v>11998067</v>
      </c>
      <c r="G1132" s="5">
        <f t="shared" ca="1" si="51"/>
        <v>4.3309438470728885E-2</v>
      </c>
      <c r="H1132" s="14">
        <f t="shared" si="52"/>
        <v>2020</v>
      </c>
      <c r="I1132" s="5">
        <f t="shared" ca="1" si="53"/>
        <v>-1.5873015873016056E-2</v>
      </c>
      <c r="J1132" s="16"/>
    </row>
    <row r="1133" spans="1:10" x14ac:dyDescent="0.2">
      <c r="A1133" s="3">
        <v>43921</v>
      </c>
      <c r="B1133" s="1">
        <f ca="1">IFERROR(__xludf.DUMMYFUNCTION("""COMPUTED_VALUE"""),33.42)</f>
        <v>33.42</v>
      </c>
      <c r="C1133" s="1">
        <f ca="1">IFERROR(__xludf.DUMMYFUNCTION("""COMPUTED_VALUE"""),36.2)</f>
        <v>36.200000000000003</v>
      </c>
      <c r="D1133" s="1">
        <f ca="1">IFERROR(__xludf.DUMMYFUNCTION("""COMPUTED_VALUE"""),33.13)</f>
        <v>33.130000000000003</v>
      </c>
      <c r="E1133" s="1">
        <f ca="1">IFERROR(__xludf.DUMMYFUNCTION("""COMPUTED_VALUE"""),34.93)</f>
        <v>34.93</v>
      </c>
      <c r="F1133" s="1">
        <f ca="1">IFERROR(__xludf.DUMMYFUNCTION("""COMPUTED_VALUE"""),17771485)</f>
        <v>17771485</v>
      </c>
      <c r="G1133" s="5">
        <f t="shared" ca="1" si="51"/>
        <v>-8.1019181219581973E-2</v>
      </c>
      <c r="H1133" s="14">
        <f t="shared" si="52"/>
        <v>2020</v>
      </c>
      <c r="I1133" s="5">
        <f t="shared" ca="1" si="53"/>
        <v>4.518252543387187E-2</v>
      </c>
      <c r="J1133" s="16"/>
    </row>
    <row r="1134" spans="1:10" x14ac:dyDescent="0.2">
      <c r="A1134" s="3">
        <v>43922</v>
      </c>
      <c r="B1134" s="1">
        <f ca="1">IFERROR(__xludf.DUMMYFUNCTION("""COMPUTED_VALUE"""),33.6)</f>
        <v>33.6</v>
      </c>
      <c r="C1134" s="1">
        <f ca="1">IFERROR(__xludf.DUMMYFUNCTION("""COMPUTED_VALUE"""),34.26)</f>
        <v>34.26</v>
      </c>
      <c r="D1134" s="1">
        <f ca="1">IFERROR(__xludf.DUMMYFUNCTION("""COMPUTED_VALUE"""),31.67)</f>
        <v>31.67</v>
      </c>
      <c r="E1134" s="1">
        <f ca="1">IFERROR(__xludf.DUMMYFUNCTION("""COMPUTED_VALUE"""),32.1)</f>
        <v>32.1</v>
      </c>
      <c r="F1134" s="1">
        <f ca="1">IFERROR(__xludf.DUMMYFUNCTION("""COMPUTED_VALUE"""),13353180)</f>
        <v>13353180</v>
      </c>
      <c r="G1134" s="5">
        <f t="shared" ca="1" si="51"/>
        <v>-5.6074766355140207E-2</v>
      </c>
      <c r="H1134" s="14">
        <f t="shared" si="52"/>
        <v>2020</v>
      </c>
      <c r="I1134" s="5">
        <f t="shared" ca="1" si="53"/>
        <v>-4.4642857142857144E-2</v>
      </c>
      <c r="J1134" s="16"/>
    </row>
    <row r="1135" spans="1:10" x14ac:dyDescent="0.2">
      <c r="A1135" s="3">
        <v>43923</v>
      </c>
      <c r="B1135" s="1">
        <f ca="1">IFERROR(__xludf.DUMMYFUNCTION("""COMPUTED_VALUE"""),32.07)</f>
        <v>32.07</v>
      </c>
      <c r="C1135" s="1">
        <f ca="1">IFERROR(__xludf.DUMMYFUNCTION("""COMPUTED_VALUE"""),32.95)</f>
        <v>32.950000000000003</v>
      </c>
      <c r="D1135" s="1">
        <f ca="1">IFERROR(__xludf.DUMMYFUNCTION("""COMPUTED_VALUE"""),29.76)</f>
        <v>29.76</v>
      </c>
      <c r="E1135" s="1">
        <f ca="1">IFERROR(__xludf.DUMMYFUNCTION("""COMPUTED_VALUE"""),30.3)</f>
        <v>30.3</v>
      </c>
      <c r="F1135" s="1">
        <f ca="1">IFERROR(__xludf.DUMMYFUNCTION("""COMPUTED_VALUE"""),19858427)</f>
        <v>19858427</v>
      </c>
      <c r="G1135" s="5">
        <f t="shared" ca="1" si="51"/>
        <v>5.6105610561056084E-2</v>
      </c>
      <c r="H1135" s="14">
        <f t="shared" si="52"/>
        <v>2020</v>
      </c>
      <c r="I1135" s="5">
        <f t="shared" ca="1" si="53"/>
        <v>-5.5191768007483613E-2</v>
      </c>
      <c r="J1135" s="16"/>
    </row>
    <row r="1136" spans="1:10" x14ac:dyDescent="0.2">
      <c r="A1136" s="3">
        <v>43924</v>
      </c>
      <c r="B1136" s="1">
        <f ca="1">IFERROR(__xludf.DUMMYFUNCTION("""COMPUTED_VALUE"""),33.97)</f>
        <v>33.97</v>
      </c>
      <c r="C1136" s="1">
        <f ca="1">IFERROR(__xludf.DUMMYFUNCTION("""COMPUTED_VALUE"""),34.37)</f>
        <v>34.369999999999997</v>
      </c>
      <c r="D1136" s="1">
        <f ca="1">IFERROR(__xludf.DUMMYFUNCTION("""COMPUTED_VALUE"""),31.23)</f>
        <v>31.23</v>
      </c>
      <c r="E1136" s="1">
        <f ca="1">IFERROR(__xludf.DUMMYFUNCTION("""COMPUTED_VALUE"""),32)</f>
        <v>32</v>
      </c>
      <c r="F1136" s="1">
        <f ca="1">IFERROR(__xludf.DUMMYFUNCTION("""COMPUTED_VALUE"""),22562076)</f>
        <v>22562076</v>
      </c>
      <c r="G1136" s="5">
        <f t="shared" ca="1" si="51"/>
        <v>7.5625000000000053E-2</v>
      </c>
      <c r="H1136" s="14">
        <f t="shared" si="52"/>
        <v>2020</v>
      </c>
      <c r="I1136" s="5">
        <f t="shared" ca="1" si="53"/>
        <v>-5.7992346187812745E-2</v>
      </c>
      <c r="J1136" s="16"/>
    </row>
    <row r="1137" spans="1:10" x14ac:dyDescent="0.2">
      <c r="A1137" s="3">
        <v>43927</v>
      </c>
      <c r="B1137" s="1">
        <f ca="1">IFERROR(__xludf.DUMMYFUNCTION("""COMPUTED_VALUE"""),34.08)</f>
        <v>34.08</v>
      </c>
      <c r="C1137" s="1">
        <f ca="1">IFERROR(__xludf.DUMMYFUNCTION("""COMPUTED_VALUE"""),34.73)</f>
        <v>34.729999999999997</v>
      </c>
      <c r="D1137" s="1">
        <f ca="1">IFERROR(__xludf.DUMMYFUNCTION("""COMPUTED_VALUE"""),33.2)</f>
        <v>33.200000000000003</v>
      </c>
      <c r="E1137" s="1">
        <f ca="1">IFERROR(__xludf.DUMMYFUNCTION("""COMPUTED_VALUE"""),34.42)</f>
        <v>34.42</v>
      </c>
      <c r="F1137" s="1">
        <f ca="1">IFERROR(__xludf.DUMMYFUNCTION("""COMPUTED_VALUE"""),14901836)</f>
        <v>14901836</v>
      </c>
      <c r="G1137" s="5">
        <f t="shared" ca="1" si="51"/>
        <v>5.6362579895409576E-2</v>
      </c>
      <c r="H1137" s="14">
        <f t="shared" si="52"/>
        <v>2020</v>
      </c>
      <c r="I1137" s="5">
        <f t="shared" ca="1" si="53"/>
        <v>9.9765258215963448E-3</v>
      </c>
      <c r="J1137" s="16"/>
    </row>
    <row r="1138" spans="1:10" x14ac:dyDescent="0.2">
      <c r="A1138" s="3">
        <v>43928</v>
      </c>
      <c r="B1138" s="1">
        <f ca="1">IFERROR(__xludf.DUMMYFUNCTION("""COMPUTED_VALUE"""),36.33)</f>
        <v>36.33</v>
      </c>
      <c r="C1138" s="1">
        <f ca="1">IFERROR(__xludf.DUMMYFUNCTION("""COMPUTED_VALUE"""),37.67)</f>
        <v>37.67</v>
      </c>
      <c r="D1138" s="1">
        <f ca="1">IFERROR(__xludf.DUMMYFUNCTION("""COMPUTED_VALUE"""),35.49)</f>
        <v>35.49</v>
      </c>
      <c r="E1138" s="1">
        <f ca="1">IFERROR(__xludf.DUMMYFUNCTION("""COMPUTED_VALUE"""),36.36)</f>
        <v>36.36</v>
      </c>
      <c r="F1138" s="1">
        <f ca="1">IFERROR(__xludf.DUMMYFUNCTION("""COMPUTED_VALUE"""),17919784)</f>
        <v>17919784</v>
      </c>
      <c r="G1138" s="5">
        <f t="shared" ca="1" si="51"/>
        <v>6.3256325632564349E-3</v>
      </c>
      <c r="H1138" s="14">
        <f t="shared" si="52"/>
        <v>2020</v>
      </c>
      <c r="I1138" s="5">
        <f t="shared" ca="1" si="53"/>
        <v>8.2576383154420966E-4</v>
      </c>
      <c r="J1138" s="16"/>
    </row>
    <row r="1139" spans="1:10" x14ac:dyDescent="0.2">
      <c r="A1139" s="3">
        <v>43929</v>
      </c>
      <c r="B1139" s="1">
        <f ca="1">IFERROR(__xludf.DUMMYFUNCTION("""COMPUTED_VALUE"""),36.95)</f>
        <v>36.950000000000003</v>
      </c>
      <c r="C1139" s="1">
        <f ca="1">IFERROR(__xludf.DUMMYFUNCTION("""COMPUTED_VALUE"""),37.15)</f>
        <v>37.15</v>
      </c>
      <c r="D1139" s="1">
        <f ca="1">IFERROR(__xludf.DUMMYFUNCTION("""COMPUTED_VALUE"""),35.56)</f>
        <v>35.56</v>
      </c>
      <c r="E1139" s="1">
        <f ca="1">IFERROR(__xludf.DUMMYFUNCTION("""COMPUTED_VALUE"""),36.59)</f>
        <v>36.590000000000003</v>
      </c>
      <c r="F1139" s="1">
        <f ca="1">IFERROR(__xludf.DUMMYFUNCTION("""COMPUTED_VALUE"""),12656024)</f>
        <v>12656024</v>
      </c>
      <c r="G1139" s="5">
        <f t="shared" ca="1" si="51"/>
        <v>4.4001093194861965E-2</v>
      </c>
      <c r="H1139" s="14">
        <f t="shared" si="52"/>
        <v>2020</v>
      </c>
      <c r="I1139" s="5">
        <f t="shared" ca="1" si="53"/>
        <v>-9.7428958051420673E-3</v>
      </c>
      <c r="J1139" s="16"/>
    </row>
    <row r="1140" spans="1:10" x14ac:dyDescent="0.2">
      <c r="A1140" s="3">
        <v>43930</v>
      </c>
      <c r="B1140" s="1">
        <f ca="1">IFERROR(__xludf.DUMMYFUNCTION("""COMPUTED_VALUE"""),37.47)</f>
        <v>37.47</v>
      </c>
      <c r="C1140" s="1">
        <f ca="1">IFERROR(__xludf.DUMMYFUNCTION("""COMPUTED_VALUE"""),38.35)</f>
        <v>38.35</v>
      </c>
      <c r="D1140" s="1">
        <f ca="1">IFERROR(__xludf.DUMMYFUNCTION("""COMPUTED_VALUE"""),37.14)</f>
        <v>37.14</v>
      </c>
      <c r="E1140" s="1">
        <f ca="1">IFERROR(__xludf.DUMMYFUNCTION("""COMPUTED_VALUE"""),38.2)</f>
        <v>38.200000000000003</v>
      </c>
      <c r="F1140" s="1">
        <f ca="1">IFERROR(__xludf.DUMMYFUNCTION("""COMPUTED_VALUE"""),13650000)</f>
        <v>13650000</v>
      </c>
      <c r="G1140" s="5">
        <f t="shared" ca="1" si="51"/>
        <v>0.13612565445026165</v>
      </c>
      <c r="H1140" s="14">
        <f t="shared" si="52"/>
        <v>2020</v>
      </c>
      <c r="I1140" s="5">
        <f t="shared" ca="1" si="53"/>
        <v>1.9482252468641686E-2</v>
      </c>
      <c r="J1140" s="16"/>
    </row>
    <row r="1141" spans="1:10" x14ac:dyDescent="0.2">
      <c r="A1141" s="3">
        <v>43934</v>
      </c>
      <c r="B1141" s="1">
        <f ca="1">IFERROR(__xludf.DUMMYFUNCTION("""COMPUTED_VALUE"""),39.34)</f>
        <v>39.340000000000003</v>
      </c>
      <c r="C1141" s="1">
        <f ca="1">IFERROR(__xludf.DUMMYFUNCTION("""COMPUTED_VALUE"""),43.47)</f>
        <v>43.47</v>
      </c>
      <c r="D1141" s="1">
        <f ca="1">IFERROR(__xludf.DUMMYFUNCTION("""COMPUTED_VALUE"""),38.7)</f>
        <v>38.700000000000003</v>
      </c>
      <c r="E1141" s="1">
        <f ca="1">IFERROR(__xludf.DUMMYFUNCTION("""COMPUTED_VALUE"""),43.4)</f>
        <v>43.4</v>
      </c>
      <c r="F1141" s="1">
        <f ca="1">IFERROR(__xludf.DUMMYFUNCTION("""COMPUTED_VALUE"""),22475421)</f>
        <v>22475421</v>
      </c>
      <c r="G1141" s="5">
        <f t="shared" ca="1" si="51"/>
        <v>9.0552995391705068E-2</v>
      </c>
      <c r="H1141" s="14">
        <f t="shared" si="52"/>
        <v>2020</v>
      </c>
      <c r="I1141" s="5">
        <f t="shared" ca="1" si="53"/>
        <v>0.10320284697508883</v>
      </c>
      <c r="J1141" s="16"/>
    </row>
    <row r="1142" spans="1:10" x14ac:dyDescent="0.2">
      <c r="A1142" s="3">
        <v>43935</v>
      </c>
      <c r="B1142" s="1">
        <f ca="1">IFERROR(__xludf.DUMMYFUNCTION("""COMPUTED_VALUE"""),46.6)</f>
        <v>46.6</v>
      </c>
      <c r="C1142" s="1">
        <f ca="1">IFERROR(__xludf.DUMMYFUNCTION("""COMPUTED_VALUE"""),49.46)</f>
        <v>49.46</v>
      </c>
      <c r="D1142" s="1">
        <f ca="1">IFERROR(__xludf.DUMMYFUNCTION("""COMPUTED_VALUE"""),46.16)</f>
        <v>46.16</v>
      </c>
      <c r="E1142" s="1">
        <f ca="1">IFERROR(__xludf.DUMMYFUNCTION("""COMPUTED_VALUE"""),47.33)</f>
        <v>47.33</v>
      </c>
      <c r="F1142" s="1">
        <f ca="1">IFERROR(__xludf.DUMMYFUNCTION("""COMPUTED_VALUE"""),30576511)</f>
        <v>30576511</v>
      </c>
      <c r="G1142" s="5">
        <f t="shared" ca="1" si="51"/>
        <v>2.8100570462708606E-2</v>
      </c>
      <c r="H1142" s="14">
        <f t="shared" si="52"/>
        <v>2020</v>
      </c>
      <c r="I1142" s="5">
        <f t="shared" ca="1" si="53"/>
        <v>1.5665236051502079E-2</v>
      </c>
      <c r="J1142" s="16"/>
    </row>
    <row r="1143" spans="1:10" x14ac:dyDescent="0.2">
      <c r="A1143" s="3">
        <v>43936</v>
      </c>
      <c r="B1143" s="1">
        <f ca="1">IFERROR(__xludf.DUMMYFUNCTION("""COMPUTED_VALUE"""),49.47)</f>
        <v>49.47</v>
      </c>
      <c r="C1143" s="1">
        <f ca="1">IFERROR(__xludf.DUMMYFUNCTION("""COMPUTED_VALUE"""),50.21)</f>
        <v>50.21</v>
      </c>
      <c r="D1143" s="1">
        <f ca="1">IFERROR(__xludf.DUMMYFUNCTION("""COMPUTED_VALUE"""),47.33)</f>
        <v>47.33</v>
      </c>
      <c r="E1143" s="1">
        <f ca="1">IFERROR(__xludf.DUMMYFUNCTION("""COMPUTED_VALUE"""),48.66)</f>
        <v>48.66</v>
      </c>
      <c r="F1143" s="1">
        <f ca="1">IFERROR(__xludf.DUMMYFUNCTION("""COMPUTED_VALUE"""),23577001)</f>
        <v>23577001</v>
      </c>
      <c r="G1143" s="5">
        <f t="shared" ca="1" si="51"/>
        <v>2.0961775585696736E-2</v>
      </c>
      <c r="H1143" s="14">
        <f t="shared" si="52"/>
        <v>2020</v>
      </c>
      <c r="I1143" s="5">
        <f t="shared" ca="1" si="53"/>
        <v>-1.6373559733171665E-2</v>
      </c>
      <c r="J1143" s="16"/>
    </row>
    <row r="1144" spans="1:10" x14ac:dyDescent="0.2">
      <c r="A1144" s="3">
        <v>43937</v>
      </c>
      <c r="B1144" s="1">
        <f ca="1">IFERROR(__xludf.DUMMYFUNCTION("""COMPUTED_VALUE"""),47.8)</f>
        <v>47.8</v>
      </c>
      <c r="C1144" s="1">
        <f ca="1">IFERROR(__xludf.DUMMYFUNCTION("""COMPUTED_VALUE"""),50.63)</f>
        <v>50.63</v>
      </c>
      <c r="D1144" s="1">
        <f ca="1">IFERROR(__xludf.DUMMYFUNCTION("""COMPUTED_VALUE"""),47.11)</f>
        <v>47.11</v>
      </c>
      <c r="E1144" s="1">
        <f ca="1">IFERROR(__xludf.DUMMYFUNCTION("""COMPUTED_VALUE"""),49.68)</f>
        <v>49.68</v>
      </c>
      <c r="F1144" s="1">
        <f ca="1">IFERROR(__xludf.DUMMYFUNCTION("""COMPUTED_VALUE"""),20657862)</f>
        <v>20657862</v>
      </c>
      <c r="G1144" s="5">
        <f t="shared" ca="1" si="51"/>
        <v>1.1674718196457292E-2</v>
      </c>
      <c r="H1144" s="14">
        <f t="shared" si="52"/>
        <v>2020</v>
      </c>
      <c r="I1144" s="5">
        <f t="shared" ca="1" si="53"/>
        <v>3.9330543933054449E-2</v>
      </c>
      <c r="J1144" s="16"/>
    </row>
    <row r="1145" spans="1:10" x14ac:dyDescent="0.2">
      <c r="A1145" s="3">
        <v>43938</v>
      </c>
      <c r="B1145" s="1">
        <f ca="1">IFERROR(__xludf.DUMMYFUNCTION("""COMPUTED_VALUE"""),51.49)</f>
        <v>51.49</v>
      </c>
      <c r="C1145" s="1">
        <f ca="1">IFERROR(__xludf.DUMMYFUNCTION("""COMPUTED_VALUE"""),51.66)</f>
        <v>51.66</v>
      </c>
      <c r="D1145" s="1">
        <f ca="1">IFERROR(__xludf.DUMMYFUNCTION("""COMPUTED_VALUE"""),49.84)</f>
        <v>49.84</v>
      </c>
      <c r="E1145" s="1">
        <f ca="1">IFERROR(__xludf.DUMMYFUNCTION("""COMPUTED_VALUE"""),50.26)</f>
        <v>50.26</v>
      </c>
      <c r="F1145" s="1">
        <f ca="1">IFERROR(__xludf.DUMMYFUNCTION("""COMPUTED_VALUE"""),13128237)</f>
        <v>13128237</v>
      </c>
      <c r="G1145" s="5">
        <f t="shared" ca="1" si="51"/>
        <v>-9.9482690011937925E-3</v>
      </c>
      <c r="H1145" s="14">
        <f t="shared" si="52"/>
        <v>2020</v>
      </c>
      <c r="I1145" s="5">
        <f t="shared" ca="1" si="53"/>
        <v>-2.3888133618178365E-2</v>
      </c>
      <c r="J1145" s="16"/>
    </row>
    <row r="1146" spans="1:10" x14ac:dyDescent="0.2">
      <c r="A1146" s="3">
        <v>43941</v>
      </c>
      <c r="B1146" s="1">
        <f ca="1">IFERROR(__xludf.DUMMYFUNCTION("""COMPUTED_VALUE"""),48.85)</f>
        <v>48.85</v>
      </c>
      <c r="C1146" s="1">
        <f ca="1">IFERROR(__xludf.DUMMYFUNCTION("""COMPUTED_VALUE"""),51.04)</f>
        <v>51.04</v>
      </c>
      <c r="D1146" s="1">
        <f ca="1">IFERROR(__xludf.DUMMYFUNCTION("""COMPUTED_VALUE"""),47.48)</f>
        <v>47.48</v>
      </c>
      <c r="E1146" s="1">
        <f ca="1">IFERROR(__xludf.DUMMYFUNCTION("""COMPUTED_VALUE"""),49.76)</f>
        <v>49.76</v>
      </c>
      <c r="F1146" s="1">
        <f ca="1">IFERROR(__xludf.DUMMYFUNCTION("""COMPUTED_VALUE"""),14746577)</f>
        <v>14746577</v>
      </c>
      <c r="G1146" s="5">
        <f t="shared" ca="1" si="51"/>
        <v>-7.998392282958193E-2</v>
      </c>
      <c r="H1146" s="14">
        <f t="shared" si="52"/>
        <v>2020</v>
      </c>
      <c r="I1146" s="5">
        <f t="shared" ca="1" si="53"/>
        <v>1.8628454452405251E-2</v>
      </c>
      <c r="J1146" s="16"/>
    </row>
    <row r="1147" spans="1:10" x14ac:dyDescent="0.2">
      <c r="A1147" s="3">
        <v>43942</v>
      </c>
      <c r="B1147" s="1">
        <f ca="1">IFERROR(__xludf.DUMMYFUNCTION("""COMPUTED_VALUE"""),48.67)</f>
        <v>48.67</v>
      </c>
      <c r="C1147" s="1">
        <f ca="1">IFERROR(__xludf.DUMMYFUNCTION("""COMPUTED_VALUE"""),50.22)</f>
        <v>50.22</v>
      </c>
      <c r="D1147" s="1">
        <f ca="1">IFERROR(__xludf.DUMMYFUNCTION("""COMPUTED_VALUE"""),44.92)</f>
        <v>44.92</v>
      </c>
      <c r="E1147" s="1">
        <f ca="1">IFERROR(__xludf.DUMMYFUNCTION("""COMPUTED_VALUE"""),45.78)</f>
        <v>45.78</v>
      </c>
      <c r="F1147" s="1">
        <f ca="1">IFERROR(__xludf.DUMMYFUNCTION("""COMPUTED_VALUE"""),20209093)</f>
        <v>20209093</v>
      </c>
      <c r="G1147" s="5">
        <f t="shared" ca="1" si="51"/>
        <v>6.6186107470511166E-2</v>
      </c>
      <c r="H1147" s="14">
        <f t="shared" si="52"/>
        <v>2020</v>
      </c>
      <c r="I1147" s="5">
        <f t="shared" ca="1" si="53"/>
        <v>-5.9379494555167465E-2</v>
      </c>
      <c r="J1147" s="16"/>
    </row>
    <row r="1148" spans="1:10" x14ac:dyDescent="0.2">
      <c r="A1148" s="3">
        <v>43943</v>
      </c>
      <c r="B1148" s="1">
        <f ca="1">IFERROR(__xludf.DUMMYFUNCTION("""COMPUTED_VALUE"""),46.93)</f>
        <v>46.93</v>
      </c>
      <c r="C1148" s="1">
        <f ca="1">IFERROR(__xludf.DUMMYFUNCTION("""COMPUTED_VALUE"""),48.93)</f>
        <v>48.93</v>
      </c>
      <c r="D1148" s="1">
        <f ca="1">IFERROR(__xludf.DUMMYFUNCTION("""COMPUTED_VALUE"""),45.91)</f>
        <v>45.91</v>
      </c>
      <c r="E1148" s="1">
        <f ca="1">IFERROR(__xludf.DUMMYFUNCTION("""COMPUTED_VALUE"""),48.81)</f>
        <v>48.81</v>
      </c>
      <c r="F1148" s="1">
        <f ca="1">IFERROR(__xludf.DUMMYFUNCTION("""COMPUTED_VALUE"""),14224831)</f>
        <v>14224831</v>
      </c>
      <c r="G1148" s="5">
        <f t="shared" ca="1" si="51"/>
        <v>-3.6263060848186909E-2</v>
      </c>
      <c r="H1148" s="14">
        <f t="shared" si="52"/>
        <v>2020</v>
      </c>
      <c r="I1148" s="5">
        <f t="shared" ca="1" si="53"/>
        <v>4.0059663328361445E-2</v>
      </c>
      <c r="J1148" s="16"/>
    </row>
    <row r="1149" spans="1:10" x14ac:dyDescent="0.2">
      <c r="A1149" s="3">
        <v>43944</v>
      </c>
      <c r="B1149" s="1">
        <f ca="1">IFERROR(__xludf.DUMMYFUNCTION("""COMPUTED_VALUE"""),48.51)</f>
        <v>48.51</v>
      </c>
      <c r="C1149" s="1">
        <f ca="1">IFERROR(__xludf.DUMMYFUNCTION("""COMPUTED_VALUE"""),48.93)</f>
        <v>48.93</v>
      </c>
      <c r="D1149" s="1">
        <f ca="1">IFERROR(__xludf.DUMMYFUNCTION("""COMPUTED_VALUE"""),46.88)</f>
        <v>46.88</v>
      </c>
      <c r="E1149" s="1">
        <f ca="1">IFERROR(__xludf.DUMMYFUNCTION("""COMPUTED_VALUE"""),47.04)</f>
        <v>47.04</v>
      </c>
      <c r="F1149" s="1">
        <f ca="1">IFERROR(__xludf.DUMMYFUNCTION("""COMPUTED_VALUE"""),13236697)</f>
        <v>13236697</v>
      </c>
      <c r="G1149" s="5">
        <f t="shared" ca="1" si="51"/>
        <v>2.7636054421768797E-2</v>
      </c>
      <c r="H1149" s="14">
        <f t="shared" si="52"/>
        <v>2020</v>
      </c>
      <c r="I1149" s="5">
        <f t="shared" ca="1" si="53"/>
        <v>-3.030303030303028E-2</v>
      </c>
      <c r="J1149" s="16"/>
    </row>
    <row r="1150" spans="1:10" x14ac:dyDescent="0.2">
      <c r="A1150" s="3">
        <v>43945</v>
      </c>
      <c r="B1150" s="1">
        <f ca="1">IFERROR(__xludf.DUMMYFUNCTION("""COMPUTED_VALUE"""),47.39)</f>
        <v>47.39</v>
      </c>
      <c r="C1150" s="1">
        <f ca="1">IFERROR(__xludf.DUMMYFUNCTION("""COMPUTED_VALUE"""),48.72)</f>
        <v>48.72</v>
      </c>
      <c r="D1150" s="1">
        <f ca="1">IFERROR(__xludf.DUMMYFUNCTION("""COMPUTED_VALUE"""),46.55)</f>
        <v>46.55</v>
      </c>
      <c r="E1150" s="1">
        <f ca="1">IFERROR(__xludf.DUMMYFUNCTION("""COMPUTED_VALUE"""),48.34)</f>
        <v>48.34</v>
      </c>
      <c r="F1150" s="1">
        <f ca="1">IFERROR(__xludf.DUMMYFUNCTION("""COMPUTED_VALUE"""),13237612)</f>
        <v>13237612</v>
      </c>
      <c r="G1150" s="5">
        <f t="shared" ca="1" si="51"/>
        <v>0.10157219693835326</v>
      </c>
      <c r="H1150" s="14">
        <f t="shared" si="52"/>
        <v>2020</v>
      </c>
      <c r="I1150" s="5">
        <f t="shared" ca="1" si="53"/>
        <v>2.0046423296054081E-2</v>
      </c>
      <c r="J1150" s="16"/>
    </row>
    <row r="1151" spans="1:10" x14ac:dyDescent="0.2">
      <c r="A1151" s="3">
        <v>43948</v>
      </c>
      <c r="B1151" s="1">
        <f ca="1">IFERROR(__xludf.DUMMYFUNCTION("""COMPUTED_VALUE"""),49.17)</f>
        <v>49.17</v>
      </c>
      <c r="C1151" s="1">
        <f ca="1">IFERROR(__xludf.DUMMYFUNCTION("""COMPUTED_VALUE"""),53.3)</f>
        <v>53.3</v>
      </c>
      <c r="D1151" s="1">
        <f ca="1">IFERROR(__xludf.DUMMYFUNCTION("""COMPUTED_VALUE"""),49)</f>
        <v>49</v>
      </c>
      <c r="E1151" s="1">
        <f ca="1">IFERROR(__xludf.DUMMYFUNCTION("""COMPUTED_VALUE"""),53.25)</f>
        <v>53.25</v>
      </c>
      <c r="F1151" s="1">
        <f ca="1">IFERROR(__xludf.DUMMYFUNCTION("""COMPUTED_VALUE"""),20681442)</f>
        <v>20681442</v>
      </c>
      <c r="G1151" s="5">
        <f t="shared" ca="1" si="51"/>
        <v>-3.7183098591549238E-2</v>
      </c>
      <c r="H1151" s="14">
        <f t="shared" si="52"/>
        <v>2020</v>
      </c>
      <c r="I1151" s="5">
        <f t="shared" ca="1" si="53"/>
        <v>8.2977425259304419E-2</v>
      </c>
      <c r="J1151" s="16"/>
    </row>
    <row r="1152" spans="1:10" x14ac:dyDescent="0.2">
      <c r="A1152" s="3">
        <v>43949</v>
      </c>
      <c r="B1152" s="1">
        <f ca="1">IFERROR(__xludf.DUMMYFUNCTION("""COMPUTED_VALUE"""),53.04)</f>
        <v>53.04</v>
      </c>
      <c r="C1152" s="1">
        <f ca="1">IFERROR(__xludf.DUMMYFUNCTION("""COMPUTED_VALUE"""),53.67)</f>
        <v>53.67</v>
      </c>
      <c r="D1152" s="1">
        <f ca="1">IFERROR(__xludf.DUMMYFUNCTION("""COMPUTED_VALUE"""),50.45)</f>
        <v>50.45</v>
      </c>
      <c r="E1152" s="1">
        <f ca="1">IFERROR(__xludf.DUMMYFUNCTION("""COMPUTED_VALUE"""),51.27)</f>
        <v>51.27</v>
      </c>
      <c r="F1152" s="1">
        <f ca="1">IFERROR(__xludf.DUMMYFUNCTION("""COMPUTED_VALUE"""),15221964)</f>
        <v>15221964</v>
      </c>
      <c r="G1152" s="5">
        <f t="shared" ca="1" si="51"/>
        <v>4.0959625511995203E-2</v>
      </c>
      <c r="H1152" s="14">
        <f t="shared" si="52"/>
        <v>2020</v>
      </c>
      <c r="I1152" s="5">
        <f t="shared" ca="1" si="53"/>
        <v>-3.3371040723981824E-2</v>
      </c>
      <c r="J1152" s="16"/>
    </row>
    <row r="1153" spans="1:10" x14ac:dyDescent="0.2">
      <c r="A1153" s="3">
        <v>43950</v>
      </c>
      <c r="B1153" s="1">
        <f ca="1">IFERROR(__xludf.DUMMYFUNCTION("""COMPUTED_VALUE"""),52.68)</f>
        <v>52.68</v>
      </c>
      <c r="C1153" s="1">
        <f ca="1">IFERROR(__xludf.DUMMYFUNCTION("""COMPUTED_VALUE"""),53.55)</f>
        <v>53.55</v>
      </c>
      <c r="D1153" s="1">
        <f ca="1">IFERROR(__xludf.DUMMYFUNCTION("""COMPUTED_VALUE"""),52.21)</f>
        <v>52.21</v>
      </c>
      <c r="E1153" s="1">
        <f ca="1">IFERROR(__xludf.DUMMYFUNCTION("""COMPUTED_VALUE"""),53.37)</f>
        <v>53.37</v>
      </c>
      <c r="F1153" s="1">
        <f ca="1">IFERROR(__xludf.DUMMYFUNCTION("""COMPUTED_VALUE"""),16215982)</f>
        <v>16215982</v>
      </c>
      <c r="G1153" s="5">
        <f t="shared" ca="1" si="51"/>
        <v>-2.3234026606707793E-2</v>
      </c>
      <c r="H1153" s="14">
        <f t="shared" si="52"/>
        <v>2020</v>
      </c>
      <c r="I1153" s="5">
        <f t="shared" ca="1" si="53"/>
        <v>1.3097949886104741E-2</v>
      </c>
      <c r="J1153" s="16"/>
    </row>
    <row r="1154" spans="1:10" x14ac:dyDescent="0.2">
      <c r="A1154" s="3">
        <v>43951</v>
      </c>
      <c r="B1154" s="1">
        <f ca="1">IFERROR(__xludf.DUMMYFUNCTION("""COMPUTED_VALUE"""),57.01)</f>
        <v>57.01</v>
      </c>
      <c r="C1154" s="1">
        <f ca="1">IFERROR(__xludf.DUMMYFUNCTION("""COMPUTED_VALUE"""),57.99)</f>
        <v>57.99</v>
      </c>
      <c r="D1154" s="1">
        <f ca="1">IFERROR(__xludf.DUMMYFUNCTION("""COMPUTED_VALUE"""),50.9)</f>
        <v>50.9</v>
      </c>
      <c r="E1154" s="1">
        <f ca="1">IFERROR(__xludf.DUMMYFUNCTION("""COMPUTED_VALUE"""),52.13)</f>
        <v>52.13</v>
      </c>
      <c r="F1154" s="1">
        <f ca="1">IFERROR(__xludf.DUMMYFUNCTION("""COMPUTED_VALUE"""),28471854)</f>
        <v>28471854</v>
      </c>
      <c r="G1154" s="5">
        <f t="shared" ca="1" si="51"/>
        <v>-0.10320352963744489</v>
      </c>
      <c r="H1154" s="14">
        <f t="shared" si="52"/>
        <v>2020</v>
      </c>
      <c r="I1154" s="5">
        <f t="shared" ca="1" si="53"/>
        <v>-8.5599017716190065E-2</v>
      </c>
      <c r="J1154" s="16"/>
    </row>
    <row r="1155" spans="1:10" x14ac:dyDescent="0.2">
      <c r="A1155" s="3">
        <v>43952</v>
      </c>
      <c r="B1155" s="1">
        <f ca="1">IFERROR(__xludf.DUMMYFUNCTION("""COMPUTED_VALUE"""),50.33)</f>
        <v>50.33</v>
      </c>
      <c r="C1155" s="1">
        <f ca="1">IFERROR(__xludf.DUMMYFUNCTION("""COMPUTED_VALUE"""),51.52)</f>
        <v>51.52</v>
      </c>
      <c r="D1155" s="1">
        <f ca="1">IFERROR(__xludf.DUMMYFUNCTION("""COMPUTED_VALUE"""),45.54)</f>
        <v>45.54</v>
      </c>
      <c r="E1155" s="1">
        <f ca="1">IFERROR(__xludf.DUMMYFUNCTION("""COMPUTED_VALUE"""),46.75)</f>
        <v>46.75</v>
      </c>
      <c r="F1155" s="1">
        <f ca="1">IFERROR(__xludf.DUMMYFUNCTION("""COMPUTED_VALUE"""),32531807)</f>
        <v>32531807</v>
      </c>
      <c r="G1155" s="5">
        <f t="shared" ref="G1155:G1218" ca="1" si="54">(E1156-E1155)/E1155</f>
        <v>8.5561497326203204E-2</v>
      </c>
      <c r="H1155" s="14">
        <f t="shared" ref="H1155:H1218" si="55">YEAR(A1155)</f>
        <v>2020</v>
      </c>
      <c r="I1155" s="5">
        <f t="shared" ref="I1155:I1218" ca="1" si="56">((E1155 - B1155) / B1155)</f>
        <v>-7.1130538446254693E-2</v>
      </c>
      <c r="J1155" s="16"/>
    </row>
    <row r="1156" spans="1:10" x14ac:dyDescent="0.2">
      <c r="A1156" s="3">
        <v>43955</v>
      </c>
      <c r="B1156" s="1">
        <f ca="1">IFERROR(__xludf.DUMMYFUNCTION("""COMPUTED_VALUE"""),46.73)</f>
        <v>46.73</v>
      </c>
      <c r="C1156" s="1">
        <f ca="1">IFERROR(__xludf.DUMMYFUNCTION("""COMPUTED_VALUE"""),50.8)</f>
        <v>50.8</v>
      </c>
      <c r="D1156" s="1">
        <f ca="1">IFERROR(__xludf.DUMMYFUNCTION("""COMPUTED_VALUE"""),46.53)</f>
        <v>46.53</v>
      </c>
      <c r="E1156" s="1">
        <f ca="1">IFERROR(__xludf.DUMMYFUNCTION("""COMPUTED_VALUE"""),50.75)</f>
        <v>50.75</v>
      </c>
      <c r="F1156" s="1">
        <f ca="1">IFERROR(__xludf.DUMMYFUNCTION("""COMPUTED_VALUE"""),19237090)</f>
        <v>19237090</v>
      </c>
      <c r="G1156" s="5">
        <f t="shared" ca="1" si="54"/>
        <v>9.0640394088670126E-3</v>
      </c>
      <c r="H1156" s="14">
        <f t="shared" si="55"/>
        <v>2020</v>
      </c>
      <c r="I1156" s="5">
        <f t="shared" ca="1" si="56"/>
        <v>8.6026107425636711E-2</v>
      </c>
      <c r="J1156" s="16"/>
    </row>
    <row r="1157" spans="1:10" x14ac:dyDescent="0.2">
      <c r="A1157" s="3">
        <v>43956</v>
      </c>
      <c r="B1157" s="1">
        <f ca="1">IFERROR(__xludf.DUMMYFUNCTION("""COMPUTED_VALUE"""),52.65)</f>
        <v>52.65</v>
      </c>
      <c r="C1157" s="1">
        <f ca="1">IFERROR(__xludf.DUMMYFUNCTION("""COMPUTED_VALUE"""),53.26)</f>
        <v>53.26</v>
      </c>
      <c r="D1157" s="1">
        <f ca="1">IFERROR(__xludf.DUMMYFUNCTION("""COMPUTED_VALUE"""),50.81)</f>
        <v>50.81</v>
      </c>
      <c r="E1157" s="1">
        <f ca="1">IFERROR(__xludf.DUMMYFUNCTION("""COMPUTED_VALUE"""),51.21)</f>
        <v>51.21</v>
      </c>
      <c r="F1157" s="1">
        <f ca="1">IFERROR(__xludf.DUMMYFUNCTION("""COMPUTED_VALUE"""),16991656)</f>
        <v>16991656</v>
      </c>
      <c r="G1157" s="5">
        <f t="shared" ca="1" si="54"/>
        <v>1.8746338605741084E-2</v>
      </c>
      <c r="H1157" s="14">
        <f t="shared" si="55"/>
        <v>2020</v>
      </c>
      <c r="I1157" s="5">
        <f t="shared" ca="1" si="56"/>
        <v>-2.7350427350427309E-2</v>
      </c>
      <c r="J1157" s="16"/>
    </row>
    <row r="1158" spans="1:10" x14ac:dyDescent="0.2">
      <c r="A1158" s="3">
        <v>43957</v>
      </c>
      <c r="B1158" s="1">
        <f ca="1">IFERROR(__xludf.DUMMYFUNCTION("""COMPUTED_VALUE"""),51.77)</f>
        <v>51.77</v>
      </c>
      <c r="C1158" s="1">
        <f ca="1">IFERROR(__xludf.DUMMYFUNCTION("""COMPUTED_VALUE"""),52.65)</f>
        <v>52.65</v>
      </c>
      <c r="D1158" s="1">
        <f ca="1">IFERROR(__xludf.DUMMYFUNCTION("""COMPUTED_VALUE"""),50.74)</f>
        <v>50.74</v>
      </c>
      <c r="E1158" s="1">
        <f ca="1">IFERROR(__xludf.DUMMYFUNCTION("""COMPUTED_VALUE"""),52.17)</f>
        <v>52.17</v>
      </c>
      <c r="F1158" s="1">
        <f ca="1">IFERROR(__xludf.DUMMYFUNCTION("""COMPUTED_VALUE"""),11123231)</f>
        <v>11123231</v>
      </c>
      <c r="G1158" s="5">
        <f t="shared" ca="1" si="54"/>
        <v>-3.2585777266628656E-3</v>
      </c>
      <c r="H1158" s="14">
        <f t="shared" si="55"/>
        <v>2020</v>
      </c>
      <c r="I1158" s="5">
        <f t="shared" ca="1" si="56"/>
        <v>7.726482518833273E-3</v>
      </c>
      <c r="J1158" s="16"/>
    </row>
    <row r="1159" spans="1:10" x14ac:dyDescent="0.2">
      <c r="A1159" s="3">
        <v>43958</v>
      </c>
      <c r="B1159" s="1">
        <f ca="1">IFERROR(__xludf.DUMMYFUNCTION("""COMPUTED_VALUE"""),51.81)</f>
        <v>51.81</v>
      </c>
      <c r="C1159" s="1">
        <f ca="1">IFERROR(__xludf.DUMMYFUNCTION("""COMPUTED_VALUE"""),53.09)</f>
        <v>53.09</v>
      </c>
      <c r="D1159" s="1">
        <f ca="1">IFERROR(__xludf.DUMMYFUNCTION("""COMPUTED_VALUE"""),51.49)</f>
        <v>51.49</v>
      </c>
      <c r="E1159" s="1">
        <f ca="1">IFERROR(__xludf.DUMMYFUNCTION("""COMPUTED_VALUE"""),52)</f>
        <v>52</v>
      </c>
      <c r="F1159" s="1">
        <f ca="1">IFERROR(__xludf.DUMMYFUNCTION("""COMPUTED_VALUE"""),11527686)</f>
        <v>11527686</v>
      </c>
      <c r="G1159" s="5">
        <f t="shared" ca="1" si="54"/>
        <v>5.0576923076923123E-2</v>
      </c>
      <c r="H1159" s="14">
        <f t="shared" si="55"/>
        <v>2020</v>
      </c>
      <c r="I1159" s="5">
        <f t="shared" ca="1" si="56"/>
        <v>3.667245705462222E-3</v>
      </c>
      <c r="J1159" s="16"/>
    </row>
    <row r="1160" spans="1:10" x14ac:dyDescent="0.2">
      <c r="A1160" s="3">
        <v>43959</v>
      </c>
      <c r="B1160" s="1">
        <f ca="1">IFERROR(__xludf.DUMMYFUNCTION("""COMPUTED_VALUE"""),52.92)</f>
        <v>52.92</v>
      </c>
      <c r="C1160" s="1">
        <f ca="1">IFERROR(__xludf.DUMMYFUNCTION("""COMPUTED_VALUE"""),54.93)</f>
        <v>54.93</v>
      </c>
      <c r="D1160" s="1">
        <f ca="1">IFERROR(__xludf.DUMMYFUNCTION("""COMPUTED_VALUE"""),52.47)</f>
        <v>52.47</v>
      </c>
      <c r="E1160" s="1">
        <f ca="1">IFERROR(__xludf.DUMMYFUNCTION("""COMPUTED_VALUE"""),54.63)</f>
        <v>54.63</v>
      </c>
      <c r="F1160" s="1">
        <f ca="1">IFERROR(__xludf.DUMMYFUNCTION("""COMPUTED_VALUE"""),16130087)</f>
        <v>16130087</v>
      </c>
      <c r="G1160" s="5">
        <f t="shared" ca="1" si="54"/>
        <v>-9.8846787479406756E-3</v>
      </c>
      <c r="H1160" s="14">
        <f t="shared" si="55"/>
        <v>2020</v>
      </c>
      <c r="I1160" s="5">
        <f t="shared" ca="1" si="56"/>
        <v>3.2312925170068042E-2</v>
      </c>
      <c r="J1160" s="16"/>
    </row>
    <row r="1161" spans="1:10" x14ac:dyDescent="0.2">
      <c r="A1161" s="3">
        <v>43962</v>
      </c>
      <c r="B1161" s="1">
        <f ca="1">IFERROR(__xludf.DUMMYFUNCTION("""COMPUTED_VALUE"""),52.7)</f>
        <v>52.7</v>
      </c>
      <c r="C1161" s="1">
        <f ca="1">IFERROR(__xludf.DUMMYFUNCTION("""COMPUTED_VALUE"""),54.93)</f>
        <v>54.93</v>
      </c>
      <c r="D1161" s="1">
        <f ca="1">IFERROR(__xludf.DUMMYFUNCTION("""COMPUTED_VALUE"""),52.33)</f>
        <v>52.33</v>
      </c>
      <c r="E1161" s="1">
        <f ca="1">IFERROR(__xludf.DUMMYFUNCTION("""COMPUTED_VALUE"""),54.09)</f>
        <v>54.09</v>
      </c>
      <c r="F1161" s="1">
        <f ca="1">IFERROR(__xludf.DUMMYFUNCTION("""COMPUTED_VALUE"""),16519601)</f>
        <v>16519601</v>
      </c>
      <c r="G1161" s="5">
        <f t="shared" ca="1" si="54"/>
        <v>-2.4034017378443805E-3</v>
      </c>
      <c r="H1161" s="14">
        <f t="shared" si="55"/>
        <v>2020</v>
      </c>
      <c r="I1161" s="5">
        <f t="shared" ca="1" si="56"/>
        <v>2.6375711574952571E-2</v>
      </c>
      <c r="J1161" s="16"/>
    </row>
    <row r="1162" spans="1:10" x14ac:dyDescent="0.2">
      <c r="A1162" s="3">
        <v>43963</v>
      </c>
      <c r="B1162" s="1">
        <f ca="1">IFERROR(__xludf.DUMMYFUNCTION("""COMPUTED_VALUE"""),55.13)</f>
        <v>55.13</v>
      </c>
      <c r="C1162" s="1">
        <f ca="1">IFERROR(__xludf.DUMMYFUNCTION("""COMPUTED_VALUE"""),56.22)</f>
        <v>56.22</v>
      </c>
      <c r="D1162" s="1">
        <f ca="1">IFERROR(__xludf.DUMMYFUNCTION("""COMPUTED_VALUE"""),53.87)</f>
        <v>53.87</v>
      </c>
      <c r="E1162" s="1">
        <f ca="1">IFERROR(__xludf.DUMMYFUNCTION("""COMPUTED_VALUE"""),53.96)</f>
        <v>53.96</v>
      </c>
      <c r="F1162" s="1">
        <f ca="1">IFERROR(__xludf.DUMMYFUNCTION("""COMPUTED_VALUE"""),15906905)</f>
        <v>15906905</v>
      </c>
      <c r="G1162" s="5">
        <f t="shared" ca="1" si="54"/>
        <v>-2.2794662713120903E-2</v>
      </c>
      <c r="H1162" s="14">
        <f t="shared" si="55"/>
        <v>2020</v>
      </c>
      <c r="I1162" s="5">
        <f t="shared" ca="1" si="56"/>
        <v>-2.1222564846725949E-2</v>
      </c>
      <c r="J1162" s="16"/>
    </row>
    <row r="1163" spans="1:10" x14ac:dyDescent="0.2">
      <c r="A1163" s="3">
        <v>43964</v>
      </c>
      <c r="B1163" s="1">
        <f ca="1">IFERROR(__xludf.DUMMYFUNCTION("""COMPUTED_VALUE"""),54.72)</f>
        <v>54.72</v>
      </c>
      <c r="C1163" s="1">
        <f ca="1">IFERROR(__xludf.DUMMYFUNCTION("""COMPUTED_VALUE"""),55.07)</f>
        <v>55.07</v>
      </c>
      <c r="D1163" s="1">
        <f ca="1">IFERROR(__xludf.DUMMYFUNCTION("""COMPUTED_VALUE"""),50.89)</f>
        <v>50.89</v>
      </c>
      <c r="E1163" s="1">
        <f ca="1">IFERROR(__xludf.DUMMYFUNCTION("""COMPUTED_VALUE"""),52.73)</f>
        <v>52.73</v>
      </c>
      <c r="F1163" s="1">
        <f ca="1">IFERROR(__xludf.DUMMYFUNCTION("""COMPUTED_VALUE"""),19065491)</f>
        <v>19065491</v>
      </c>
      <c r="G1163" s="5">
        <f t="shared" ca="1" si="54"/>
        <v>1.5740565143182353E-2</v>
      </c>
      <c r="H1163" s="14">
        <f t="shared" si="55"/>
        <v>2020</v>
      </c>
      <c r="I1163" s="5">
        <f t="shared" ca="1" si="56"/>
        <v>-3.636695906432752E-2</v>
      </c>
      <c r="J1163" s="16"/>
    </row>
    <row r="1164" spans="1:10" x14ac:dyDescent="0.2">
      <c r="A1164" s="3">
        <v>43965</v>
      </c>
      <c r="B1164" s="1">
        <f ca="1">IFERROR(__xludf.DUMMYFUNCTION("""COMPUTED_VALUE"""),52)</f>
        <v>52</v>
      </c>
      <c r="C1164" s="1">
        <f ca="1">IFERROR(__xludf.DUMMYFUNCTION("""COMPUTED_VALUE"""),53.56)</f>
        <v>53.56</v>
      </c>
      <c r="D1164" s="1">
        <f ca="1">IFERROR(__xludf.DUMMYFUNCTION("""COMPUTED_VALUE"""),50.93)</f>
        <v>50.93</v>
      </c>
      <c r="E1164" s="1">
        <f ca="1">IFERROR(__xludf.DUMMYFUNCTION("""COMPUTED_VALUE"""),53.56)</f>
        <v>53.56</v>
      </c>
      <c r="F1164" s="1">
        <f ca="1">IFERROR(__xludf.DUMMYFUNCTION("""COMPUTED_VALUE"""),13682188)</f>
        <v>13682188</v>
      </c>
      <c r="G1164" s="5">
        <f t="shared" ca="1" si="54"/>
        <v>-5.227781926811074E-3</v>
      </c>
      <c r="H1164" s="14">
        <f t="shared" si="55"/>
        <v>2020</v>
      </c>
      <c r="I1164" s="5">
        <f t="shared" ca="1" si="56"/>
        <v>3.0000000000000044E-2</v>
      </c>
      <c r="J1164" s="16"/>
    </row>
    <row r="1165" spans="1:10" x14ac:dyDescent="0.2">
      <c r="A1165" s="3">
        <v>43966</v>
      </c>
      <c r="B1165" s="1">
        <f ca="1">IFERROR(__xludf.DUMMYFUNCTION("""COMPUTED_VALUE"""),52.69)</f>
        <v>52.69</v>
      </c>
      <c r="C1165" s="1">
        <f ca="1">IFERROR(__xludf.DUMMYFUNCTION("""COMPUTED_VALUE"""),53.67)</f>
        <v>53.67</v>
      </c>
      <c r="D1165" s="1">
        <f ca="1">IFERROR(__xludf.DUMMYFUNCTION("""COMPUTED_VALUE"""),52.44)</f>
        <v>52.44</v>
      </c>
      <c r="E1165" s="1">
        <f ca="1">IFERROR(__xludf.DUMMYFUNCTION("""COMPUTED_VALUE"""),53.28)</f>
        <v>53.28</v>
      </c>
      <c r="F1165" s="1">
        <f ca="1">IFERROR(__xludf.DUMMYFUNCTION("""COMPUTED_VALUE"""),10518428)</f>
        <v>10518428</v>
      </c>
      <c r="G1165" s="5">
        <f t="shared" ca="1" si="54"/>
        <v>1.8018018018018035E-2</v>
      </c>
      <c r="H1165" s="14">
        <f t="shared" si="55"/>
        <v>2020</v>
      </c>
      <c r="I1165" s="5">
        <f t="shared" ca="1" si="56"/>
        <v>1.119757069652692E-2</v>
      </c>
      <c r="J1165" s="16"/>
    </row>
    <row r="1166" spans="1:10" x14ac:dyDescent="0.2">
      <c r="A1166" s="3">
        <v>43969</v>
      </c>
      <c r="B1166" s="1">
        <f ca="1">IFERROR(__xludf.DUMMYFUNCTION("""COMPUTED_VALUE"""),55.19)</f>
        <v>55.19</v>
      </c>
      <c r="C1166" s="1">
        <f ca="1">IFERROR(__xludf.DUMMYFUNCTION("""COMPUTED_VALUE"""),55.65)</f>
        <v>55.65</v>
      </c>
      <c r="D1166" s="1">
        <f ca="1">IFERROR(__xludf.DUMMYFUNCTION("""COMPUTED_VALUE"""),53.59)</f>
        <v>53.59</v>
      </c>
      <c r="E1166" s="1">
        <f ca="1">IFERROR(__xludf.DUMMYFUNCTION("""COMPUTED_VALUE"""),54.24)</f>
        <v>54.24</v>
      </c>
      <c r="F1166" s="1">
        <f ca="1">IFERROR(__xludf.DUMMYFUNCTION("""COMPUTED_VALUE"""),11698102)</f>
        <v>11698102</v>
      </c>
      <c r="G1166" s="5">
        <f t="shared" ca="1" si="54"/>
        <v>-6.821533923303918E-3</v>
      </c>
      <c r="H1166" s="14">
        <f t="shared" si="55"/>
        <v>2020</v>
      </c>
      <c r="I1166" s="5">
        <f t="shared" ca="1" si="56"/>
        <v>-1.7213263272331868E-2</v>
      </c>
      <c r="J1166" s="16"/>
    </row>
    <row r="1167" spans="1:10" x14ac:dyDescent="0.2">
      <c r="A1167" s="3">
        <v>43970</v>
      </c>
      <c r="B1167" s="1">
        <f ca="1">IFERROR(__xludf.DUMMYFUNCTION("""COMPUTED_VALUE"""),54.34)</f>
        <v>54.34</v>
      </c>
      <c r="C1167" s="1">
        <f ca="1">IFERROR(__xludf.DUMMYFUNCTION("""COMPUTED_VALUE"""),54.8)</f>
        <v>54.8</v>
      </c>
      <c r="D1167" s="1">
        <f ca="1">IFERROR(__xludf.DUMMYFUNCTION("""COMPUTED_VALUE"""),53.74)</f>
        <v>53.74</v>
      </c>
      <c r="E1167" s="1">
        <f ca="1">IFERROR(__xludf.DUMMYFUNCTION("""COMPUTED_VALUE"""),53.87)</f>
        <v>53.87</v>
      </c>
      <c r="F1167" s="1">
        <f ca="1">IFERROR(__xludf.DUMMYFUNCTION("""COMPUTED_VALUE"""),9636522)</f>
        <v>9636522</v>
      </c>
      <c r="G1167" s="5">
        <f t="shared" ca="1" si="54"/>
        <v>9.2816038611472067E-3</v>
      </c>
      <c r="H1167" s="14">
        <f t="shared" si="55"/>
        <v>2020</v>
      </c>
      <c r="I1167" s="5">
        <f t="shared" ca="1" si="56"/>
        <v>-8.6492454913508644E-3</v>
      </c>
      <c r="J1167" s="16"/>
    </row>
    <row r="1168" spans="1:10" x14ac:dyDescent="0.2">
      <c r="A1168" s="3">
        <v>43971</v>
      </c>
      <c r="B1168" s="1">
        <f ca="1">IFERROR(__xludf.DUMMYFUNCTION("""COMPUTED_VALUE"""),54.7)</f>
        <v>54.7</v>
      </c>
      <c r="C1168" s="1">
        <f ca="1">IFERROR(__xludf.DUMMYFUNCTION("""COMPUTED_VALUE"""),55.07)</f>
        <v>55.07</v>
      </c>
      <c r="D1168" s="1">
        <f ca="1">IFERROR(__xludf.DUMMYFUNCTION("""COMPUTED_VALUE"""),54.12)</f>
        <v>54.12</v>
      </c>
      <c r="E1168" s="1">
        <f ca="1">IFERROR(__xludf.DUMMYFUNCTION("""COMPUTED_VALUE"""),54.37)</f>
        <v>54.37</v>
      </c>
      <c r="F1168" s="1">
        <f ca="1">IFERROR(__xludf.DUMMYFUNCTION("""COMPUTED_VALUE"""),7309271)</f>
        <v>7309271</v>
      </c>
      <c r="G1168" s="5">
        <f t="shared" ca="1" si="54"/>
        <v>1.4713996689350825E-2</v>
      </c>
      <c r="H1168" s="14">
        <f t="shared" si="55"/>
        <v>2020</v>
      </c>
      <c r="I1168" s="5">
        <f t="shared" ca="1" si="56"/>
        <v>-6.0329067641682887E-3</v>
      </c>
      <c r="J1168" s="16"/>
    </row>
    <row r="1169" spans="1:10" x14ac:dyDescent="0.2">
      <c r="A1169" s="3">
        <v>43972</v>
      </c>
      <c r="B1169" s="1">
        <f ca="1">IFERROR(__xludf.DUMMYFUNCTION("""COMPUTED_VALUE"""),54.4)</f>
        <v>54.4</v>
      </c>
      <c r="C1169" s="1">
        <f ca="1">IFERROR(__xludf.DUMMYFUNCTION("""COMPUTED_VALUE"""),55.5)</f>
        <v>55.5</v>
      </c>
      <c r="D1169" s="1">
        <f ca="1">IFERROR(__xludf.DUMMYFUNCTION("""COMPUTED_VALUE"""),53.07)</f>
        <v>53.07</v>
      </c>
      <c r="E1169" s="1">
        <f ca="1">IFERROR(__xludf.DUMMYFUNCTION("""COMPUTED_VALUE"""),55.17)</f>
        <v>55.17</v>
      </c>
      <c r="F1169" s="1">
        <f ca="1">IFERROR(__xludf.DUMMYFUNCTION("""COMPUTED_VALUE"""),12254584)</f>
        <v>12254584</v>
      </c>
      <c r="G1169" s="5">
        <f t="shared" ca="1" si="54"/>
        <v>-1.2869313032445184E-2</v>
      </c>
      <c r="H1169" s="14">
        <f t="shared" si="55"/>
        <v>2020</v>
      </c>
      <c r="I1169" s="5">
        <f t="shared" ca="1" si="56"/>
        <v>1.415441176470594E-2</v>
      </c>
      <c r="J1169" s="16"/>
    </row>
    <row r="1170" spans="1:10" x14ac:dyDescent="0.2">
      <c r="A1170" s="3">
        <v>43973</v>
      </c>
      <c r="B1170" s="1">
        <f ca="1">IFERROR(__xludf.DUMMYFUNCTION("""COMPUTED_VALUE"""),54.81)</f>
        <v>54.81</v>
      </c>
      <c r="C1170" s="1">
        <f ca="1">IFERROR(__xludf.DUMMYFUNCTION("""COMPUTED_VALUE"""),55.45)</f>
        <v>55.45</v>
      </c>
      <c r="D1170" s="1">
        <f ca="1">IFERROR(__xludf.DUMMYFUNCTION("""COMPUTED_VALUE"""),54.13)</f>
        <v>54.13</v>
      </c>
      <c r="E1170" s="1">
        <f ca="1">IFERROR(__xludf.DUMMYFUNCTION("""COMPUTED_VALUE"""),54.46)</f>
        <v>54.46</v>
      </c>
      <c r="F1170" s="1">
        <f ca="1">IFERROR(__xludf.DUMMYFUNCTION("""COMPUTED_VALUE"""),9987475)</f>
        <v>9987475</v>
      </c>
      <c r="G1170" s="5">
        <f t="shared" ca="1" si="54"/>
        <v>2.3870730811605318E-3</v>
      </c>
      <c r="H1170" s="14">
        <f t="shared" si="55"/>
        <v>2020</v>
      </c>
      <c r="I1170" s="5">
        <f t="shared" ca="1" si="56"/>
        <v>-6.3856960408684802E-3</v>
      </c>
      <c r="J1170" s="16"/>
    </row>
    <row r="1171" spans="1:10" x14ac:dyDescent="0.2">
      <c r="A1171" s="3">
        <v>43977</v>
      </c>
      <c r="B1171" s="1">
        <f ca="1">IFERROR(__xludf.DUMMYFUNCTION("""COMPUTED_VALUE"""),55.63)</f>
        <v>55.63</v>
      </c>
      <c r="C1171" s="1">
        <f ca="1">IFERROR(__xludf.DUMMYFUNCTION("""COMPUTED_VALUE"""),55.64)</f>
        <v>55.64</v>
      </c>
      <c r="D1171" s="1">
        <f ca="1">IFERROR(__xludf.DUMMYFUNCTION("""COMPUTED_VALUE"""),54.38)</f>
        <v>54.38</v>
      </c>
      <c r="E1171" s="1">
        <f ca="1">IFERROR(__xludf.DUMMYFUNCTION("""COMPUTED_VALUE"""),54.59)</f>
        <v>54.59</v>
      </c>
      <c r="F1171" s="1">
        <f ca="1">IFERROR(__xludf.DUMMYFUNCTION("""COMPUTED_VALUE"""),8089736)</f>
        <v>8089736</v>
      </c>
      <c r="G1171" s="5">
        <f t="shared" ca="1" si="54"/>
        <v>1.6486535995602913E-3</v>
      </c>
      <c r="H1171" s="14">
        <f t="shared" si="55"/>
        <v>2020</v>
      </c>
      <c r="I1171" s="5">
        <f t="shared" ca="1" si="56"/>
        <v>-1.8694948768649994E-2</v>
      </c>
      <c r="J1171" s="16"/>
    </row>
    <row r="1172" spans="1:10" x14ac:dyDescent="0.2">
      <c r="A1172" s="3">
        <v>43978</v>
      </c>
      <c r="B1172" s="1">
        <f ca="1">IFERROR(__xludf.DUMMYFUNCTION("""COMPUTED_VALUE"""),54.72)</f>
        <v>54.72</v>
      </c>
      <c r="C1172" s="1">
        <f ca="1">IFERROR(__xludf.DUMMYFUNCTION("""COMPUTED_VALUE"""),55.18)</f>
        <v>55.18</v>
      </c>
      <c r="D1172" s="1">
        <f ca="1">IFERROR(__xludf.DUMMYFUNCTION("""COMPUTED_VALUE"""),52.33)</f>
        <v>52.33</v>
      </c>
      <c r="E1172" s="1">
        <f ca="1">IFERROR(__xludf.DUMMYFUNCTION("""COMPUTED_VALUE"""),54.68)</f>
        <v>54.68</v>
      </c>
      <c r="F1172" s="1">
        <f ca="1">IFERROR(__xludf.DUMMYFUNCTION("""COMPUTED_VALUE"""),11549530)</f>
        <v>11549530</v>
      </c>
      <c r="G1172" s="5">
        <f t="shared" ca="1" si="54"/>
        <v>-1.7556693489392847E-2</v>
      </c>
      <c r="H1172" s="14">
        <f t="shared" si="55"/>
        <v>2020</v>
      </c>
      <c r="I1172" s="5">
        <f t="shared" ca="1" si="56"/>
        <v>-7.3099415204676808E-4</v>
      </c>
      <c r="J1172" s="16"/>
    </row>
    <row r="1173" spans="1:10" x14ac:dyDescent="0.2">
      <c r="A1173" s="3">
        <v>43979</v>
      </c>
      <c r="B1173" s="1">
        <f ca="1">IFERROR(__xludf.DUMMYFUNCTION("""COMPUTED_VALUE"""),54.23)</f>
        <v>54.23</v>
      </c>
      <c r="C1173" s="1">
        <f ca="1">IFERROR(__xludf.DUMMYFUNCTION("""COMPUTED_VALUE"""),54.98)</f>
        <v>54.98</v>
      </c>
      <c r="D1173" s="1">
        <f ca="1">IFERROR(__xludf.DUMMYFUNCTION("""COMPUTED_VALUE"""),53.45)</f>
        <v>53.45</v>
      </c>
      <c r="E1173" s="1">
        <f ca="1">IFERROR(__xludf.DUMMYFUNCTION("""COMPUTED_VALUE"""),53.72)</f>
        <v>53.72</v>
      </c>
      <c r="F1173" s="1">
        <f ca="1">IFERROR(__xludf.DUMMYFUNCTION("""COMPUTED_VALUE"""),7275774)</f>
        <v>7275774</v>
      </c>
      <c r="G1173" s="5">
        <f t="shared" ca="1" si="54"/>
        <v>3.6299329858525742E-2</v>
      </c>
      <c r="H1173" s="14">
        <f t="shared" si="55"/>
        <v>2020</v>
      </c>
      <c r="I1173" s="5">
        <f t="shared" ca="1" si="56"/>
        <v>-9.4043887147335064E-3</v>
      </c>
      <c r="J1173" s="16"/>
    </row>
    <row r="1174" spans="1:10" x14ac:dyDescent="0.2">
      <c r="A1174" s="3">
        <v>43980</v>
      </c>
      <c r="B1174" s="1">
        <f ca="1">IFERROR(__xludf.DUMMYFUNCTION("""COMPUTED_VALUE"""),53.92)</f>
        <v>53.92</v>
      </c>
      <c r="C1174" s="1">
        <f ca="1">IFERROR(__xludf.DUMMYFUNCTION("""COMPUTED_VALUE"""),55.67)</f>
        <v>55.67</v>
      </c>
      <c r="D1174" s="1">
        <f ca="1">IFERROR(__xludf.DUMMYFUNCTION("""COMPUTED_VALUE"""),53.61)</f>
        <v>53.61</v>
      </c>
      <c r="E1174" s="1">
        <f ca="1">IFERROR(__xludf.DUMMYFUNCTION("""COMPUTED_VALUE"""),55.67)</f>
        <v>55.67</v>
      </c>
      <c r="F1174" s="1">
        <f ca="1">IFERROR(__xludf.DUMMYFUNCTION("""COMPUTED_VALUE"""),11812489)</f>
        <v>11812489</v>
      </c>
      <c r="G1174" s="5">
        <f t="shared" ca="1" si="54"/>
        <v>7.5444584156637254E-2</v>
      </c>
      <c r="H1174" s="14">
        <f t="shared" si="55"/>
        <v>2020</v>
      </c>
      <c r="I1174" s="5">
        <f t="shared" ca="1" si="56"/>
        <v>3.245548961424332E-2</v>
      </c>
      <c r="J1174" s="16"/>
    </row>
    <row r="1175" spans="1:10" x14ac:dyDescent="0.2">
      <c r="A1175" s="3">
        <v>43983</v>
      </c>
      <c r="B1175" s="1">
        <f ca="1">IFERROR(__xludf.DUMMYFUNCTION("""COMPUTED_VALUE"""),57.2)</f>
        <v>57.2</v>
      </c>
      <c r="C1175" s="1">
        <f ca="1">IFERROR(__xludf.DUMMYFUNCTION("""COMPUTED_VALUE"""),59.93)</f>
        <v>59.93</v>
      </c>
      <c r="D1175" s="1">
        <f ca="1">IFERROR(__xludf.DUMMYFUNCTION("""COMPUTED_VALUE"""),56.94)</f>
        <v>56.94</v>
      </c>
      <c r="E1175" s="1">
        <f ca="1">IFERROR(__xludf.DUMMYFUNCTION("""COMPUTED_VALUE"""),59.87)</f>
        <v>59.87</v>
      </c>
      <c r="F1175" s="1">
        <f ca="1">IFERROR(__xludf.DUMMYFUNCTION("""COMPUTED_VALUE"""),15085297)</f>
        <v>15085297</v>
      </c>
      <c r="G1175" s="5">
        <f t="shared" ca="1" si="54"/>
        <v>-1.8373141807248944E-2</v>
      </c>
      <c r="H1175" s="14">
        <f t="shared" si="55"/>
        <v>2020</v>
      </c>
      <c r="I1175" s="5">
        <f t="shared" ca="1" si="56"/>
        <v>4.6678321678321581E-2</v>
      </c>
      <c r="J1175" s="16"/>
    </row>
    <row r="1176" spans="1:10" x14ac:dyDescent="0.2">
      <c r="A1176" s="3">
        <v>43984</v>
      </c>
      <c r="B1176" s="1">
        <f ca="1">IFERROR(__xludf.DUMMYFUNCTION("""COMPUTED_VALUE"""),59.65)</f>
        <v>59.65</v>
      </c>
      <c r="C1176" s="1">
        <f ca="1">IFERROR(__xludf.DUMMYFUNCTION("""COMPUTED_VALUE"""),60.58)</f>
        <v>60.58</v>
      </c>
      <c r="D1176" s="1">
        <f ca="1">IFERROR(__xludf.DUMMYFUNCTION("""COMPUTED_VALUE"""),58.07)</f>
        <v>58.07</v>
      </c>
      <c r="E1176" s="1">
        <f ca="1">IFERROR(__xludf.DUMMYFUNCTION("""COMPUTED_VALUE"""),58.77)</f>
        <v>58.77</v>
      </c>
      <c r="F1176" s="1">
        <f ca="1">IFERROR(__xludf.DUMMYFUNCTION("""COMPUTED_VALUE"""),13565596)</f>
        <v>13565596</v>
      </c>
      <c r="G1176" s="5">
        <f t="shared" ca="1" si="54"/>
        <v>1.5313935681469507E-3</v>
      </c>
      <c r="H1176" s="14">
        <f t="shared" si="55"/>
        <v>2020</v>
      </c>
      <c r="I1176" s="5">
        <f t="shared" ca="1" si="56"/>
        <v>-1.4752724224643679E-2</v>
      </c>
      <c r="J1176" s="16"/>
    </row>
    <row r="1177" spans="1:10" x14ac:dyDescent="0.2">
      <c r="A1177" s="3">
        <v>43985</v>
      </c>
      <c r="B1177" s="1">
        <f ca="1">IFERROR(__xludf.DUMMYFUNCTION("""COMPUTED_VALUE"""),59.21)</f>
        <v>59.21</v>
      </c>
      <c r="C1177" s="1">
        <f ca="1">IFERROR(__xludf.DUMMYFUNCTION("""COMPUTED_VALUE"""),59.86)</f>
        <v>59.86</v>
      </c>
      <c r="D1177" s="1">
        <f ca="1">IFERROR(__xludf.DUMMYFUNCTION("""COMPUTED_VALUE"""),58.67)</f>
        <v>58.67</v>
      </c>
      <c r="E1177" s="1">
        <f ca="1">IFERROR(__xludf.DUMMYFUNCTION("""COMPUTED_VALUE"""),58.86)</f>
        <v>58.86</v>
      </c>
      <c r="F1177" s="1">
        <f ca="1">IFERROR(__xludf.DUMMYFUNCTION("""COMPUTED_VALUE"""),7949469)</f>
        <v>7949469</v>
      </c>
      <c r="G1177" s="5">
        <f t="shared" ca="1" si="54"/>
        <v>-2.0897043832823595E-2</v>
      </c>
      <c r="H1177" s="14">
        <f t="shared" si="55"/>
        <v>2020</v>
      </c>
      <c r="I1177" s="5">
        <f t="shared" ca="1" si="56"/>
        <v>-5.9111636547880663E-3</v>
      </c>
      <c r="J1177" s="16"/>
    </row>
    <row r="1178" spans="1:10" x14ac:dyDescent="0.2">
      <c r="A1178" s="3">
        <v>43986</v>
      </c>
      <c r="B1178" s="1">
        <f ca="1">IFERROR(__xludf.DUMMYFUNCTION("""COMPUTED_VALUE"""),59.33)</f>
        <v>59.33</v>
      </c>
      <c r="C1178" s="1">
        <f ca="1">IFERROR(__xludf.DUMMYFUNCTION("""COMPUTED_VALUE"""),59.72)</f>
        <v>59.72</v>
      </c>
      <c r="D1178" s="1">
        <f ca="1">IFERROR(__xludf.DUMMYFUNCTION("""COMPUTED_VALUE"""),57.23)</f>
        <v>57.23</v>
      </c>
      <c r="E1178" s="1">
        <f ca="1">IFERROR(__xludf.DUMMYFUNCTION("""COMPUTED_VALUE"""),57.63)</f>
        <v>57.63</v>
      </c>
      <c r="F1178" s="1">
        <f ca="1">IFERROR(__xludf.DUMMYFUNCTION("""COMPUTED_VALUE"""),8887713)</f>
        <v>8887713</v>
      </c>
      <c r="G1178" s="5">
        <f t="shared" ca="1" si="54"/>
        <v>2.4466423737636588E-2</v>
      </c>
      <c r="H1178" s="14">
        <f t="shared" si="55"/>
        <v>2020</v>
      </c>
      <c r="I1178" s="5">
        <f t="shared" ca="1" si="56"/>
        <v>-2.8653295128939757E-2</v>
      </c>
      <c r="J1178" s="16"/>
    </row>
    <row r="1179" spans="1:10" x14ac:dyDescent="0.2">
      <c r="A1179" s="3">
        <v>43987</v>
      </c>
      <c r="B1179" s="1">
        <f ca="1">IFERROR(__xludf.DUMMYFUNCTION("""COMPUTED_VALUE"""),58.52)</f>
        <v>58.52</v>
      </c>
      <c r="C1179" s="1">
        <f ca="1">IFERROR(__xludf.DUMMYFUNCTION("""COMPUTED_VALUE"""),59.1)</f>
        <v>59.1</v>
      </c>
      <c r="D1179" s="1">
        <f ca="1">IFERROR(__xludf.DUMMYFUNCTION("""COMPUTED_VALUE"""),57.75)</f>
        <v>57.75</v>
      </c>
      <c r="E1179" s="1">
        <f ca="1">IFERROR(__xludf.DUMMYFUNCTION("""COMPUTED_VALUE"""),59.04)</f>
        <v>59.04</v>
      </c>
      <c r="F1179" s="1">
        <f ca="1">IFERROR(__xludf.DUMMYFUNCTION("""COMPUTED_VALUE"""),7811917)</f>
        <v>7811917</v>
      </c>
      <c r="G1179" s="5">
        <f t="shared" ca="1" si="54"/>
        <v>7.2662601626016246E-2</v>
      </c>
      <c r="H1179" s="14">
        <f t="shared" si="55"/>
        <v>2020</v>
      </c>
      <c r="I1179" s="5">
        <f t="shared" ca="1" si="56"/>
        <v>8.8858509911140804E-3</v>
      </c>
      <c r="J1179" s="16"/>
    </row>
    <row r="1180" spans="1:10" x14ac:dyDescent="0.2">
      <c r="A1180" s="3">
        <v>43990</v>
      </c>
      <c r="B1180" s="1">
        <f ca="1">IFERROR(__xludf.DUMMYFUNCTION("""COMPUTED_VALUE"""),61.27)</f>
        <v>61.27</v>
      </c>
      <c r="C1180" s="1">
        <f ca="1">IFERROR(__xludf.DUMMYFUNCTION("""COMPUTED_VALUE"""),63.33)</f>
        <v>63.33</v>
      </c>
      <c r="D1180" s="1">
        <f ca="1">IFERROR(__xludf.DUMMYFUNCTION("""COMPUTED_VALUE"""),60.61)</f>
        <v>60.61</v>
      </c>
      <c r="E1180" s="1">
        <f ca="1">IFERROR(__xludf.DUMMYFUNCTION("""COMPUTED_VALUE"""),63.33)</f>
        <v>63.33</v>
      </c>
      <c r="F1180" s="1">
        <f ca="1">IFERROR(__xludf.DUMMYFUNCTION("""COMPUTED_VALUE"""),14174727)</f>
        <v>14174727</v>
      </c>
      <c r="G1180" s="5">
        <f t="shared" ca="1" si="54"/>
        <v>-9.7899889467866329E-3</v>
      </c>
      <c r="H1180" s="14">
        <f t="shared" si="55"/>
        <v>2020</v>
      </c>
      <c r="I1180" s="5">
        <f t="shared" ca="1" si="56"/>
        <v>3.3621674555247186E-2</v>
      </c>
      <c r="J1180" s="16"/>
    </row>
    <row r="1181" spans="1:10" x14ac:dyDescent="0.2">
      <c r="A1181" s="3">
        <v>43991</v>
      </c>
      <c r="B1181" s="1">
        <f ca="1">IFERROR(__xludf.DUMMYFUNCTION("""COMPUTED_VALUE"""),62.67)</f>
        <v>62.67</v>
      </c>
      <c r="C1181" s="1">
        <f ca="1">IFERROR(__xludf.DUMMYFUNCTION("""COMPUTED_VALUE"""),63.63)</f>
        <v>63.63</v>
      </c>
      <c r="D1181" s="1">
        <f ca="1">IFERROR(__xludf.DUMMYFUNCTION("""COMPUTED_VALUE"""),61.6)</f>
        <v>61.6</v>
      </c>
      <c r="E1181" s="1">
        <f ca="1">IFERROR(__xludf.DUMMYFUNCTION("""COMPUTED_VALUE"""),62.71)</f>
        <v>62.71</v>
      </c>
      <c r="F1181" s="1">
        <f ca="1">IFERROR(__xludf.DUMMYFUNCTION("""COMPUTED_VALUE"""),11388154)</f>
        <v>11388154</v>
      </c>
      <c r="G1181" s="5">
        <f t="shared" ca="1" si="54"/>
        <v>8.9778344761601056E-2</v>
      </c>
      <c r="H1181" s="14">
        <f t="shared" si="55"/>
        <v>2020</v>
      </c>
      <c r="I1181" s="5">
        <f t="shared" ca="1" si="56"/>
        <v>6.3826392213178784E-4</v>
      </c>
      <c r="J1181" s="16"/>
    </row>
    <row r="1182" spans="1:10" x14ac:dyDescent="0.2">
      <c r="A1182" s="3">
        <v>43992</v>
      </c>
      <c r="B1182" s="1">
        <f ca="1">IFERROR(__xludf.DUMMYFUNCTION("""COMPUTED_VALUE"""),66.13)</f>
        <v>66.13</v>
      </c>
      <c r="C1182" s="1">
        <f ca="1">IFERROR(__xludf.DUMMYFUNCTION("""COMPUTED_VALUE"""),68.5)</f>
        <v>68.5</v>
      </c>
      <c r="D1182" s="1">
        <f ca="1">IFERROR(__xludf.DUMMYFUNCTION("""COMPUTED_VALUE"""),65.5)</f>
        <v>65.5</v>
      </c>
      <c r="E1182" s="1">
        <f ca="1">IFERROR(__xludf.DUMMYFUNCTION("""COMPUTED_VALUE"""),68.34)</f>
        <v>68.34</v>
      </c>
      <c r="F1182" s="1">
        <f ca="1">IFERROR(__xludf.DUMMYFUNCTION("""COMPUTED_VALUE"""),18563413)</f>
        <v>18563413</v>
      </c>
      <c r="G1182" s="5">
        <f t="shared" ca="1" si="54"/>
        <v>-5.0921861281826221E-2</v>
      </c>
      <c r="H1182" s="14">
        <f t="shared" si="55"/>
        <v>2020</v>
      </c>
      <c r="I1182" s="5">
        <f t="shared" ca="1" si="56"/>
        <v>3.3419023136246909E-2</v>
      </c>
      <c r="J1182" s="16"/>
    </row>
    <row r="1183" spans="1:10" x14ac:dyDescent="0.2">
      <c r="A1183" s="3">
        <v>43993</v>
      </c>
      <c r="B1183" s="1">
        <f ca="1">IFERROR(__xludf.DUMMYFUNCTION("""COMPUTED_VALUE"""),66.01)</f>
        <v>66.010000000000005</v>
      </c>
      <c r="C1183" s="1">
        <f ca="1">IFERROR(__xludf.DUMMYFUNCTION("""COMPUTED_VALUE"""),67.93)</f>
        <v>67.930000000000007</v>
      </c>
      <c r="D1183" s="1">
        <f ca="1">IFERROR(__xludf.DUMMYFUNCTION("""COMPUTED_VALUE"""),64.8)</f>
        <v>64.8</v>
      </c>
      <c r="E1183" s="1">
        <f ca="1">IFERROR(__xludf.DUMMYFUNCTION("""COMPUTED_VALUE"""),64.86)</f>
        <v>64.86</v>
      </c>
      <c r="F1183" s="1">
        <f ca="1">IFERROR(__xludf.DUMMYFUNCTION("""COMPUTED_VALUE"""),15916482)</f>
        <v>15916482</v>
      </c>
      <c r="G1183" s="5">
        <f t="shared" ca="1" si="54"/>
        <v>-3.8698735738513693E-2</v>
      </c>
      <c r="H1183" s="14">
        <f t="shared" si="55"/>
        <v>2020</v>
      </c>
      <c r="I1183" s="5">
        <f t="shared" ca="1" si="56"/>
        <v>-1.7421602787456532E-2</v>
      </c>
      <c r="J1183" s="16"/>
    </row>
    <row r="1184" spans="1:10" x14ac:dyDescent="0.2">
      <c r="A1184" s="3">
        <v>43994</v>
      </c>
      <c r="B1184" s="1">
        <f ca="1">IFERROR(__xludf.DUMMYFUNCTION("""COMPUTED_VALUE"""),65.33)</f>
        <v>65.33</v>
      </c>
      <c r="C1184" s="1">
        <f ca="1">IFERROR(__xludf.DUMMYFUNCTION("""COMPUTED_VALUE"""),65.87)</f>
        <v>65.87</v>
      </c>
      <c r="D1184" s="1">
        <f ca="1">IFERROR(__xludf.DUMMYFUNCTION("""COMPUTED_VALUE"""),60.84)</f>
        <v>60.84</v>
      </c>
      <c r="E1184" s="1">
        <f ca="1">IFERROR(__xludf.DUMMYFUNCTION("""COMPUTED_VALUE"""),62.35)</f>
        <v>62.35</v>
      </c>
      <c r="F1184" s="1">
        <f ca="1">IFERROR(__xludf.DUMMYFUNCTION("""COMPUTED_VALUE"""),16763374)</f>
        <v>16763374</v>
      </c>
      <c r="G1184" s="5">
        <f t="shared" ca="1" si="54"/>
        <v>5.9502806736166813E-2</v>
      </c>
      <c r="H1184" s="14">
        <f t="shared" si="55"/>
        <v>2020</v>
      </c>
      <c r="I1184" s="5">
        <f t="shared" ca="1" si="56"/>
        <v>-4.5614572172049547E-2</v>
      </c>
      <c r="J1184" s="16"/>
    </row>
    <row r="1185" spans="1:10" x14ac:dyDescent="0.2">
      <c r="A1185" s="3">
        <v>43997</v>
      </c>
      <c r="B1185" s="1">
        <f ca="1">IFERROR(__xludf.DUMMYFUNCTION("""COMPUTED_VALUE"""),61.19)</f>
        <v>61.19</v>
      </c>
      <c r="C1185" s="1">
        <f ca="1">IFERROR(__xludf.DUMMYFUNCTION("""COMPUTED_VALUE"""),66.59)</f>
        <v>66.59</v>
      </c>
      <c r="D1185" s="1">
        <f ca="1">IFERROR(__xludf.DUMMYFUNCTION("""COMPUTED_VALUE"""),60.57)</f>
        <v>60.57</v>
      </c>
      <c r="E1185" s="1">
        <f ca="1">IFERROR(__xludf.DUMMYFUNCTION("""COMPUTED_VALUE"""),66.06)</f>
        <v>66.06</v>
      </c>
      <c r="F1185" s="1">
        <f ca="1">IFERROR(__xludf.DUMMYFUNCTION("""COMPUTED_VALUE"""),15697178)</f>
        <v>15697178</v>
      </c>
      <c r="G1185" s="5">
        <f t="shared" ca="1" si="54"/>
        <v>-8.779897063275784E-3</v>
      </c>
      <c r="H1185" s="14">
        <f t="shared" si="55"/>
        <v>2020</v>
      </c>
      <c r="I1185" s="5">
        <f t="shared" ca="1" si="56"/>
        <v>7.9588168001307483E-2</v>
      </c>
      <c r="J1185" s="16"/>
    </row>
    <row r="1186" spans="1:10" x14ac:dyDescent="0.2">
      <c r="A1186" s="3">
        <v>43998</v>
      </c>
      <c r="B1186" s="1">
        <f ca="1">IFERROR(__xludf.DUMMYFUNCTION("""COMPUTED_VALUE"""),67.46)</f>
        <v>67.459999999999994</v>
      </c>
      <c r="C1186" s="1">
        <f ca="1">IFERROR(__xludf.DUMMYFUNCTION("""COMPUTED_VALUE"""),67.53)</f>
        <v>67.53</v>
      </c>
      <c r="D1186" s="1">
        <f ca="1">IFERROR(__xludf.DUMMYFUNCTION("""COMPUTED_VALUE"""),64.16)</f>
        <v>64.16</v>
      </c>
      <c r="E1186" s="1">
        <f ca="1">IFERROR(__xludf.DUMMYFUNCTION("""COMPUTED_VALUE"""),65.48)</f>
        <v>65.48</v>
      </c>
      <c r="F1186" s="1">
        <f ca="1">IFERROR(__xludf.DUMMYFUNCTION("""COMPUTED_VALUE"""),14051078)</f>
        <v>14051078</v>
      </c>
      <c r="G1186" s="5">
        <f t="shared" ca="1" si="54"/>
        <v>9.7739767868051386E-3</v>
      </c>
      <c r="H1186" s="14">
        <f t="shared" si="55"/>
        <v>2020</v>
      </c>
      <c r="I1186" s="5">
        <f t="shared" ca="1" si="56"/>
        <v>-2.9350726356359175E-2</v>
      </c>
      <c r="J1186" s="16"/>
    </row>
    <row r="1187" spans="1:10" x14ac:dyDescent="0.2">
      <c r="A1187" s="3">
        <v>43999</v>
      </c>
      <c r="B1187" s="1">
        <f ca="1">IFERROR(__xludf.DUMMYFUNCTION("""COMPUTED_VALUE"""),65.85)</f>
        <v>65.849999999999994</v>
      </c>
      <c r="C1187" s="1">
        <f ca="1">IFERROR(__xludf.DUMMYFUNCTION("""COMPUTED_VALUE"""),67)</f>
        <v>67</v>
      </c>
      <c r="D1187" s="1">
        <f ca="1">IFERROR(__xludf.DUMMYFUNCTION("""COMPUTED_VALUE"""),65.5)</f>
        <v>65.5</v>
      </c>
      <c r="E1187" s="1">
        <f ca="1">IFERROR(__xludf.DUMMYFUNCTION("""COMPUTED_VALUE"""),66.12)</f>
        <v>66.12</v>
      </c>
      <c r="F1187" s="1">
        <f ca="1">IFERROR(__xludf.DUMMYFUNCTION("""COMPUTED_VALUE"""),9890800)</f>
        <v>9890800</v>
      </c>
      <c r="G1187" s="5">
        <f t="shared" ca="1" si="54"/>
        <v>1.22504537205082E-2</v>
      </c>
      <c r="H1187" s="14">
        <f t="shared" si="55"/>
        <v>2020</v>
      </c>
      <c r="I1187" s="5">
        <f t="shared" ca="1" si="56"/>
        <v>4.1002277904329575E-3</v>
      </c>
      <c r="J1187" s="16"/>
    </row>
    <row r="1188" spans="1:10" x14ac:dyDescent="0.2">
      <c r="A1188" s="3">
        <v>44000</v>
      </c>
      <c r="B1188" s="1">
        <f ca="1">IFERROR(__xludf.DUMMYFUNCTION("""COMPUTED_VALUE"""),66.87)</f>
        <v>66.87</v>
      </c>
      <c r="C1188" s="1">
        <f ca="1">IFERROR(__xludf.DUMMYFUNCTION("""COMPUTED_VALUE"""),67.95)</f>
        <v>67.95</v>
      </c>
      <c r="D1188" s="1">
        <f ca="1">IFERROR(__xludf.DUMMYFUNCTION("""COMPUTED_VALUE"""),66.3)</f>
        <v>66.3</v>
      </c>
      <c r="E1188" s="1">
        <f ca="1">IFERROR(__xludf.DUMMYFUNCTION("""COMPUTED_VALUE"""),66.93)</f>
        <v>66.930000000000007</v>
      </c>
      <c r="F1188" s="1">
        <f ca="1">IFERROR(__xludf.DUMMYFUNCTION("""COMPUTED_VALUE"""),9751936)</f>
        <v>9751936</v>
      </c>
      <c r="G1188" s="5">
        <f t="shared" ca="1" si="54"/>
        <v>-2.9881966233378577E-3</v>
      </c>
      <c r="H1188" s="14">
        <f t="shared" si="55"/>
        <v>2020</v>
      </c>
      <c r="I1188" s="5">
        <f t="shared" ca="1" si="56"/>
        <v>8.9726334679231744E-4</v>
      </c>
      <c r="J1188" s="16"/>
    </row>
    <row r="1189" spans="1:10" x14ac:dyDescent="0.2">
      <c r="A1189" s="3">
        <v>44001</v>
      </c>
      <c r="B1189" s="1">
        <f ca="1">IFERROR(__xludf.DUMMYFUNCTION("""COMPUTED_VALUE"""),67.52)</f>
        <v>67.52</v>
      </c>
      <c r="C1189" s="1">
        <f ca="1">IFERROR(__xludf.DUMMYFUNCTION("""COMPUTED_VALUE"""),67.73)</f>
        <v>67.73</v>
      </c>
      <c r="D1189" s="1">
        <f ca="1">IFERROR(__xludf.DUMMYFUNCTION("""COMPUTED_VALUE"""),66.09)</f>
        <v>66.09</v>
      </c>
      <c r="E1189" s="1">
        <f ca="1">IFERROR(__xludf.DUMMYFUNCTION("""COMPUTED_VALUE"""),66.73)</f>
        <v>66.73</v>
      </c>
      <c r="F1189" s="1">
        <f ca="1">IFERROR(__xludf.DUMMYFUNCTION("""COMPUTED_VALUE"""),8679749)</f>
        <v>8679749</v>
      </c>
      <c r="G1189" s="5">
        <f t="shared" ca="1" si="54"/>
        <v>-6.5937359508466608E-3</v>
      </c>
      <c r="H1189" s="14">
        <f t="shared" si="55"/>
        <v>2020</v>
      </c>
      <c r="I1189" s="5">
        <f t="shared" ca="1" si="56"/>
        <v>-1.1700236966824528E-2</v>
      </c>
      <c r="J1189" s="16"/>
    </row>
    <row r="1190" spans="1:10" x14ac:dyDescent="0.2">
      <c r="A1190" s="3">
        <v>44004</v>
      </c>
      <c r="B1190" s="1">
        <f ca="1">IFERROR(__xludf.DUMMYFUNCTION("""COMPUTED_VALUE"""),66.66)</f>
        <v>66.66</v>
      </c>
      <c r="C1190" s="1">
        <f ca="1">IFERROR(__xludf.DUMMYFUNCTION("""COMPUTED_VALUE"""),67.26)</f>
        <v>67.260000000000005</v>
      </c>
      <c r="D1190" s="1">
        <f ca="1">IFERROR(__xludf.DUMMYFUNCTION("""COMPUTED_VALUE"""),66)</f>
        <v>66</v>
      </c>
      <c r="E1190" s="1">
        <f ca="1">IFERROR(__xludf.DUMMYFUNCTION("""COMPUTED_VALUE"""),66.29)</f>
        <v>66.290000000000006</v>
      </c>
      <c r="F1190" s="1">
        <f ca="1">IFERROR(__xludf.DUMMYFUNCTION("""COMPUTED_VALUE"""),6362350)</f>
        <v>6362350</v>
      </c>
      <c r="G1190" s="5">
        <f t="shared" ca="1" si="54"/>
        <v>7.5426157791522097E-3</v>
      </c>
      <c r="H1190" s="14">
        <f t="shared" si="55"/>
        <v>2020</v>
      </c>
      <c r="I1190" s="5">
        <f t="shared" ca="1" si="56"/>
        <v>-5.5505550555054062E-3</v>
      </c>
      <c r="J1190" s="16"/>
    </row>
    <row r="1191" spans="1:10" x14ac:dyDescent="0.2">
      <c r="A1191" s="3">
        <v>44005</v>
      </c>
      <c r="B1191" s="1">
        <f ca="1">IFERROR(__xludf.DUMMYFUNCTION("""COMPUTED_VALUE"""),66.59)</f>
        <v>66.59</v>
      </c>
      <c r="C1191" s="1">
        <f ca="1">IFERROR(__xludf.DUMMYFUNCTION("""COMPUTED_VALUE"""),67.47)</f>
        <v>67.47</v>
      </c>
      <c r="D1191" s="1">
        <f ca="1">IFERROR(__xludf.DUMMYFUNCTION("""COMPUTED_VALUE"""),66.27)</f>
        <v>66.27</v>
      </c>
      <c r="E1191" s="1">
        <f ca="1">IFERROR(__xludf.DUMMYFUNCTION("""COMPUTED_VALUE"""),66.79)</f>
        <v>66.790000000000006</v>
      </c>
      <c r="F1191" s="1">
        <f ca="1">IFERROR(__xludf.DUMMYFUNCTION("""COMPUTED_VALUE"""),6365271)</f>
        <v>6365271</v>
      </c>
      <c r="G1191" s="5">
        <f t="shared" ca="1" si="54"/>
        <v>-4.0874382392573794E-2</v>
      </c>
      <c r="H1191" s="14">
        <f t="shared" si="55"/>
        <v>2020</v>
      </c>
      <c r="I1191" s="5">
        <f t="shared" ca="1" si="56"/>
        <v>3.0034539720679206E-3</v>
      </c>
      <c r="J1191" s="16"/>
    </row>
    <row r="1192" spans="1:10" x14ac:dyDescent="0.2">
      <c r="A1192" s="3">
        <v>44006</v>
      </c>
      <c r="B1192" s="1">
        <f ca="1">IFERROR(__xludf.DUMMYFUNCTION("""COMPUTED_VALUE"""),66.27)</f>
        <v>66.27</v>
      </c>
      <c r="C1192" s="1">
        <f ca="1">IFERROR(__xludf.DUMMYFUNCTION("""COMPUTED_VALUE"""),66.73)</f>
        <v>66.73</v>
      </c>
      <c r="D1192" s="1">
        <f ca="1">IFERROR(__xludf.DUMMYFUNCTION("""COMPUTED_VALUE"""),63.54)</f>
        <v>63.54</v>
      </c>
      <c r="E1192" s="1">
        <f ca="1">IFERROR(__xludf.DUMMYFUNCTION("""COMPUTED_VALUE"""),64.06)</f>
        <v>64.06</v>
      </c>
      <c r="F1192" s="1">
        <f ca="1">IFERROR(__xludf.DUMMYFUNCTION("""COMPUTED_VALUE"""),10959593)</f>
        <v>10959593</v>
      </c>
      <c r="G1192" s="5">
        <f t="shared" ca="1" si="54"/>
        <v>2.6069310021854537E-2</v>
      </c>
      <c r="H1192" s="14">
        <f t="shared" si="55"/>
        <v>2020</v>
      </c>
      <c r="I1192" s="5">
        <f t="shared" ca="1" si="56"/>
        <v>-3.3348423117549326E-2</v>
      </c>
      <c r="J1192" s="16"/>
    </row>
    <row r="1193" spans="1:10" x14ac:dyDescent="0.2">
      <c r="A1193" s="3">
        <v>44007</v>
      </c>
      <c r="B1193" s="1">
        <f ca="1">IFERROR(__xludf.DUMMYFUNCTION("""COMPUTED_VALUE"""),63.62)</f>
        <v>63.62</v>
      </c>
      <c r="C1193" s="1">
        <f ca="1">IFERROR(__xludf.DUMMYFUNCTION("""COMPUTED_VALUE"""),65.73)</f>
        <v>65.73</v>
      </c>
      <c r="D1193" s="1">
        <f ca="1">IFERROR(__xludf.DUMMYFUNCTION("""COMPUTED_VALUE"""),62.48)</f>
        <v>62.48</v>
      </c>
      <c r="E1193" s="1">
        <f ca="1">IFERROR(__xludf.DUMMYFUNCTION("""COMPUTED_VALUE"""),65.73)</f>
        <v>65.73</v>
      </c>
      <c r="F1193" s="1">
        <f ca="1">IFERROR(__xludf.DUMMYFUNCTION("""COMPUTED_VALUE"""),9254549)</f>
        <v>9254549</v>
      </c>
      <c r="G1193" s="5">
        <f t="shared" ca="1" si="54"/>
        <v>-2.6624068157614589E-2</v>
      </c>
      <c r="H1193" s="14">
        <f t="shared" si="55"/>
        <v>2020</v>
      </c>
      <c r="I1193" s="5">
        <f t="shared" ca="1" si="56"/>
        <v>3.3165671172587341E-2</v>
      </c>
      <c r="J1193" s="16"/>
    </row>
    <row r="1194" spans="1:10" x14ac:dyDescent="0.2">
      <c r="A1194" s="3">
        <v>44008</v>
      </c>
      <c r="B1194" s="1">
        <f ca="1">IFERROR(__xludf.DUMMYFUNCTION("""COMPUTED_VALUE"""),66.32)</f>
        <v>66.319999999999993</v>
      </c>
      <c r="C1194" s="1">
        <f ca="1">IFERROR(__xludf.DUMMYFUNCTION("""COMPUTED_VALUE"""),66.33)</f>
        <v>66.33</v>
      </c>
      <c r="D1194" s="1">
        <f ca="1">IFERROR(__xludf.DUMMYFUNCTION("""COMPUTED_VALUE"""),63.66)</f>
        <v>63.66</v>
      </c>
      <c r="E1194" s="1">
        <f ca="1">IFERROR(__xludf.DUMMYFUNCTION("""COMPUTED_VALUE"""),63.98)</f>
        <v>63.98</v>
      </c>
      <c r="F1194" s="1">
        <f ca="1">IFERROR(__xludf.DUMMYFUNCTION("""COMPUTED_VALUE"""),8854908)</f>
        <v>8854908</v>
      </c>
      <c r="G1194" s="5">
        <f t="shared" ca="1" si="54"/>
        <v>5.1734917161613152E-2</v>
      </c>
      <c r="H1194" s="14">
        <f t="shared" si="55"/>
        <v>2020</v>
      </c>
      <c r="I1194" s="5">
        <f t="shared" ca="1" si="56"/>
        <v>-3.5283474065138667E-2</v>
      </c>
      <c r="J1194" s="16"/>
    </row>
    <row r="1195" spans="1:10" x14ac:dyDescent="0.2">
      <c r="A1195" s="3">
        <v>44011</v>
      </c>
      <c r="B1195" s="1">
        <f ca="1">IFERROR(__xludf.DUMMYFUNCTION("""COMPUTED_VALUE"""),64.6)</f>
        <v>64.599999999999994</v>
      </c>
      <c r="C1195" s="1">
        <f ca="1">IFERROR(__xludf.DUMMYFUNCTION("""COMPUTED_VALUE"""),67.33)</f>
        <v>67.33</v>
      </c>
      <c r="D1195" s="1">
        <f ca="1">IFERROR(__xludf.DUMMYFUNCTION("""COMPUTED_VALUE"""),63.23)</f>
        <v>63.23</v>
      </c>
      <c r="E1195" s="1">
        <f ca="1">IFERROR(__xludf.DUMMYFUNCTION("""COMPUTED_VALUE"""),67.29)</f>
        <v>67.290000000000006</v>
      </c>
      <c r="F1195" s="1">
        <f ca="1">IFERROR(__xludf.DUMMYFUNCTION("""COMPUTED_VALUE"""),9026404)</f>
        <v>9026404</v>
      </c>
      <c r="G1195" s="5">
        <f t="shared" ca="1" si="54"/>
        <v>6.9846931193342079E-2</v>
      </c>
      <c r="H1195" s="14">
        <f t="shared" si="55"/>
        <v>2020</v>
      </c>
      <c r="I1195" s="5">
        <f t="shared" ca="1" si="56"/>
        <v>4.1640866873065202E-2</v>
      </c>
      <c r="J1195" s="16"/>
    </row>
    <row r="1196" spans="1:10" x14ac:dyDescent="0.2">
      <c r="A1196" s="3">
        <v>44012</v>
      </c>
      <c r="B1196" s="1">
        <f ca="1">IFERROR(__xludf.DUMMYFUNCTION("""COMPUTED_VALUE"""),67.1)</f>
        <v>67.099999999999994</v>
      </c>
      <c r="C1196" s="1">
        <f ca="1">IFERROR(__xludf.DUMMYFUNCTION("""COMPUTED_VALUE"""),72.51)</f>
        <v>72.510000000000005</v>
      </c>
      <c r="D1196" s="1">
        <f ca="1">IFERROR(__xludf.DUMMYFUNCTION("""COMPUTED_VALUE"""),66.92)</f>
        <v>66.92</v>
      </c>
      <c r="E1196" s="1">
        <f ca="1">IFERROR(__xludf.DUMMYFUNCTION("""COMPUTED_VALUE"""),71.99)</f>
        <v>71.989999999999995</v>
      </c>
      <c r="F1196" s="1">
        <f ca="1">IFERROR(__xludf.DUMMYFUNCTION("""COMPUTED_VALUE"""),16918501)</f>
        <v>16918501</v>
      </c>
      <c r="G1196" s="5">
        <f t="shared" ca="1" si="54"/>
        <v>3.6810668148354021E-2</v>
      </c>
      <c r="H1196" s="14">
        <f t="shared" si="55"/>
        <v>2020</v>
      </c>
      <c r="I1196" s="5">
        <f t="shared" ca="1" si="56"/>
        <v>7.2876304023845026E-2</v>
      </c>
      <c r="J1196" s="16"/>
    </row>
    <row r="1197" spans="1:10" x14ac:dyDescent="0.2">
      <c r="A1197" s="3">
        <v>44013</v>
      </c>
      <c r="B1197" s="1">
        <f ca="1">IFERROR(__xludf.DUMMYFUNCTION("""COMPUTED_VALUE"""),72.2)</f>
        <v>72.2</v>
      </c>
      <c r="C1197" s="1">
        <f ca="1">IFERROR(__xludf.DUMMYFUNCTION("""COMPUTED_VALUE"""),75.69)</f>
        <v>75.69</v>
      </c>
      <c r="D1197" s="1">
        <f ca="1">IFERROR(__xludf.DUMMYFUNCTION("""COMPUTED_VALUE"""),72.03)</f>
        <v>72.03</v>
      </c>
      <c r="E1197" s="1">
        <f ca="1">IFERROR(__xludf.DUMMYFUNCTION("""COMPUTED_VALUE"""),74.64)</f>
        <v>74.64</v>
      </c>
      <c r="F1197" s="1">
        <f ca="1">IFERROR(__xludf.DUMMYFUNCTION("""COMPUTED_VALUE"""),13326896)</f>
        <v>13326896</v>
      </c>
      <c r="G1197" s="5">
        <f t="shared" ca="1" si="54"/>
        <v>7.9581993569131801E-2</v>
      </c>
      <c r="H1197" s="14">
        <f t="shared" si="55"/>
        <v>2020</v>
      </c>
      <c r="I1197" s="5">
        <f t="shared" ca="1" si="56"/>
        <v>3.379501385041548E-2</v>
      </c>
      <c r="J1197" s="16"/>
    </row>
    <row r="1198" spans="1:10" x14ac:dyDescent="0.2">
      <c r="A1198" s="3">
        <v>44014</v>
      </c>
      <c r="B1198" s="1">
        <f ca="1">IFERROR(__xludf.DUMMYFUNCTION("""COMPUTED_VALUE"""),81.43)</f>
        <v>81.430000000000007</v>
      </c>
      <c r="C1198" s="1">
        <f ca="1">IFERROR(__xludf.DUMMYFUNCTION("""COMPUTED_VALUE"""),81.87)</f>
        <v>81.87</v>
      </c>
      <c r="D1198" s="1">
        <f ca="1">IFERROR(__xludf.DUMMYFUNCTION("""COMPUTED_VALUE"""),79.04)</f>
        <v>79.040000000000006</v>
      </c>
      <c r="E1198" s="1">
        <f ca="1">IFERROR(__xludf.DUMMYFUNCTION("""COMPUTED_VALUE"""),80.58)</f>
        <v>80.58</v>
      </c>
      <c r="F1198" s="1">
        <f ca="1">IFERROR(__xludf.DUMMYFUNCTION("""COMPUTED_VALUE"""),17250115)</f>
        <v>17250115</v>
      </c>
      <c r="G1198" s="5">
        <f t="shared" ca="1" si="54"/>
        <v>0.1347728965003723</v>
      </c>
      <c r="H1198" s="14">
        <f t="shared" si="55"/>
        <v>2020</v>
      </c>
      <c r="I1198" s="5">
        <f t="shared" ca="1" si="56"/>
        <v>-1.0438413361169206E-2</v>
      </c>
      <c r="J1198" s="16"/>
    </row>
    <row r="1199" spans="1:10" x14ac:dyDescent="0.2">
      <c r="A1199" s="3">
        <v>44018</v>
      </c>
      <c r="B1199" s="1">
        <f ca="1">IFERROR(__xludf.DUMMYFUNCTION("""COMPUTED_VALUE"""),85.11)</f>
        <v>85.11</v>
      </c>
      <c r="C1199" s="1">
        <f ca="1">IFERROR(__xludf.DUMMYFUNCTION("""COMPUTED_VALUE"""),91.85)</f>
        <v>91.85</v>
      </c>
      <c r="D1199" s="1">
        <f ca="1">IFERROR(__xludf.DUMMYFUNCTION("""COMPUTED_VALUE"""),84.4)</f>
        <v>84.4</v>
      </c>
      <c r="E1199" s="1">
        <f ca="1">IFERROR(__xludf.DUMMYFUNCTION("""COMPUTED_VALUE"""),91.44)</f>
        <v>91.44</v>
      </c>
      <c r="F1199" s="1">
        <f ca="1">IFERROR(__xludf.DUMMYFUNCTION("""COMPUTED_VALUE"""),20569864)</f>
        <v>20569864</v>
      </c>
      <c r="G1199" s="5">
        <f t="shared" ca="1" si="54"/>
        <v>1.3342082239720023E-2</v>
      </c>
      <c r="H1199" s="14">
        <f t="shared" si="55"/>
        <v>2020</v>
      </c>
      <c r="I1199" s="5">
        <f t="shared" ca="1" si="56"/>
        <v>7.4374339090588631E-2</v>
      </c>
      <c r="J1199" s="16"/>
    </row>
    <row r="1200" spans="1:10" x14ac:dyDescent="0.2">
      <c r="A1200" s="3">
        <v>44019</v>
      </c>
      <c r="B1200" s="1">
        <f ca="1">IFERROR(__xludf.DUMMYFUNCTION("""COMPUTED_VALUE"""),93.67)</f>
        <v>93.67</v>
      </c>
      <c r="C1200" s="1">
        <f ca="1">IFERROR(__xludf.DUMMYFUNCTION("""COMPUTED_VALUE"""),95.3)</f>
        <v>95.3</v>
      </c>
      <c r="D1200" s="1">
        <f ca="1">IFERROR(__xludf.DUMMYFUNCTION("""COMPUTED_VALUE"""),89.11)</f>
        <v>89.11</v>
      </c>
      <c r="E1200" s="1">
        <f ca="1">IFERROR(__xludf.DUMMYFUNCTION("""COMPUTED_VALUE"""),92.66)</f>
        <v>92.66</v>
      </c>
      <c r="F1200" s="1">
        <f ca="1">IFERROR(__xludf.DUMMYFUNCTION("""COMPUTED_VALUE"""),21489661)</f>
        <v>21489661</v>
      </c>
      <c r="G1200" s="5">
        <f t="shared" ca="1" si="54"/>
        <v>-1.7267429311461194E-2</v>
      </c>
      <c r="H1200" s="14">
        <f t="shared" si="55"/>
        <v>2020</v>
      </c>
      <c r="I1200" s="5">
        <f t="shared" ca="1" si="56"/>
        <v>-1.0782534429379792E-2</v>
      </c>
      <c r="J1200" s="16"/>
    </row>
    <row r="1201" spans="1:10" x14ac:dyDescent="0.2">
      <c r="A1201" s="3">
        <v>44020</v>
      </c>
      <c r="B1201" s="1">
        <f ca="1">IFERROR(__xludf.DUMMYFUNCTION("""COMPUTED_VALUE"""),93.67)</f>
        <v>93.67</v>
      </c>
      <c r="C1201" s="1">
        <f ca="1">IFERROR(__xludf.DUMMYFUNCTION("""COMPUTED_VALUE"""),94.48)</f>
        <v>94.48</v>
      </c>
      <c r="D1201" s="1">
        <f ca="1">IFERROR(__xludf.DUMMYFUNCTION("""COMPUTED_VALUE"""),87.42)</f>
        <v>87.42</v>
      </c>
      <c r="E1201" s="1">
        <f ca="1">IFERROR(__xludf.DUMMYFUNCTION("""COMPUTED_VALUE"""),91.06)</f>
        <v>91.06</v>
      </c>
      <c r="F1201" s="1">
        <f ca="1">IFERROR(__xludf.DUMMYFUNCTION("""COMPUTED_VALUE"""),16311312)</f>
        <v>16311312</v>
      </c>
      <c r="G1201" s="5">
        <f t="shared" ca="1" si="54"/>
        <v>2.0755545793981995E-2</v>
      </c>
      <c r="H1201" s="14">
        <f t="shared" si="55"/>
        <v>2020</v>
      </c>
      <c r="I1201" s="5">
        <f t="shared" ca="1" si="56"/>
        <v>-2.7863777089783274E-2</v>
      </c>
      <c r="J1201" s="16"/>
    </row>
    <row r="1202" spans="1:10" x14ac:dyDescent="0.2">
      <c r="A1202" s="3">
        <v>44021</v>
      </c>
      <c r="B1202" s="1">
        <f ca="1">IFERROR(__xludf.DUMMYFUNCTION("""COMPUTED_VALUE"""),93.13)</f>
        <v>93.13</v>
      </c>
      <c r="C1202" s="1">
        <f ca="1">IFERROR(__xludf.DUMMYFUNCTION("""COMPUTED_VALUE"""),93.9)</f>
        <v>93.9</v>
      </c>
      <c r="D1202" s="1">
        <f ca="1">IFERROR(__xludf.DUMMYFUNCTION("""COMPUTED_VALUE"""),90.09)</f>
        <v>90.09</v>
      </c>
      <c r="E1202" s="1">
        <f ca="1">IFERROR(__xludf.DUMMYFUNCTION("""COMPUTED_VALUE"""),92.95)</f>
        <v>92.95</v>
      </c>
      <c r="F1202" s="1">
        <f ca="1">IFERROR(__xludf.DUMMYFUNCTION("""COMPUTED_VALUE"""),11717598)</f>
        <v>11717598</v>
      </c>
      <c r="G1202" s="5">
        <f t="shared" ca="1" si="54"/>
        <v>0.10790747713824637</v>
      </c>
      <c r="H1202" s="14">
        <f t="shared" si="55"/>
        <v>2020</v>
      </c>
      <c r="I1202" s="5">
        <f t="shared" ca="1" si="56"/>
        <v>-1.9327821325028736E-3</v>
      </c>
      <c r="J1202" s="16"/>
    </row>
    <row r="1203" spans="1:10" x14ac:dyDescent="0.2">
      <c r="A1203" s="3">
        <v>44022</v>
      </c>
      <c r="B1203" s="1">
        <f ca="1">IFERROR(__xludf.DUMMYFUNCTION("""COMPUTED_VALUE"""),93.07)</f>
        <v>93.07</v>
      </c>
      <c r="C1203" s="1">
        <f ca="1">IFERROR(__xludf.DUMMYFUNCTION("""COMPUTED_VALUE"""),103.26)</f>
        <v>103.26</v>
      </c>
      <c r="D1203" s="1">
        <f ca="1">IFERROR(__xludf.DUMMYFUNCTION("""COMPUTED_VALUE"""),91.73)</f>
        <v>91.73</v>
      </c>
      <c r="E1203" s="1">
        <f ca="1">IFERROR(__xludf.DUMMYFUNCTION("""COMPUTED_VALUE"""),102.98)</f>
        <v>102.98</v>
      </c>
      <c r="F1203" s="1">
        <f ca="1">IFERROR(__xludf.DUMMYFUNCTION("""COMPUTED_VALUE"""),23337553)</f>
        <v>23337553</v>
      </c>
      <c r="G1203" s="5">
        <f t="shared" ca="1" si="54"/>
        <v>-3.0879782482035413E-2</v>
      </c>
      <c r="H1203" s="14">
        <f t="shared" si="55"/>
        <v>2020</v>
      </c>
      <c r="I1203" s="5">
        <f t="shared" ca="1" si="56"/>
        <v>0.10647899430536167</v>
      </c>
      <c r="J1203" s="16"/>
    </row>
    <row r="1204" spans="1:10" x14ac:dyDescent="0.2">
      <c r="A1204" s="3">
        <v>44025</v>
      </c>
      <c r="B1204" s="1">
        <f ca="1">IFERROR(__xludf.DUMMYFUNCTION("""COMPUTED_VALUE"""),110.6)</f>
        <v>110.6</v>
      </c>
      <c r="C1204" s="1">
        <f ca="1">IFERROR(__xludf.DUMMYFUNCTION("""COMPUTED_VALUE"""),119.67)</f>
        <v>119.67</v>
      </c>
      <c r="D1204" s="1">
        <f ca="1">IFERROR(__xludf.DUMMYFUNCTION("""COMPUTED_VALUE"""),98.07)</f>
        <v>98.07</v>
      </c>
      <c r="E1204" s="1">
        <f ca="1">IFERROR(__xludf.DUMMYFUNCTION("""COMPUTED_VALUE"""),99.8)</f>
        <v>99.8</v>
      </c>
      <c r="F1204" s="1">
        <f ca="1">IFERROR(__xludf.DUMMYFUNCTION("""COMPUTED_VALUE"""),38985362)</f>
        <v>38985362</v>
      </c>
      <c r="G1204" s="5">
        <f t="shared" ca="1" si="54"/>
        <v>1.3226452905811698E-2</v>
      </c>
      <c r="H1204" s="14">
        <f t="shared" si="55"/>
        <v>2020</v>
      </c>
      <c r="I1204" s="5">
        <f t="shared" ca="1" si="56"/>
        <v>-9.7649186256781179E-2</v>
      </c>
      <c r="J1204" s="16"/>
    </row>
    <row r="1205" spans="1:10" x14ac:dyDescent="0.2">
      <c r="A1205" s="3">
        <v>44026</v>
      </c>
      <c r="B1205" s="1">
        <f ca="1">IFERROR(__xludf.DUMMYFUNCTION("""COMPUTED_VALUE"""),103.73)</f>
        <v>103.73</v>
      </c>
      <c r="C1205" s="1">
        <f ca="1">IFERROR(__xludf.DUMMYFUNCTION("""COMPUTED_VALUE"""),106)</f>
        <v>106</v>
      </c>
      <c r="D1205" s="1">
        <f ca="1">IFERROR(__xludf.DUMMYFUNCTION("""COMPUTED_VALUE"""),95.4)</f>
        <v>95.4</v>
      </c>
      <c r="E1205" s="1">
        <f ca="1">IFERROR(__xludf.DUMMYFUNCTION("""COMPUTED_VALUE"""),101.12)</f>
        <v>101.12</v>
      </c>
      <c r="F1205" s="1">
        <f ca="1">IFERROR(__xludf.DUMMYFUNCTION("""COMPUTED_VALUE"""),23418140)</f>
        <v>23418140</v>
      </c>
      <c r="G1205" s="5">
        <f t="shared" ca="1" si="54"/>
        <v>1.928401898734166E-2</v>
      </c>
      <c r="H1205" s="14">
        <f t="shared" si="55"/>
        <v>2020</v>
      </c>
      <c r="I1205" s="5">
        <f t="shared" ca="1" si="56"/>
        <v>-2.5161476911211792E-2</v>
      </c>
      <c r="J1205" s="16"/>
    </row>
    <row r="1206" spans="1:10" x14ac:dyDescent="0.2">
      <c r="A1206" s="3">
        <v>44027</v>
      </c>
      <c r="B1206" s="1">
        <f ca="1">IFERROR(__xludf.DUMMYFUNCTION("""COMPUTED_VALUE"""),102.87)</f>
        <v>102.87</v>
      </c>
      <c r="C1206" s="1">
        <f ca="1">IFERROR(__xludf.DUMMYFUNCTION("""COMPUTED_VALUE"""),103.33)</f>
        <v>103.33</v>
      </c>
      <c r="D1206" s="1">
        <f ca="1">IFERROR(__xludf.DUMMYFUNCTION("""COMPUTED_VALUE"""),97.13)</f>
        <v>97.13</v>
      </c>
      <c r="E1206" s="1">
        <f ca="1">IFERROR(__xludf.DUMMYFUNCTION("""COMPUTED_VALUE"""),103.07)</f>
        <v>103.07</v>
      </c>
      <c r="F1206" s="1">
        <f ca="1">IFERROR(__xludf.DUMMYFUNCTION("""COMPUTED_VALUE"""),16367829)</f>
        <v>16367829</v>
      </c>
      <c r="G1206" s="5">
        <f t="shared" ca="1" si="54"/>
        <v>-2.9397496846803019E-2</v>
      </c>
      <c r="H1206" s="14">
        <f t="shared" si="55"/>
        <v>2020</v>
      </c>
      <c r="I1206" s="5">
        <f t="shared" ca="1" si="56"/>
        <v>1.9442014192669254E-3</v>
      </c>
      <c r="J1206" s="16"/>
    </row>
    <row r="1207" spans="1:10" x14ac:dyDescent="0.2">
      <c r="A1207" s="3">
        <v>44028</v>
      </c>
      <c r="B1207" s="1">
        <f ca="1">IFERROR(__xludf.DUMMYFUNCTION("""COMPUTED_VALUE"""),98.48)</f>
        <v>98.48</v>
      </c>
      <c r="C1207" s="1">
        <f ca="1">IFERROR(__xludf.DUMMYFUNCTION("""COMPUTED_VALUE"""),102.11)</f>
        <v>102.11</v>
      </c>
      <c r="D1207" s="1">
        <f ca="1">IFERROR(__xludf.DUMMYFUNCTION("""COMPUTED_VALUE"""),97.73)</f>
        <v>97.73</v>
      </c>
      <c r="E1207" s="1">
        <f ca="1">IFERROR(__xludf.DUMMYFUNCTION("""COMPUTED_VALUE"""),100.04)</f>
        <v>100.04</v>
      </c>
      <c r="F1207" s="1">
        <f ca="1">IFERROR(__xludf.DUMMYFUNCTION("""COMPUTED_VALUE"""),14300785)</f>
        <v>14300785</v>
      </c>
      <c r="G1207" s="5">
        <f t="shared" ca="1" si="54"/>
        <v>1.9992003198716533E-4</v>
      </c>
      <c r="H1207" s="14">
        <f t="shared" si="55"/>
        <v>2020</v>
      </c>
      <c r="I1207" s="5">
        <f t="shared" ca="1" si="56"/>
        <v>1.584077985377744E-2</v>
      </c>
      <c r="J1207" s="16"/>
    </row>
    <row r="1208" spans="1:10" x14ac:dyDescent="0.2">
      <c r="A1208" s="3">
        <v>44029</v>
      </c>
      <c r="B1208" s="1">
        <f ca="1">IFERROR(__xludf.DUMMYFUNCTION("""COMPUTED_VALUE"""),100.9)</f>
        <v>100.9</v>
      </c>
      <c r="C1208" s="1">
        <f ca="1">IFERROR(__xludf.DUMMYFUNCTION("""COMPUTED_VALUE"""),102.5)</f>
        <v>102.5</v>
      </c>
      <c r="D1208" s="1">
        <f ca="1">IFERROR(__xludf.DUMMYFUNCTION("""COMPUTED_VALUE"""),99.33)</f>
        <v>99.33</v>
      </c>
      <c r="E1208" s="1">
        <f ca="1">IFERROR(__xludf.DUMMYFUNCTION("""COMPUTED_VALUE"""),100.06)</f>
        <v>100.06</v>
      </c>
      <c r="F1208" s="1">
        <f ca="1">IFERROR(__xludf.DUMMYFUNCTION("""COMPUTED_VALUE"""),9329972)</f>
        <v>9329972</v>
      </c>
      <c r="G1208" s="5">
        <f t="shared" ca="1" si="54"/>
        <v>9.4643214071557055E-2</v>
      </c>
      <c r="H1208" s="14">
        <f t="shared" si="55"/>
        <v>2020</v>
      </c>
      <c r="I1208" s="5">
        <f t="shared" ca="1" si="56"/>
        <v>-8.3250743310208462E-3</v>
      </c>
      <c r="J1208" s="16"/>
    </row>
    <row r="1209" spans="1:10" x14ac:dyDescent="0.2">
      <c r="A1209" s="3">
        <v>44032</v>
      </c>
      <c r="B1209" s="1">
        <f ca="1">IFERROR(__xludf.DUMMYFUNCTION("""COMPUTED_VALUE"""),101.27)</f>
        <v>101.27</v>
      </c>
      <c r="C1209" s="1">
        <f ca="1">IFERROR(__xludf.DUMMYFUNCTION("""COMPUTED_VALUE"""),110)</f>
        <v>110</v>
      </c>
      <c r="D1209" s="1">
        <f ca="1">IFERROR(__xludf.DUMMYFUNCTION("""COMPUTED_VALUE"""),99.2)</f>
        <v>99.2</v>
      </c>
      <c r="E1209" s="1">
        <f ca="1">IFERROR(__xludf.DUMMYFUNCTION("""COMPUTED_VALUE"""),109.53)</f>
        <v>109.53</v>
      </c>
      <c r="F1209" s="1">
        <f ca="1">IFERROR(__xludf.DUMMYFUNCTION("""COMPUTED_VALUE"""),17121367)</f>
        <v>17121367</v>
      </c>
      <c r="G1209" s="5">
        <f t="shared" ca="1" si="54"/>
        <v>-4.5375696156304199E-2</v>
      </c>
      <c r="H1209" s="14">
        <f t="shared" si="55"/>
        <v>2020</v>
      </c>
      <c r="I1209" s="5">
        <f t="shared" ca="1" si="56"/>
        <v>8.1564135479411534E-2</v>
      </c>
      <c r="J1209" s="16"/>
    </row>
    <row r="1210" spans="1:10" x14ac:dyDescent="0.2">
      <c r="A1210" s="3">
        <v>44033</v>
      </c>
      <c r="B1210" s="1">
        <f ca="1">IFERROR(__xludf.DUMMYFUNCTION("""COMPUTED_VALUE"""),109.33)</f>
        <v>109.33</v>
      </c>
      <c r="C1210" s="1">
        <f ca="1">IFERROR(__xludf.DUMMYFUNCTION("""COMPUTED_VALUE"""),111.67)</f>
        <v>111.67</v>
      </c>
      <c r="D1210" s="1">
        <f ca="1">IFERROR(__xludf.DUMMYFUNCTION("""COMPUTED_VALUE"""),103.87)</f>
        <v>103.87</v>
      </c>
      <c r="E1210" s="1">
        <f ca="1">IFERROR(__xludf.DUMMYFUNCTION("""COMPUTED_VALUE"""),104.56)</f>
        <v>104.56</v>
      </c>
      <c r="F1210" s="1">
        <f ca="1">IFERROR(__xludf.DUMMYFUNCTION("""COMPUTED_VALUE"""),16157280)</f>
        <v>16157280</v>
      </c>
      <c r="G1210" s="5">
        <f t="shared" ca="1" si="54"/>
        <v>1.5302218821729096E-2</v>
      </c>
      <c r="H1210" s="14">
        <f t="shared" si="55"/>
        <v>2020</v>
      </c>
      <c r="I1210" s="5">
        <f t="shared" ca="1" si="56"/>
        <v>-4.3629378944479977E-2</v>
      </c>
      <c r="J1210" s="16"/>
    </row>
    <row r="1211" spans="1:10" x14ac:dyDescent="0.2">
      <c r="A1211" s="3">
        <v>44034</v>
      </c>
      <c r="B1211" s="1">
        <f ca="1">IFERROR(__xludf.DUMMYFUNCTION("""COMPUTED_VALUE"""),106.6)</f>
        <v>106.6</v>
      </c>
      <c r="C1211" s="1">
        <f ca="1">IFERROR(__xludf.DUMMYFUNCTION("""COMPUTED_VALUE"""),108.43)</f>
        <v>108.43</v>
      </c>
      <c r="D1211" s="1">
        <f ca="1">IFERROR(__xludf.DUMMYFUNCTION("""COMPUTED_VALUE"""),104.13)</f>
        <v>104.13</v>
      </c>
      <c r="E1211" s="1">
        <f ca="1">IFERROR(__xludf.DUMMYFUNCTION("""COMPUTED_VALUE"""),106.16)</f>
        <v>106.16</v>
      </c>
      <c r="F1211" s="1">
        <f ca="1">IFERROR(__xludf.DUMMYFUNCTION("""COMPUTED_VALUE"""),14161080)</f>
        <v>14161080</v>
      </c>
      <c r="G1211" s="5">
        <f t="shared" ca="1" si="54"/>
        <v>-4.9830444611906485E-2</v>
      </c>
      <c r="H1211" s="14">
        <f t="shared" si="55"/>
        <v>2020</v>
      </c>
      <c r="I1211" s="5">
        <f t="shared" ca="1" si="56"/>
        <v>-4.1275797373358141E-3</v>
      </c>
      <c r="J1211" s="16"/>
    </row>
    <row r="1212" spans="1:10" x14ac:dyDescent="0.2">
      <c r="A1212" s="3">
        <v>44035</v>
      </c>
      <c r="B1212" s="1">
        <f ca="1">IFERROR(__xludf.DUMMYFUNCTION("""COMPUTED_VALUE"""),111.93)</f>
        <v>111.93</v>
      </c>
      <c r="C1212" s="1">
        <f ca="1">IFERROR(__xludf.DUMMYFUNCTION("""COMPUTED_VALUE"""),112.6)</f>
        <v>112.6</v>
      </c>
      <c r="D1212" s="1">
        <f ca="1">IFERROR(__xludf.DUMMYFUNCTION("""COMPUTED_VALUE"""),98.72)</f>
        <v>98.72</v>
      </c>
      <c r="E1212" s="1">
        <f ca="1">IFERROR(__xludf.DUMMYFUNCTION("""COMPUTED_VALUE"""),100.87)</f>
        <v>100.87</v>
      </c>
      <c r="F1212" s="1">
        <f ca="1">IFERROR(__xludf.DUMMYFUNCTION("""COMPUTED_VALUE"""),24328504)</f>
        <v>24328504</v>
      </c>
      <c r="G1212" s="5">
        <f t="shared" ca="1" si="54"/>
        <v>-6.3448002379300136E-2</v>
      </c>
      <c r="H1212" s="14">
        <f t="shared" si="55"/>
        <v>2020</v>
      </c>
      <c r="I1212" s="5">
        <f t="shared" ca="1" si="56"/>
        <v>-9.881175734834273E-2</v>
      </c>
      <c r="J1212" s="16"/>
    </row>
    <row r="1213" spans="1:10" x14ac:dyDescent="0.2">
      <c r="A1213" s="3">
        <v>44036</v>
      </c>
      <c r="B1213" s="1">
        <f ca="1">IFERROR(__xludf.DUMMYFUNCTION("""COMPUTED_VALUE"""),94.4)</f>
        <v>94.4</v>
      </c>
      <c r="C1213" s="1">
        <f ca="1">IFERROR(__xludf.DUMMYFUNCTION("""COMPUTED_VALUE"""),97.67)</f>
        <v>97.67</v>
      </c>
      <c r="D1213" s="1">
        <f ca="1">IFERROR(__xludf.DUMMYFUNCTION("""COMPUTED_VALUE"""),91.1)</f>
        <v>91.1</v>
      </c>
      <c r="E1213" s="1">
        <f ca="1">IFERROR(__xludf.DUMMYFUNCTION("""COMPUTED_VALUE"""),94.47)</f>
        <v>94.47</v>
      </c>
      <c r="F1213" s="1">
        <f ca="1">IFERROR(__xludf.DUMMYFUNCTION("""COMPUTED_VALUE"""),19396616)</f>
        <v>19396616</v>
      </c>
      <c r="G1213" s="5">
        <f t="shared" ca="1" si="54"/>
        <v>8.6482481210966466E-2</v>
      </c>
      <c r="H1213" s="14">
        <f t="shared" si="55"/>
        <v>2020</v>
      </c>
      <c r="I1213" s="5">
        <f t="shared" ca="1" si="56"/>
        <v>7.4152542372874126E-4</v>
      </c>
      <c r="J1213" s="16"/>
    </row>
    <row r="1214" spans="1:10" x14ac:dyDescent="0.2">
      <c r="A1214" s="3">
        <v>44039</v>
      </c>
      <c r="B1214" s="1">
        <f ca="1">IFERROR(__xludf.DUMMYFUNCTION("""COMPUTED_VALUE"""),95.67)</f>
        <v>95.67</v>
      </c>
      <c r="C1214" s="1">
        <f ca="1">IFERROR(__xludf.DUMMYFUNCTION("""COMPUTED_VALUE"""),103.2)</f>
        <v>103.2</v>
      </c>
      <c r="D1214" s="1">
        <f ca="1">IFERROR(__xludf.DUMMYFUNCTION("""COMPUTED_VALUE"""),94.2)</f>
        <v>94.2</v>
      </c>
      <c r="E1214" s="1">
        <f ca="1">IFERROR(__xludf.DUMMYFUNCTION("""COMPUTED_VALUE"""),102.64)</f>
        <v>102.64</v>
      </c>
      <c r="F1214" s="1">
        <f ca="1">IFERROR(__xludf.DUMMYFUNCTION("""COMPUTED_VALUE"""),16048669)</f>
        <v>16048669</v>
      </c>
      <c r="G1214" s="5">
        <f t="shared" ca="1" si="54"/>
        <v>-4.1017147310989807E-2</v>
      </c>
      <c r="H1214" s="14">
        <f t="shared" si="55"/>
        <v>2020</v>
      </c>
      <c r="I1214" s="5">
        <f t="shared" ca="1" si="56"/>
        <v>7.2854604369185727E-2</v>
      </c>
      <c r="J1214" s="16"/>
    </row>
    <row r="1215" spans="1:10" x14ac:dyDescent="0.2">
      <c r="A1215" s="3">
        <v>44040</v>
      </c>
      <c r="B1215" s="1">
        <f ca="1">IFERROR(__xludf.DUMMYFUNCTION("""COMPUTED_VALUE"""),100.27)</f>
        <v>100.27</v>
      </c>
      <c r="C1215" s="1">
        <f ca="1">IFERROR(__xludf.DUMMYFUNCTION("""COMPUTED_VALUE"""),104.31)</f>
        <v>104.31</v>
      </c>
      <c r="D1215" s="1">
        <f ca="1">IFERROR(__xludf.DUMMYFUNCTION("""COMPUTED_VALUE"""),98.29)</f>
        <v>98.29</v>
      </c>
      <c r="E1215" s="1">
        <f ca="1">IFERROR(__xludf.DUMMYFUNCTION("""COMPUTED_VALUE"""),98.43)</f>
        <v>98.43</v>
      </c>
      <c r="F1215" s="1">
        <f ca="1">IFERROR(__xludf.DUMMYFUNCTION("""COMPUTED_VALUE"""),15808700)</f>
        <v>15808700</v>
      </c>
      <c r="G1215" s="5">
        <f t="shared" ca="1" si="54"/>
        <v>1.5340851366453223E-2</v>
      </c>
      <c r="H1215" s="14">
        <f t="shared" si="55"/>
        <v>2020</v>
      </c>
      <c r="I1215" s="5">
        <f t="shared" ca="1" si="56"/>
        <v>-1.8350453774807911E-2</v>
      </c>
      <c r="J1215" s="16"/>
    </row>
    <row r="1216" spans="1:10" x14ac:dyDescent="0.2">
      <c r="A1216" s="3">
        <v>44041</v>
      </c>
      <c r="B1216" s="1">
        <f ca="1">IFERROR(__xludf.DUMMYFUNCTION("""COMPUTED_VALUE"""),100.07)</f>
        <v>100.07</v>
      </c>
      <c r="C1216" s="1">
        <f ca="1">IFERROR(__xludf.DUMMYFUNCTION("""COMPUTED_VALUE"""),102.32)</f>
        <v>102.32</v>
      </c>
      <c r="D1216" s="1">
        <f ca="1">IFERROR(__xludf.DUMMYFUNCTION("""COMPUTED_VALUE"""),99.13)</f>
        <v>99.13</v>
      </c>
      <c r="E1216" s="1">
        <f ca="1">IFERROR(__xludf.DUMMYFUNCTION("""COMPUTED_VALUE"""),99.94)</f>
        <v>99.94</v>
      </c>
      <c r="F1216" s="1">
        <f ca="1">IFERROR(__xludf.DUMMYFUNCTION("""COMPUTED_VALUE"""),9426893)</f>
        <v>9426893</v>
      </c>
      <c r="G1216" s="5">
        <f t="shared" ca="1" si="54"/>
        <v>-7.7046227736641592E-3</v>
      </c>
      <c r="H1216" s="14">
        <f t="shared" si="55"/>
        <v>2020</v>
      </c>
      <c r="I1216" s="5">
        <f t="shared" ca="1" si="56"/>
        <v>-1.2990906365543666E-3</v>
      </c>
      <c r="J1216" s="16"/>
    </row>
    <row r="1217" spans="1:10" x14ac:dyDescent="0.2">
      <c r="A1217" s="3">
        <v>44042</v>
      </c>
      <c r="B1217" s="1">
        <f ca="1">IFERROR(__xludf.DUMMYFUNCTION("""COMPUTED_VALUE"""),99.2)</f>
        <v>99.2</v>
      </c>
      <c r="C1217" s="1">
        <f ca="1">IFERROR(__xludf.DUMMYFUNCTION("""COMPUTED_VALUE"""),100.88)</f>
        <v>100.88</v>
      </c>
      <c r="D1217" s="1">
        <f ca="1">IFERROR(__xludf.DUMMYFUNCTION("""COMPUTED_VALUE"""),98.07)</f>
        <v>98.07</v>
      </c>
      <c r="E1217" s="1">
        <f ca="1">IFERROR(__xludf.DUMMYFUNCTION("""COMPUTED_VALUE"""),99.17)</f>
        <v>99.17</v>
      </c>
      <c r="F1217" s="1">
        <f ca="1">IFERROR(__xludf.DUMMYFUNCTION("""COMPUTED_VALUE"""),7621039)</f>
        <v>7621039</v>
      </c>
      <c r="G1217" s="5">
        <f t="shared" ca="1" si="54"/>
        <v>-3.8217202783099792E-2</v>
      </c>
      <c r="H1217" s="14">
        <f t="shared" si="55"/>
        <v>2020</v>
      </c>
      <c r="I1217" s="5">
        <f t="shared" ca="1" si="56"/>
        <v>-3.0241935483872113E-4</v>
      </c>
      <c r="J1217" s="16"/>
    </row>
    <row r="1218" spans="1:10" x14ac:dyDescent="0.2">
      <c r="A1218" s="3">
        <v>44043</v>
      </c>
      <c r="B1218" s="1">
        <f ca="1">IFERROR(__xludf.DUMMYFUNCTION("""COMPUTED_VALUE"""),101)</f>
        <v>101</v>
      </c>
      <c r="C1218" s="1">
        <f ca="1">IFERROR(__xludf.DUMMYFUNCTION("""COMPUTED_VALUE"""),101.14)</f>
        <v>101.14</v>
      </c>
      <c r="D1218" s="1">
        <f ca="1">IFERROR(__xludf.DUMMYFUNCTION("""COMPUTED_VALUE"""),94.73)</f>
        <v>94.73</v>
      </c>
      <c r="E1218" s="1">
        <f ca="1">IFERROR(__xludf.DUMMYFUNCTION("""COMPUTED_VALUE"""),95.38)</f>
        <v>95.38</v>
      </c>
      <c r="F1218" s="1">
        <f ca="1">IFERROR(__xludf.DUMMYFUNCTION("""COMPUTED_VALUE"""),12246960)</f>
        <v>12246960</v>
      </c>
      <c r="G1218" s="5">
        <f t="shared" ca="1" si="54"/>
        <v>3.7953449360452973E-2</v>
      </c>
      <c r="H1218" s="14">
        <f t="shared" si="55"/>
        <v>2020</v>
      </c>
      <c r="I1218" s="5">
        <f t="shared" ca="1" si="56"/>
        <v>-5.5643564356435686E-2</v>
      </c>
      <c r="J1218" s="16"/>
    </row>
    <row r="1219" spans="1:10" x14ac:dyDescent="0.2">
      <c r="A1219" s="3">
        <v>44046</v>
      </c>
      <c r="B1219" s="1">
        <f ca="1">IFERROR(__xludf.DUMMYFUNCTION("""COMPUTED_VALUE"""),96.61)</f>
        <v>96.61</v>
      </c>
      <c r="C1219" s="1">
        <f ca="1">IFERROR(__xludf.DUMMYFUNCTION("""COMPUTED_VALUE"""),100.65)</f>
        <v>100.65</v>
      </c>
      <c r="D1219" s="1">
        <f ca="1">IFERROR(__xludf.DUMMYFUNCTION("""COMPUTED_VALUE"""),96.29)</f>
        <v>96.29</v>
      </c>
      <c r="E1219" s="1">
        <f ca="1">IFERROR(__xludf.DUMMYFUNCTION("""COMPUTED_VALUE"""),99)</f>
        <v>99</v>
      </c>
      <c r="F1219" s="1">
        <f ca="1">IFERROR(__xludf.DUMMYFUNCTION("""COMPUTED_VALUE"""),8809346)</f>
        <v>8809346</v>
      </c>
      <c r="G1219" s="5">
        <f t="shared" ref="G1219:G1282" ca="1" si="57">(E1220-E1219)/E1219</f>
        <v>1.3131313131312672E-3</v>
      </c>
      <c r="H1219" s="14">
        <f t="shared" ref="H1219:H1282" si="58">YEAR(A1219)</f>
        <v>2020</v>
      </c>
      <c r="I1219" s="5">
        <f t="shared" ref="I1219:I1282" ca="1" si="59">((E1219 - B1219) / B1219)</f>
        <v>2.4738639892350693E-2</v>
      </c>
      <c r="J1219" s="16"/>
    </row>
    <row r="1220" spans="1:10" x14ac:dyDescent="0.2">
      <c r="A1220" s="3">
        <v>44047</v>
      </c>
      <c r="B1220" s="1">
        <f ca="1">IFERROR(__xludf.DUMMYFUNCTION("""COMPUTED_VALUE"""),99.67)</f>
        <v>99.67</v>
      </c>
      <c r="C1220" s="1">
        <f ca="1">IFERROR(__xludf.DUMMYFUNCTION("""COMPUTED_VALUE"""),101.83)</f>
        <v>101.83</v>
      </c>
      <c r="D1220" s="1">
        <f ca="1">IFERROR(__xludf.DUMMYFUNCTION("""COMPUTED_VALUE"""),97.47)</f>
        <v>97.47</v>
      </c>
      <c r="E1220" s="1">
        <f ca="1">IFERROR(__xludf.DUMMYFUNCTION("""COMPUTED_VALUE"""),99.13)</f>
        <v>99.13</v>
      </c>
      <c r="F1220" s="1">
        <f ca="1">IFERROR(__xludf.DUMMYFUNCTION("""COMPUTED_VALUE"""),8414990)</f>
        <v>8414990</v>
      </c>
      <c r="G1220" s="5">
        <f t="shared" ca="1" si="57"/>
        <v>-1.3114092605668866E-3</v>
      </c>
      <c r="H1220" s="14">
        <f t="shared" si="58"/>
        <v>2020</v>
      </c>
      <c r="I1220" s="5">
        <f t="shared" ca="1" si="59"/>
        <v>-5.4178790007023804E-3</v>
      </c>
      <c r="J1220" s="16"/>
    </row>
    <row r="1221" spans="1:10" x14ac:dyDescent="0.2">
      <c r="A1221" s="3">
        <v>44048</v>
      </c>
      <c r="B1221" s="1">
        <f ca="1">IFERROR(__xludf.DUMMYFUNCTION("""COMPUTED_VALUE"""),99.53)</f>
        <v>99.53</v>
      </c>
      <c r="C1221" s="1">
        <f ca="1">IFERROR(__xludf.DUMMYFUNCTION("""COMPUTED_VALUE"""),99.99)</f>
        <v>99.99</v>
      </c>
      <c r="D1221" s="1">
        <f ca="1">IFERROR(__xludf.DUMMYFUNCTION("""COMPUTED_VALUE"""),97.89)</f>
        <v>97.89</v>
      </c>
      <c r="E1221" s="1">
        <f ca="1">IFERROR(__xludf.DUMMYFUNCTION("""COMPUTED_VALUE"""),99)</f>
        <v>99</v>
      </c>
      <c r="F1221" s="1">
        <f ca="1">IFERROR(__xludf.DUMMYFUNCTION("""COMPUTED_VALUE"""),4978015)</f>
        <v>4978015</v>
      </c>
      <c r="G1221" s="5">
        <f t="shared" ca="1" si="57"/>
        <v>3.1313131313131541E-3</v>
      </c>
      <c r="H1221" s="14">
        <f t="shared" si="58"/>
        <v>2020</v>
      </c>
      <c r="I1221" s="5">
        <f t="shared" ca="1" si="59"/>
        <v>-5.3250276298603553E-3</v>
      </c>
      <c r="J1221" s="16"/>
    </row>
    <row r="1222" spans="1:10" x14ac:dyDescent="0.2">
      <c r="A1222" s="3">
        <v>44049</v>
      </c>
      <c r="B1222" s="1">
        <f ca="1">IFERROR(__xludf.DUMMYFUNCTION("""COMPUTED_VALUE"""),99.39)</f>
        <v>99.39</v>
      </c>
      <c r="C1222" s="1">
        <f ca="1">IFERROR(__xludf.DUMMYFUNCTION("""COMPUTED_VALUE"""),101.15)</f>
        <v>101.15</v>
      </c>
      <c r="D1222" s="1">
        <f ca="1">IFERROR(__xludf.DUMMYFUNCTION("""COMPUTED_VALUE"""),98.48)</f>
        <v>98.48</v>
      </c>
      <c r="E1222" s="1">
        <f ca="1">IFERROR(__xludf.DUMMYFUNCTION("""COMPUTED_VALUE"""),99.31)</f>
        <v>99.31</v>
      </c>
      <c r="F1222" s="1">
        <f ca="1">IFERROR(__xludf.DUMMYFUNCTION("""COMPUTED_VALUE"""),5992313)</f>
        <v>5992313</v>
      </c>
      <c r="G1222" s="5">
        <f t="shared" ca="1" si="57"/>
        <v>-2.4770919343470022E-2</v>
      </c>
      <c r="H1222" s="14">
        <f t="shared" si="58"/>
        <v>2020</v>
      </c>
      <c r="I1222" s="5">
        <f t="shared" ca="1" si="59"/>
        <v>-8.049099506992483E-4</v>
      </c>
      <c r="J1222" s="16"/>
    </row>
    <row r="1223" spans="1:10" x14ac:dyDescent="0.2">
      <c r="A1223" s="3">
        <v>44050</v>
      </c>
      <c r="B1223" s="1">
        <f ca="1">IFERROR(__xludf.DUMMYFUNCTION("""COMPUTED_VALUE"""),99.97)</f>
        <v>99.97</v>
      </c>
      <c r="C1223" s="1">
        <f ca="1">IFERROR(__xludf.DUMMYFUNCTION("""COMPUTED_VALUE"""),99.98)</f>
        <v>99.98</v>
      </c>
      <c r="D1223" s="1">
        <f ca="1">IFERROR(__xludf.DUMMYFUNCTION("""COMPUTED_VALUE"""),94.33)</f>
        <v>94.33</v>
      </c>
      <c r="E1223" s="1">
        <f ca="1">IFERROR(__xludf.DUMMYFUNCTION("""COMPUTED_VALUE"""),96.85)</f>
        <v>96.85</v>
      </c>
      <c r="F1223" s="1">
        <f ca="1">IFERROR(__xludf.DUMMYFUNCTION("""COMPUTED_VALUE"""),8896420)</f>
        <v>8896420</v>
      </c>
      <c r="G1223" s="5">
        <f t="shared" ca="1" si="57"/>
        <v>-2.3541559112028924E-2</v>
      </c>
      <c r="H1223" s="14">
        <f t="shared" si="58"/>
        <v>2020</v>
      </c>
      <c r="I1223" s="5">
        <f t="shared" ca="1" si="59"/>
        <v>-3.1209362808842699E-2</v>
      </c>
      <c r="J1223" s="16"/>
    </row>
    <row r="1224" spans="1:10" x14ac:dyDescent="0.2">
      <c r="A1224" s="3">
        <v>44053</v>
      </c>
      <c r="B1224" s="1">
        <f ca="1">IFERROR(__xludf.DUMMYFUNCTION("""COMPUTED_VALUE"""),96.53)</f>
        <v>96.53</v>
      </c>
      <c r="C1224" s="1">
        <f ca="1">IFERROR(__xludf.DUMMYFUNCTION("""COMPUTED_VALUE"""),97.17)</f>
        <v>97.17</v>
      </c>
      <c r="D1224" s="1">
        <f ca="1">IFERROR(__xludf.DUMMYFUNCTION("""COMPUTED_VALUE"""),92.39)</f>
        <v>92.39</v>
      </c>
      <c r="E1224" s="1">
        <f ca="1">IFERROR(__xludf.DUMMYFUNCTION("""COMPUTED_VALUE"""),94.57)</f>
        <v>94.57</v>
      </c>
      <c r="F1224" s="1">
        <f ca="1">IFERROR(__xludf.DUMMYFUNCTION("""COMPUTED_VALUE"""),7522264)</f>
        <v>7522264</v>
      </c>
      <c r="G1224" s="5">
        <f t="shared" ca="1" si="57"/>
        <v>-3.1088082901554383E-2</v>
      </c>
      <c r="H1224" s="14">
        <f t="shared" si="58"/>
        <v>2020</v>
      </c>
      <c r="I1224" s="5">
        <f t="shared" ca="1" si="59"/>
        <v>-2.0304568527918863E-2</v>
      </c>
      <c r="J1224" s="16"/>
    </row>
    <row r="1225" spans="1:10" x14ac:dyDescent="0.2">
      <c r="A1225" s="3">
        <v>44054</v>
      </c>
      <c r="B1225" s="1">
        <f ca="1">IFERROR(__xludf.DUMMYFUNCTION("""COMPUTED_VALUE"""),93.07)</f>
        <v>93.07</v>
      </c>
      <c r="C1225" s="1">
        <f ca="1">IFERROR(__xludf.DUMMYFUNCTION("""COMPUTED_VALUE"""),94.67)</f>
        <v>94.67</v>
      </c>
      <c r="D1225" s="1">
        <f ca="1">IFERROR(__xludf.DUMMYFUNCTION("""COMPUTED_VALUE"""),91)</f>
        <v>91</v>
      </c>
      <c r="E1225" s="1">
        <f ca="1">IFERROR(__xludf.DUMMYFUNCTION("""COMPUTED_VALUE"""),91.63)</f>
        <v>91.63</v>
      </c>
      <c r="F1225" s="1">
        <f ca="1">IFERROR(__xludf.DUMMYFUNCTION("""COMPUTED_VALUE"""),8625834)</f>
        <v>8625834</v>
      </c>
      <c r="G1225" s="5">
        <f t="shared" ca="1" si="57"/>
        <v>0.13117974462512288</v>
      </c>
      <c r="H1225" s="14">
        <f t="shared" si="58"/>
        <v>2020</v>
      </c>
      <c r="I1225" s="5">
        <f t="shared" ca="1" si="59"/>
        <v>-1.5472225206833543E-2</v>
      </c>
      <c r="J1225" s="16"/>
    </row>
    <row r="1226" spans="1:10" x14ac:dyDescent="0.2">
      <c r="A1226" s="3">
        <v>44055</v>
      </c>
      <c r="B1226" s="1">
        <f ca="1">IFERROR(__xludf.DUMMYFUNCTION("""COMPUTED_VALUE"""),98)</f>
        <v>98</v>
      </c>
      <c r="C1226" s="1">
        <f ca="1">IFERROR(__xludf.DUMMYFUNCTION("""COMPUTED_VALUE"""),105.67)</f>
        <v>105.67</v>
      </c>
      <c r="D1226" s="1">
        <f ca="1">IFERROR(__xludf.DUMMYFUNCTION("""COMPUTED_VALUE"""),95.67)</f>
        <v>95.67</v>
      </c>
      <c r="E1226" s="1">
        <f ca="1">IFERROR(__xludf.DUMMYFUNCTION("""COMPUTED_VALUE"""),103.65)</f>
        <v>103.65</v>
      </c>
      <c r="F1226" s="1">
        <f ca="1">IFERROR(__xludf.DUMMYFUNCTION("""COMPUTED_VALUE"""),21898834)</f>
        <v>21898834</v>
      </c>
      <c r="G1226" s="5">
        <f t="shared" ca="1" si="57"/>
        <v>4.2643511818620236E-2</v>
      </c>
      <c r="H1226" s="14">
        <f t="shared" si="58"/>
        <v>2020</v>
      </c>
      <c r="I1226" s="5">
        <f t="shared" ca="1" si="59"/>
        <v>5.7653061224489856E-2</v>
      </c>
      <c r="J1226" s="16"/>
    </row>
    <row r="1227" spans="1:10" x14ac:dyDescent="0.2">
      <c r="A1227" s="3">
        <v>44056</v>
      </c>
      <c r="B1227" s="1">
        <f ca="1">IFERROR(__xludf.DUMMYFUNCTION("""COMPUTED_VALUE"""),107.4)</f>
        <v>107.4</v>
      </c>
      <c r="C1227" s="1">
        <f ca="1">IFERROR(__xludf.DUMMYFUNCTION("""COMPUTED_VALUE"""),110.08)</f>
        <v>110.08</v>
      </c>
      <c r="D1227" s="1">
        <f ca="1">IFERROR(__xludf.DUMMYFUNCTION("""COMPUTED_VALUE"""),104.48)</f>
        <v>104.48</v>
      </c>
      <c r="E1227" s="1">
        <f ca="1">IFERROR(__xludf.DUMMYFUNCTION("""COMPUTED_VALUE"""),108.07)</f>
        <v>108.07</v>
      </c>
      <c r="F1227" s="1">
        <f ca="1">IFERROR(__xludf.DUMMYFUNCTION("""COMPUTED_VALUE"""),20425308)</f>
        <v>20425308</v>
      </c>
      <c r="G1227" s="5">
        <f t="shared" ca="1" si="57"/>
        <v>1.8321458314055742E-2</v>
      </c>
      <c r="H1227" s="14">
        <f t="shared" si="58"/>
        <v>2020</v>
      </c>
      <c r="I1227" s="5">
        <f t="shared" ca="1" si="59"/>
        <v>6.2383612662941105E-3</v>
      </c>
      <c r="J1227" s="16"/>
    </row>
    <row r="1228" spans="1:10" x14ac:dyDescent="0.2">
      <c r="A1228" s="3">
        <v>44057</v>
      </c>
      <c r="B1228" s="1">
        <f ca="1">IFERROR(__xludf.DUMMYFUNCTION("""COMPUTED_VALUE"""),111)</f>
        <v>111</v>
      </c>
      <c r="C1228" s="1">
        <f ca="1">IFERROR(__xludf.DUMMYFUNCTION("""COMPUTED_VALUE"""),111.25)</f>
        <v>111.25</v>
      </c>
      <c r="D1228" s="1">
        <f ca="1">IFERROR(__xludf.DUMMYFUNCTION("""COMPUTED_VALUE"""),108.44)</f>
        <v>108.44</v>
      </c>
      <c r="E1228" s="1">
        <f ca="1">IFERROR(__xludf.DUMMYFUNCTION("""COMPUTED_VALUE"""),110.05)</f>
        <v>110.05</v>
      </c>
      <c r="F1228" s="1">
        <f ca="1">IFERROR(__xludf.DUMMYFUNCTION("""COMPUTED_VALUE"""),12577614)</f>
        <v>12577614</v>
      </c>
      <c r="G1228" s="5">
        <f t="shared" ca="1" si="57"/>
        <v>0.11203998182644251</v>
      </c>
      <c r="H1228" s="14">
        <f t="shared" si="58"/>
        <v>2020</v>
      </c>
      <c r="I1228" s="5">
        <f t="shared" ca="1" si="59"/>
        <v>-8.5585585585585839E-3</v>
      </c>
      <c r="J1228" s="16"/>
    </row>
    <row r="1229" spans="1:10" x14ac:dyDescent="0.2">
      <c r="A1229" s="3">
        <v>44060</v>
      </c>
      <c r="B1229" s="1">
        <f ca="1">IFERROR(__xludf.DUMMYFUNCTION("""COMPUTED_VALUE"""),111.8)</f>
        <v>111.8</v>
      </c>
      <c r="C1229" s="1">
        <f ca="1">IFERROR(__xludf.DUMMYFUNCTION("""COMPUTED_VALUE"""),123.06)</f>
        <v>123.06</v>
      </c>
      <c r="D1229" s="1">
        <f ca="1">IFERROR(__xludf.DUMMYFUNCTION("""COMPUTED_VALUE"""),111.52)</f>
        <v>111.52</v>
      </c>
      <c r="E1229" s="1">
        <f ca="1">IFERROR(__xludf.DUMMYFUNCTION("""COMPUTED_VALUE"""),122.38)</f>
        <v>122.38</v>
      </c>
      <c r="F1229" s="1">
        <f ca="1">IFERROR(__xludf.DUMMYFUNCTION("""COMPUTED_VALUE"""),20242323)</f>
        <v>20242323</v>
      </c>
      <c r="G1229" s="5">
        <f t="shared" ca="1" si="57"/>
        <v>2.8027455466579563E-2</v>
      </c>
      <c r="H1229" s="14">
        <f t="shared" si="58"/>
        <v>2020</v>
      </c>
      <c r="I1229" s="5">
        <f t="shared" ca="1" si="59"/>
        <v>9.4633273703041129E-2</v>
      </c>
      <c r="J1229" s="16"/>
    </row>
    <row r="1230" spans="1:10" x14ac:dyDescent="0.2">
      <c r="A1230" s="3">
        <v>44061</v>
      </c>
      <c r="B1230" s="1">
        <f ca="1">IFERROR(__xludf.DUMMYFUNCTION("""COMPUTED_VALUE"""),126.6)</f>
        <v>126.6</v>
      </c>
      <c r="C1230" s="1">
        <f ca="1">IFERROR(__xludf.DUMMYFUNCTION("""COMPUTED_VALUE"""),128.26)</f>
        <v>128.26</v>
      </c>
      <c r="D1230" s="1">
        <f ca="1">IFERROR(__xludf.DUMMYFUNCTION("""COMPUTED_VALUE"""),123.01)</f>
        <v>123.01</v>
      </c>
      <c r="E1230" s="1">
        <f ca="1">IFERROR(__xludf.DUMMYFUNCTION("""COMPUTED_VALUE"""),125.81)</f>
        <v>125.81</v>
      </c>
      <c r="F1230" s="1">
        <f ca="1">IFERROR(__xludf.DUMMYFUNCTION("""COMPUTED_VALUE"""),16474491)</f>
        <v>16474491</v>
      </c>
      <c r="G1230" s="5">
        <f t="shared" ca="1" si="57"/>
        <v>-4.5306414434465253E-3</v>
      </c>
      <c r="H1230" s="14">
        <f t="shared" si="58"/>
        <v>2020</v>
      </c>
      <c r="I1230" s="5">
        <f t="shared" ca="1" si="59"/>
        <v>-6.2401263823064143E-3</v>
      </c>
      <c r="J1230" s="16"/>
    </row>
    <row r="1231" spans="1:10" x14ac:dyDescent="0.2">
      <c r="A1231" s="3">
        <v>44062</v>
      </c>
      <c r="B1231" s="1">
        <f ca="1">IFERROR(__xludf.DUMMYFUNCTION("""COMPUTED_VALUE"""),124.33)</f>
        <v>124.33</v>
      </c>
      <c r="C1231" s="1">
        <f ca="1">IFERROR(__xludf.DUMMYFUNCTION("""COMPUTED_VALUE"""),127.4)</f>
        <v>127.4</v>
      </c>
      <c r="D1231" s="1">
        <f ca="1">IFERROR(__xludf.DUMMYFUNCTION("""COMPUTED_VALUE"""),122.75)</f>
        <v>122.75</v>
      </c>
      <c r="E1231" s="1">
        <f ca="1">IFERROR(__xludf.DUMMYFUNCTION("""COMPUTED_VALUE"""),125.24)</f>
        <v>125.24</v>
      </c>
      <c r="F1231" s="1">
        <f ca="1">IFERROR(__xludf.DUMMYFUNCTION("""COMPUTED_VALUE"""),12205331)</f>
        <v>12205331</v>
      </c>
      <c r="G1231" s="5">
        <f t="shared" ca="1" si="57"/>
        <v>6.5633982753114134E-2</v>
      </c>
      <c r="H1231" s="14">
        <f t="shared" si="58"/>
        <v>2020</v>
      </c>
      <c r="I1231" s="5">
        <f t="shared" ca="1" si="59"/>
        <v>7.3192310785811674E-3</v>
      </c>
      <c r="J1231" s="16"/>
    </row>
    <row r="1232" spans="1:10" x14ac:dyDescent="0.2">
      <c r="A1232" s="3">
        <v>44063</v>
      </c>
      <c r="B1232" s="1">
        <f ca="1">IFERROR(__xludf.DUMMYFUNCTION("""COMPUTED_VALUE"""),124.05)</f>
        <v>124.05</v>
      </c>
      <c r="C1232" s="1">
        <f ca="1">IFERROR(__xludf.DUMMYFUNCTION("""COMPUTED_VALUE"""),134.8)</f>
        <v>134.80000000000001</v>
      </c>
      <c r="D1232" s="1">
        <f ca="1">IFERROR(__xludf.DUMMYFUNCTION("""COMPUTED_VALUE"""),123.8)</f>
        <v>123.8</v>
      </c>
      <c r="E1232" s="1">
        <f ca="1">IFERROR(__xludf.DUMMYFUNCTION("""COMPUTED_VALUE"""),133.46)</f>
        <v>133.46</v>
      </c>
      <c r="F1232" s="1">
        <f ca="1">IFERROR(__xludf.DUMMYFUNCTION("""COMPUTED_VALUE"""),20611796)</f>
        <v>20611796</v>
      </c>
      <c r="G1232" s="5">
        <f t="shared" ca="1" si="57"/>
        <v>2.4052150457065633E-2</v>
      </c>
      <c r="H1232" s="14">
        <f t="shared" si="58"/>
        <v>2020</v>
      </c>
      <c r="I1232" s="5">
        <f t="shared" ca="1" si="59"/>
        <v>7.5856509471987188E-2</v>
      </c>
      <c r="J1232" s="16"/>
    </row>
    <row r="1233" spans="1:10" x14ac:dyDescent="0.2">
      <c r="A1233" s="3">
        <v>44064</v>
      </c>
      <c r="B1233" s="1">
        <f ca="1">IFERROR(__xludf.DUMMYFUNCTION("""COMPUTED_VALUE"""),136.32)</f>
        <v>136.32</v>
      </c>
      <c r="C1233" s="1">
        <f ca="1">IFERROR(__xludf.DUMMYFUNCTION("""COMPUTED_VALUE"""),139.7)</f>
        <v>139.69999999999999</v>
      </c>
      <c r="D1233" s="1">
        <f ca="1">IFERROR(__xludf.DUMMYFUNCTION("""COMPUTED_VALUE"""),135)</f>
        <v>135</v>
      </c>
      <c r="E1233" s="1">
        <f ca="1">IFERROR(__xludf.DUMMYFUNCTION("""COMPUTED_VALUE"""),136.67)</f>
        <v>136.66999999999999</v>
      </c>
      <c r="F1233" s="1">
        <f ca="1">IFERROR(__xludf.DUMMYFUNCTION("""COMPUTED_VALUE"""),21489559)</f>
        <v>21489559</v>
      </c>
      <c r="G1233" s="5">
        <f t="shared" ca="1" si="57"/>
        <v>-1.7487378356625349E-2</v>
      </c>
      <c r="H1233" s="14">
        <f t="shared" si="58"/>
        <v>2020</v>
      </c>
      <c r="I1233" s="5">
        <f t="shared" ca="1" si="59"/>
        <v>2.5674882629107567E-3</v>
      </c>
      <c r="J1233" s="16"/>
    </row>
    <row r="1234" spans="1:10" x14ac:dyDescent="0.2">
      <c r="A1234" s="3">
        <v>44067</v>
      </c>
      <c r="B1234" s="1">
        <f ca="1">IFERROR(__xludf.DUMMYFUNCTION("""COMPUTED_VALUE"""),141.75)</f>
        <v>141.75</v>
      </c>
      <c r="C1234" s="1">
        <f ca="1">IFERROR(__xludf.DUMMYFUNCTION("""COMPUTED_VALUE"""),141.93)</f>
        <v>141.93</v>
      </c>
      <c r="D1234" s="1">
        <f ca="1">IFERROR(__xludf.DUMMYFUNCTION("""COMPUTED_VALUE"""),128.5)</f>
        <v>128.5</v>
      </c>
      <c r="E1234" s="1">
        <f ca="1">IFERROR(__xludf.DUMMYFUNCTION("""COMPUTED_VALUE"""),134.28)</f>
        <v>134.28</v>
      </c>
      <c r="F1234" s="1">
        <f ca="1">IFERROR(__xludf.DUMMYFUNCTION("""COMPUTED_VALUE"""),20063621)</f>
        <v>20063621</v>
      </c>
      <c r="G1234" s="5">
        <f t="shared" ca="1" si="57"/>
        <v>4.5427464998509474E-3</v>
      </c>
      <c r="H1234" s="14">
        <f t="shared" si="58"/>
        <v>2020</v>
      </c>
      <c r="I1234" s="5">
        <f t="shared" ca="1" si="59"/>
        <v>-5.2698412698412689E-2</v>
      </c>
      <c r="J1234" s="16"/>
    </row>
    <row r="1235" spans="1:10" x14ac:dyDescent="0.2">
      <c r="A1235" s="3">
        <v>44068</v>
      </c>
      <c r="B1235" s="1">
        <f ca="1">IFERROR(__xludf.DUMMYFUNCTION("""COMPUTED_VALUE"""),131.66)</f>
        <v>131.66</v>
      </c>
      <c r="C1235" s="1">
        <f ca="1">IFERROR(__xludf.DUMMYFUNCTION("""COMPUTED_VALUE"""),135.2)</f>
        <v>135.19999999999999</v>
      </c>
      <c r="D1235" s="1">
        <f ca="1">IFERROR(__xludf.DUMMYFUNCTION("""COMPUTED_VALUE"""),131.2)</f>
        <v>131.19999999999999</v>
      </c>
      <c r="E1235" s="1">
        <f ca="1">IFERROR(__xludf.DUMMYFUNCTION("""COMPUTED_VALUE"""),134.89)</f>
        <v>134.88999999999999</v>
      </c>
      <c r="F1235" s="1">
        <f ca="1">IFERROR(__xludf.DUMMYFUNCTION("""COMPUTED_VALUE"""),10658893)</f>
        <v>10658893</v>
      </c>
      <c r="G1235" s="5">
        <f t="shared" ca="1" si="57"/>
        <v>6.41263251538291E-2</v>
      </c>
      <c r="H1235" s="14">
        <f t="shared" si="58"/>
        <v>2020</v>
      </c>
      <c r="I1235" s="5">
        <f t="shared" ca="1" si="59"/>
        <v>2.4532887741151373E-2</v>
      </c>
      <c r="J1235" s="16"/>
    </row>
    <row r="1236" spans="1:10" x14ac:dyDescent="0.2">
      <c r="A1236" s="3">
        <v>44069</v>
      </c>
      <c r="B1236" s="1">
        <f ca="1">IFERROR(__xludf.DUMMYFUNCTION("""COMPUTED_VALUE"""),137.33)</f>
        <v>137.33000000000001</v>
      </c>
      <c r="C1236" s="1">
        <f ca="1">IFERROR(__xludf.DUMMYFUNCTION("""COMPUTED_VALUE"""),144.4)</f>
        <v>144.4</v>
      </c>
      <c r="D1236" s="1">
        <f ca="1">IFERROR(__xludf.DUMMYFUNCTION("""COMPUTED_VALUE"""),136.91)</f>
        <v>136.91</v>
      </c>
      <c r="E1236" s="1">
        <f ca="1">IFERROR(__xludf.DUMMYFUNCTION("""COMPUTED_VALUE"""),143.54)</f>
        <v>143.54</v>
      </c>
      <c r="F1236" s="1">
        <f ca="1">IFERROR(__xludf.DUMMYFUNCTION("""COMPUTED_VALUE"""),14239382)</f>
        <v>14239382</v>
      </c>
      <c r="G1236" s="5">
        <f t="shared" ca="1" si="57"/>
        <v>3.9779852305977484E-2</v>
      </c>
      <c r="H1236" s="14">
        <f t="shared" si="58"/>
        <v>2020</v>
      </c>
      <c r="I1236" s="5">
        <f t="shared" ca="1" si="59"/>
        <v>4.5219544163693143E-2</v>
      </c>
      <c r="J1236" s="16"/>
    </row>
    <row r="1237" spans="1:10" x14ac:dyDescent="0.2">
      <c r="A1237" s="3">
        <v>44070</v>
      </c>
      <c r="B1237" s="1">
        <f ca="1">IFERROR(__xludf.DUMMYFUNCTION("""COMPUTED_VALUE"""),145.36)</f>
        <v>145.36000000000001</v>
      </c>
      <c r="C1237" s="1">
        <f ca="1">IFERROR(__xludf.DUMMYFUNCTION("""COMPUTED_VALUE"""),153.04)</f>
        <v>153.04</v>
      </c>
      <c r="D1237" s="1">
        <f ca="1">IFERROR(__xludf.DUMMYFUNCTION("""COMPUTED_VALUE"""),142.83)</f>
        <v>142.83000000000001</v>
      </c>
      <c r="E1237" s="1">
        <f ca="1">IFERROR(__xludf.DUMMYFUNCTION("""COMPUTED_VALUE"""),149.25)</f>
        <v>149.25</v>
      </c>
      <c r="F1237" s="1">
        <f ca="1">IFERROR(__xludf.DUMMYFUNCTION("""COMPUTED_VALUE"""),23693043)</f>
        <v>23693043</v>
      </c>
      <c r="G1237" s="5">
        <f t="shared" ca="1" si="57"/>
        <v>-1.1323283082077036E-2</v>
      </c>
      <c r="H1237" s="14">
        <f t="shared" si="58"/>
        <v>2020</v>
      </c>
      <c r="I1237" s="5">
        <f t="shared" ca="1" si="59"/>
        <v>2.6761144744083559E-2</v>
      </c>
      <c r="J1237" s="16"/>
    </row>
    <row r="1238" spans="1:10" x14ac:dyDescent="0.2">
      <c r="A1238" s="3">
        <v>44071</v>
      </c>
      <c r="B1238" s="1">
        <f ca="1">IFERROR(__xludf.DUMMYFUNCTION("""COMPUTED_VALUE"""),153.01)</f>
        <v>153.01</v>
      </c>
      <c r="C1238" s="1">
        <f ca="1">IFERROR(__xludf.DUMMYFUNCTION("""COMPUTED_VALUE"""),154.57)</f>
        <v>154.57</v>
      </c>
      <c r="D1238" s="1">
        <f ca="1">IFERROR(__xludf.DUMMYFUNCTION("""COMPUTED_VALUE"""),145.77)</f>
        <v>145.77000000000001</v>
      </c>
      <c r="E1238" s="1">
        <f ca="1">IFERROR(__xludf.DUMMYFUNCTION("""COMPUTED_VALUE"""),147.56)</f>
        <v>147.56</v>
      </c>
      <c r="F1238" s="1">
        <f ca="1">IFERROR(__xludf.DUMMYFUNCTION("""COMPUTED_VALUE"""),20081176)</f>
        <v>20081176</v>
      </c>
      <c r="G1238" s="5">
        <f t="shared" ca="1" si="57"/>
        <v>0.12571157495256174</v>
      </c>
      <c r="H1238" s="14">
        <f t="shared" si="58"/>
        <v>2020</v>
      </c>
      <c r="I1238" s="5">
        <f t="shared" ca="1" si="59"/>
        <v>-3.5618587020456109E-2</v>
      </c>
      <c r="J1238" s="16"/>
    </row>
    <row r="1239" spans="1:10" x14ac:dyDescent="0.2">
      <c r="A1239" s="3">
        <v>44074</v>
      </c>
      <c r="B1239" s="1">
        <f ca="1">IFERROR(__xludf.DUMMYFUNCTION("""COMPUTED_VALUE"""),148.2)</f>
        <v>148.19999999999999</v>
      </c>
      <c r="C1239" s="1">
        <f ca="1">IFERROR(__xludf.DUMMYFUNCTION("""COMPUTED_VALUE"""),166.71)</f>
        <v>166.71</v>
      </c>
      <c r="D1239" s="1">
        <f ca="1">IFERROR(__xludf.DUMMYFUNCTION("""COMPUTED_VALUE"""),146.7)</f>
        <v>146.69999999999999</v>
      </c>
      <c r="E1239" s="1">
        <f ca="1">IFERROR(__xludf.DUMMYFUNCTION("""COMPUTED_VALUE"""),166.11)</f>
        <v>166.11</v>
      </c>
      <c r="F1239" s="1">
        <f ca="1">IFERROR(__xludf.DUMMYFUNCTION("""COMPUTED_VALUE"""),118374406)</f>
        <v>118374406</v>
      </c>
      <c r="G1239" s="5">
        <f t="shared" ca="1" si="57"/>
        <v>-4.6716031545361622E-2</v>
      </c>
      <c r="H1239" s="14">
        <f t="shared" si="58"/>
        <v>2020</v>
      </c>
      <c r="I1239" s="5">
        <f t="shared" ca="1" si="59"/>
        <v>0.12085020242914997</v>
      </c>
      <c r="J1239" s="16"/>
    </row>
    <row r="1240" spans="1:10" x14ac:dyDescent="0.2">
      <c r="A1240" s="3">
        <v>44075</v>
      </c>
      <c r="B1240" s="1">
        <f ca="1">IFERROR(__xludf.DUMMYFUNCTION("""COMPUTED_VALUE"""),167.38)</f>
        <v>167.38</v>
      </c>
      <c r="C1240" s="1">
        <f ca="1">IFERROR(__xludf.DUMMYFUNCTION("""COMPUTED_VALUE"""),167.5)</f>
        <v>167.5</v>
      </c>
      <c r="D1240" s="1">
        <f ca="1">IFERROR(__xludf.DUMMYFUNCTION("""COMPUTED_VALUE"""),156.84)</f>
        <v>156.84</v>
      </c>
      <c r="E1240" s="1">
        <f ca="1">IFERROR(__xludf.DUMMYFUNCTION("""COMPUTED_VALUE"""),158.35)</f>
        <v>158.35</v>
      </c>
      <c r="F1240" s="1">
        <f ca="1">IFERROR(__xludf.DUMMYFUNCTION("""COMPUTED_VALUE"""),90119419)</f>
        <v>90119419</v>
      </c>
      <c r="G1240" s="5">
        <f t="shared" ca="1" si="57"/>
        <v>-5.8288601199873634E-2</v>
      </c>
      <c r="H1240" s="14">
        <f t="shared" si="58"/>
        <v>2020</v>
      </c>
      <c r="I1240" s="5">
        <f t="shared" ca="1" si="59"/>
        <v>-5.3949097861154267E-2</v>
      </c>
      <c r="J1240" s="16"/>
    </row>
    <row r="1241" spans="1:10" x14ac:dyDescent="0.2">
      <c r="A1241" s="3">
        <v>44076</v>
      </c>
      <c r="B1241" s="1">
        <f ca="1">IFERROR(__xludf.DUMMYFUNCTION("""COMPUTED_VALUE"""),159.66)</f>
        <v>159.66</v>
      </c>
      <c r="C1241" s="1">
        <f ca="1">IFERROR(__xludf.DUMMYFUNCTION("""COMPUTED_VALUE"""),159.68)</f>
        <v>159.68</v>
      </c>
      <c r="D1241" s="1">
        <f ca="1">IFERROR(__xludf.DUMMYFUNCTION("""COMPUTED_VALUE"""),135.04)</f>
        <v>135.04</v>
      </c>
      <c r="E1241" s="1">
        <f ca="1">IFERROR(__xludf.DUMMYFUNCTION("""COMPUTED_VALUE"""),149.12)</f>
        <v>149.12</v>
      </c>
      <c r="F1241" s="1">
        <f ca="1">IFERROR(__xludf.DUMMYFUNCTION("""COMPUTED_VALUE"""),96176128)</f>
        <v>96176128</v>
      </c>
      <c r="G1241" s="5">
        <f t="shared" ca="1" si="57"/>
        <v>-9.0195815450643882E-2</v>
      </c>
      <c r="H1241" s="14">
        <f t="shared" si="58"/>
        <v>2020</v>
      </c>
      <c r="I1241" s="5">
        <f t="shared" ca="1" si="59"/>
        <v>-6.6015282475259882E-2</v>
      </c>
      <c r="J1241" s="16"/>
    </row>
    <row r="1242" spans="1:10" x14ac:dyDescent="0.2">
      <c r="A1242" s="3">
        <v>44077</v>
      </c>
      <c r="B1242" s="1">
        <f ca="1">IFERROR(__xludf.DUMMYFUNCTION("""COMPUTED_VALUE"""),135.74)</f>
        <v>135.74</v>
      </c>
      <c r="C1242" s="1">
        <f ca="1">IFERROR(__xludf.DUMMYFUNCTION("""COMPUTED_VALUE"""),143.93)</f>
        <v>143.93</v>
      </c>
      <c r="D1242" s="1">
        <f ca="1">IFERROR(__xludf.DUMMYFUNCTION("""COMPUTED_VALUE"""),134)</f>
        <v>134</v>
      </c>
      <c r="E1242" s="1">
        <f ca="1">IFERROR(__xludf.DUMMYFUNCTION("""COMPUTED_VALUE"""),135.67)</f>
        <v>135.66999999999999</v>
      </c>
      <c r="F1242" s="1">
        <f ca="1">IFERROR(__xludf.DUMMYFUNCTION("""COMPUTED_VALUE"""),87596086)</f>
        <v>87596086</v>
      </c>
      <c r="G1242" s="5">
        <f t="shared" ca="1" si="57"/>
        <v>2.7788015036485668E-2</v>
      </c>
      <c r="H1242" s="14">
        <f t="shared" si="58"/>
        <v>2020</v>
      </c>
      <c r="I1242" s="5">
        <f t="shared" ca="1" si="59"/>
        <v>-5.1569176366599088E-4</v>
      </c>
      <c r="J1242" s="16"/>
    </row>
    <row r="1243" spans="1:10" x14ac:dyDescent="0.2">
      <c r="A1243" s="3">
        <v>44078</v>
      </c>
      <c r="B1243" s="1">
        <f ca="1">IFERROR(__xludf.DUMMYFUNCTION("""COMPUTED_VALUE"""),134.27)</f>
        <v>134.27000000000001</v>
      </c>
      <c r="C1243" s="1">
        <f ca="1">IFERROR(__xludf.DUMMYFUNCTION("""COMPUTED_VALUE"""),142.67)</f>
        <v>142.66999999999999</v>
      </c>
      <c r="D1243" s="1">
        <f ca="1">IFERROR(__xludf.DUMMYFUNCTION("""COMPUTED_VALUE"""),124.01)</f>
        <v>124.01</v>
      </c>
      <c r="E1243" s="1">
        <f ca="1">IFERROR(__xludf.DUMMYFUNCTION("""COMPUTED_VALUE"""),139.44)</f>
        <v>139.44</v>
      </c>
      <c r="F1243" s="1">
        <f ca="1">IFERROR(__xludf.DUMMYFUNCTION("""COMPUTED_VALUE"""),110321885)</f>
        <v>110321885</v>
      </c>
      <c r="G1243" s="5">
        <f t="shared" ca="1" si="57"/>
        <v>-0.21062822719449228</v>
      </c>
      <c r="H1243" s="14">
        <f t="shared" si="58"/>
        <v>2020</v>
      </c>
      <c r="I1243" s="5">
        <f t="shared" ca="1" si="59"/>
        <v>3.8504505846428741E-2</v>
      </c>
      <c r="J1243" s="16"/>
    </row>
    <row r="1244" spans="1:10" x14ac:dyDescent="0.2">
      <c r="A1244" s="3">
        <v>44082</v>
      </c>
      <c r="B1244" s="1">
        <f ca="1">IFERROR(__xludf.DUMMYFUNCTION("""COMPUTED_VALUE"""),118.67)</f>
        <v>118.67</v>
      </c>
      <c r="C1244" s="1">
        <f ca="1">IFERROR(__xludf.DUMMYFUNCTION("""COMPUTED_VALUE"""),122.91)</f>
        <v>122.91</v>
      </c>
      <c r="D1244" s="1">
        <f ca="1">IFERROR(__xludf.DUMMYFUNCTION("""COMPUTED_VALUE"""),109.96)</f>
        <v>109.96</v>
      </c>
      <c r="E1244" s="1">
        <f ca="1">IFERROR(__xludf.DUMMYFUNCTION("""COMPUTED_VALUE"""),110.07)</f>
        <v>110.07</v>
      </c>
      <c r="F1244" s="1">
        <f ca="1">IFERROR(__xludf.DUMMYFUNCTION("""COMPUTED_VALUE"""),115465691)</f>
        <v>115465691</v>
      </c>
      <c r="G1244" s="5">
        <f t="shared" ca="1" si="57"/>
        <v>0.10920323430544208</v>
      </c>
      <c r="H1244" s="14">
        <f t="shared" si="58"/>
        <v>2020</v>
      </c>
      <c r="I1244" s="5">
        <f t="shared" ca="1" si="59"/>
        <v>-7.246987444172924E-2</v>
      </c>
      <c r="J1244" s="16"/>
    </row>
    <row r="1245" spans="1:10" x14ac:dyDescent="0.2">
      <c r="A1245" s="3">
        <v>44083</v>
      </c>
      <c r="B1245" s="1">
        <f ca="1">IFERROR(__xludf.DUMMYFUNCTION("""COMPUTED_VALUE"""),118.87)</f>
        <v>118.87</v>
      </c>
      <c r="C1245" s="1">
        <f ca="1">IFERROR(__xludf.DUMMYFUNCTION("""COMPUTED_VALUE"""),123)</f>
        <v>123</v>
      </c>
      <c r="D1245" s="1">
        <f ca="1">IFERROR(__xludf.DUMMYFUNCTION("""COMPUTED_VALUE"""),113.84)</f>
        <v>113.84</v>
      </c>
      <c r="E1245" s="1">
        <f ca="1">IFERROR(__xludf.DUMMYFUNCTION("""COMPUTED_VALUE"""),122.09)</f>
        <v>122.09</v>
      </c>
      <c r="F1245" s="1">
        <f ca="1">IFERROR(__xludf.DUMMYFUNCTION("""COMPUTED_VALUE"""),79465769)</f>
        <v>79465769</v>
      </c>
      <c r="G1245" s="5">
        <f t="shared" ca="1" si="57"/>
        <v>1.3842247522319582E-2</v>
      </c>
      <c r="H1245" s="14">
        <f t="shared" si="58"/>
        <v>2020</v>
      </c>
      <c r="I1245" s="5">
        <f t="shared" ca="1" si="59"/>
        <v>2.7088415916547478E-2</v>
      </c>
      <c r="J1245" s="16"/>
    </row>
    <row r="1246" spans="1:10" x14ac:dyDescent="0.2">
      <c r="A1246" s="3">
        <v>44084</v>
      </c>
      <c r="B1246" s="1">
        <f ca="1">IFERROR(__xludf.DUMMYFUNCTION("""COMPUTED_VALUE"""),128.74)</f>
        <v>128.74</v>
      </c>
      <c r="C1246" s="1">
        <f ca="1">IFERROR(__xludf.DUMMYFUNCTION("""COMPUTED_VALUE"""),133)</f>
        <v>133</v>
      </c>
      <c r="D1246" s="1">
        <f ca="1">IFERROR(__xludf.DUMMYFUNCTION("""COMPUTED_VALUE"""),120.19)</f>
        <v>120.19</v>
      </c>
      <c r="E1246" s="1">
        <f ca="1">IFERROR(__xludf.DUMMYFUNCTION("""COMPUTED_VALUE"""),123.78)</f>
        <v>123.78</v>
      </c>
      <c r="F1246" s="1">
        <f ca="1">IFERROR(__xludf.DUMMYFUNCTION("""COMPUTED_VALUE"""),84930608)</f>
        <v>84930608</v>
      </c>
      <c r="G1246" s="5">
        <f t="shared" ca="1" si="57"/>
        <v>3.7162708030375967E-3</v>
      </c>
      <c r="H1246" s="14">
        <f t="shared" si="58"/>
        <v>2020</v>
      </c>
      <c r="I1246" s="5">
        <f t="shared" ca="1" si="59"/>
        <v>-3.8527264253534317E-2</v>
      </c>
      <c r="J1246" s="16"/>
    </row>
    <row r="1247" spans="1:10" x14ac:dyDescent="0.2">
      <c r="A1247" s="3">
        <v>44085</v>
      </c>
      <c r="B1247" s="1">
        <f ca="1">IFERROR(__xludf.DUMMYFUNCTION("""COMPUTED_VALUE"""),127.31)</f>
        <v>127.31</v>
      </c>
      <c r="C1247" s="1">
        <f ca="1">IFERROR(__xludf.DUMMYFUNCTION("""COMPUTED_VALUE"""),127.5)</f>
        <v>127.5</v>
      </c>
      <c r="D1247" s="1">
        <f ca="1">IFERROR(__xludf.DUMMYFUNCTION("""COMPUTED_VALUE"""),120.17)</f>
        <v>120.17</v>
      </c>
      <c r="E1247" s="1">
        <f ca="1">IFERROR(__xludf.DUMMYFUNCTION("""COMPUTED_VALUE"""),124.24)</f>
        <v>124.24</v>
      </c>
      <c r="F1247" s="1">
        <f ca="1">IFERROR(__xludf.DUMMYFUNCTION("""COMPUTED_VALUE"""),60717459)</f>
        <v>60717459</v>
      </c>
      <c r="G1247" s="5">
        <f t="shared" ca="1" si="57"/>
        <v>0.12580489375402454</v>
      </c>
      <c r="H1247" s="14">
        <f t="shared" si="58"/>
        <v>2020</v>
      </c>
      <c r="I1247" s="5">
        <f t="shared" ca="1" si="59"/>
        <v>-2.4114366506951593E-2</v>
      </c>
      <c r="J1247" s="16"/>
    </row>
    <row r="1248" spans="1:10" x14ac:dyDescent="0.2">
      <c r="A1248" s="3">
        <v>44088</v>
      </c>
      <c r="B1248" s="1">
        <f ca="1">IFERROR(__xludf.DUMMYFUNCTION("""COMPUTED_VALUE"""),126.98)</f>
        <v>126.98</v>
      </c>
      <c r="C1248" s="1">
        <f ca="1">IFERROR(__xludf.DUMMYFUNCTION("""COMPUTED_VALUE"""),140)</f>
        <v>140</v>
      </c>
      <c r="D1248" s="1">
        <f ca="1">IFERROR(__xludf.DUMMYFUNCTION("""COMPUTED_VALUE"""),124.43)</f>
        <v>124.43</v>
      </c>
      <c r="E1248" s="1">
        <f ca="1">IFERROR(__xludf.DUMMYFUNCTION("""COMPUTED_VALUE"""),139.87)</f>
        <v>139.87</v>
      </c>
      <c r="F1248" s="1">
        <f ca="1">IFERROR(__xludf.DUMMYFUNCTION("""COMPUTED_VALUE"""),83020608)</f>
        <v>83020608</v>
      </c>
      <c r="G1248" s="5">
        <f t="shared" ca="1" si="57"/>
        <v>7.1852434403374438E-2</v>
      </c>
      <c r="H1248" s="14">
        <f t="shared" si="58"/>
        <v>2020</v>
      </c>
      <c r="I1248" s="5">
        <f t="shared" ca="1" si="59"/>
        <v>0.1015120491415971</v>
      </c>
      <c r="J1248" s="16"/>
    </row>
    <row r="1249" spans="1:10" x14ac:dyDescent="0.2">
      <c r="A1249" s="3">
        <v>44089</v>
      </c>
      <c r="B1249" s="1">
        <f ca="1">IFERROR(__xludf.DUMMYFUNCTION("""COMPUTED_VALUE"""),145.52)</f>
        <v>145.52000000000001</v>
      </c>
      <c r="C1249" s="1">
        <f ca="1">IFERROR(__xludf.DUMMYFUNCTION("""COMPUTED_VALUE"""),153.98)</f>
        <v>153.97999999999999</v>
      </c>
      <c r="D1249" s="1">
        <f ca="1">IFERROR(__xludf.DUMMYFUNCTION("""COMPUTED_VALUE"""),143.57)</f>
        <v>143.57</v>
      </c>
      <c r="E1249" s="1">
        <f ca="1">IFERROR(__xludf.DUMMYFUNCTION("""COMPUTED_VALUE"""),149.92)</f>
        <v>149.91999999999999</v>
      </c>
      <c r="F1249" s="1">
        <f ca="1">IFERROR(__xludf.DUMMYFUNCTION("""COMPUTED_VALUE"""),97298228)</f>
        <v>97298228</v>
      </c>
      <c r="G1249" s="5">
        <f t="shared" ca="1" si="57"/>
        <v>-1.7809498399146129E-2</v>
      </c>
      <c r="H1249" s="14">
        <f t="shared" si="58"/>
        <v>2020</v>
      </c>
      <c r="I1249" s="5">
        <f t="shared" ca="1" si="59"/>
        <v>3.0236393622869551E-2</v>
      </c>
      <c r="J1249" s="16"/>
    </row>
    <row r="1250" spans="1:10" x14ac:dyDescent="0.2">
      <c r="A1250" s="3">
        <v>44090</v>
      </c>
      <c r="B1250" s="1">
        <f ca="1">IFERROR(__xludf.DUMMYFUNCTION("""COMPUTED_VALUE"""),146.62)</f>
        <v>146.62</v>
      </c>
      <c r="C1250" s="1">
        <f ca="1">IFERROR(__xludf.DUMMYFUNCTION("""COMPUTED_VALUE"""),152.6)</f>
        <v>152.6</v>
      </c>
      <c r="D1250" s="1">
        <f ca="1">IFERROR(__xludf.DUMMYFUNCTION("""COMPUTED_VALUE"""),145.1)</f>
        <v>145.1</v>
      </c>
      <c r="E1250" s="1">
        <f ca="1">IFERROR(__xludf.DUMMYFUNCTION("""COMPUTED_VALUE"""),147.25)</f>
        <v>147.25</v>
      </c>
      <c r="F1250" s="1">
        <f ca="1">IFERROR(__xludf.DUMMYFUNCTION("""COMPUTED_VALUE"""),72546760)</f>
        <v>72546760</v>
      </c>
      <c r="G1250" s="5">
        <f t="shared" ca="1" si="57"/>
        <v>-4.149405772495765E-2</v>
      </c>
      <c r="H1250" s="14">
        <f t="shared" si="58"/>
        <v>2020</v>
      </c>
      <c r="I1250" s="5">
        <f t="shared" ca="1" si="59"/>
        <v>4.2968217160005142E-3</v>
      </c>
      <c r="J1250" s="16"/>
    </row>
    <row r="1251" spans="1:10" x14ac:dyDescent="0.2">
      <c r="A1251" s="3">
        <v>44091</v>
      </c>
      <c r="B1251" s="1">
        <f ca="1">IFERROR(__xludf.DUMMYFUNCTION("""COMPUTED_VALUE"""),138.53)</f>
        <v>138.53</v>
      </c>
      <c r="C1251" s="1">
        <f ca="1">IFERROR(__xludf.DUMMYFUNCTION("""COMPUTED_VALUE"""),145.93)</f>
        <v>145.93</v>
      </c>
      <c r="D1251" s="1">
        <f ca="1">IFERROR(__xludf.DUMMYFUNCTION("""COMPUTED_VALUE"""),136)</f>
        <v>136</v>
      </c>
      <c r="E1251" s="1">
        <f ca="1">IFERROR(__xludf.DUMMYFUNCTION("""COMPUTED_VALUE"""),141.14)</f>
        <v>141.13999999999999</v>
      </c>
      <c r="F1251" s="1">
        <f ca="1">IFERROR(__xludf.DUMMYFUNCTION("""COMPUTED_VALUE"""),76779163)</f>
        <v>76779163</v>
      </c>
      <c r="G1251" s="5">
        <f t="shared" ca="1" si="57"/>
        <v>4.4211421283831723E-2</v>
      </c>
      <c r="H1251" s="14">
        <f t="shared" si="58"/>
        <v>2020</v>
      </c>
      <c r="I1251" s="5">
        <f t="shared" ca="1" si="59"/>
        <v>1.8840684328304231E-2</v>
      </c>
      <c r="J1251" s="16"/>
    </row>
    <row r="1252" spans="1:10" x14ac:dyDescent="0.2">
      <c r="A1252" s="3">
        <v>44092</v>
      </c>
      <c r="B1252" s="1">
        <f ca="1">IFERROR(__xludf.DUMMYFUNCTION("""COMPUTED_VALUE"""),149.31)</f>
        <v>149.31</v>
      </c>
      <c r="C1252" s="1">
        <f ca="1">IFERROR(__xludf.DUMMYFUNCTION("""COMPUTED_VALUE"""),150.33)</f>
        <v>150.33000000000001</v>
      </c>
      <c r="D1252" s="1">
        <f ca="1">IFERROR(__xludf.DUMMYFUNCTION("""COMPUTED_VALUE"""),142.93)</f>
        <v>142.93</v>
      </c>
      <c r="E1252" s="1">
        <f ca="1">IFERROR(__xludf.DUMMYFUNCTION("""COMPUTED_VALUE"""),147.38)</f>
        <v>147.38</v>
      </c>
      <c r="F1252" s="1">
        <f ca="1">IFERROR(__xludf.DUMMYFUNCTION("""COMPUTED_VALUE"""),86406819)</f>
        <v>86406819</v>
      </c>
      <c r="G1252" s="5">
        <f t="shared" ca="1" si="57"/>
        <v>1.6420138417695861E-2</v>
      </c>
      <c r="H1252" s="14">
        <f t="shared" si="58"/>
        <v>2020</v>
      </c>
      <c r="I1252" s="5">
        <f t="shared" ca="1" si="59"/>
        <v>-1.2926126850177529E-2</v>
      </c>
      <c r="J1252" s="16"/>
    </row>
    <row r="1253" spans="1:10" x14ac:dyDescent="0.2">
      <c r="A1253" s="3">
        <v>44095</v>
      </c>
      <c r="B1253" s="1">
        <f ca="1">IFERROR(__xludf.DUMMYFUNCTION("""COMPUTED_VALUE"""),151.04)</f>
        <v>151.04</v>
      </c>
      <c r="C1253" s="1">
        <f ca="1">IFERROR(__xludf.DUMMYFUNCTION("""COMPUTED_VALUE"""),151.89)</f>
        <v>151.88999999999999</v>
      </c>
      <c r="D1253" s="1">
        <f ca="1">IFERROR(__xludf.DUMMYFUNCTION("""COMPUTED_VALUE"""),135.69)</f>
        <v>135.69</v>
      </c>
      <c r="E1253" s="1">
        <f ca="1">IFERROR(__xludf.DUMMYFUNCTION("""COMPUTED_VALUE"""),149.8)</f>
        <v>149.80000000000001</v>
      </c>
      <c r="F1253" s="1">
        <f ca="1">IFERROR(__xludf.DUMMYFUNCTION("""COMPUTED_VALUE"""),109476800)</f>
        <v>109476800</v>
      </c>
      <c r="G1253" s="5">
        <f t="shared" ca="1" si="57"/>
        <v>-5.6008010680907973E-2</v>
      </c>
      <c r="H1253" s="14">
        <f t="shared" si="58"/>
        <v>2020</v>
      </c>
      <c r="I1253" s="5">
        <f t="shared" ca="1" si="59"/>
        <v>-8.2097457627117367E-3</v>
      </c>
      <c r="J1253" s="16"/>
    </row>
    <row r="1254" spans="1:10" x14ac:dyDescent="0.2">
      <c r="A1254" s="3">
        <v>44096</v>
      </c>
      <c r="B1254" s="1">
        <f ca="1">IFERROR(__xludf.DUMMYFUNCTION("""COMPUTED_VALUE"""),143.2)</f>
        <v>143.19999999999999</v>
      </c>
      <c r="C1254" s="1">
        <f ca="1">IFERROR(__xludf.DUMMYFUNCTION("""COMPUTED_VALUE"""),145.92)</f>
        <v>145.91999999999999</v>
      </c>
      <c r="D1254" s="1">
        <f ca="1">IFERROR(__xludf.DUMMYFUNCTION("""COMPUTED_VALUE"""),139.2)</f>
        <v>139.19999999999999</v>
      </c>
      <c r="E1254" s="1">
        <f ca="1">IFERROR(__xludf.DUMMYFUNCTION("""COMPUTED_VALUE"""),141.41)</f>
        <v>141.41</v>
      </c>
      <c r="F1254" s="1">
        <f ca="1">IFERROR(__xludf.DUMMYFUNCTION("""COMPUTED_VALUE"""),79580795)</f>
        <v>79580795</v>
      </c>
      <c r="G1254" s="5">
        <f t="shared" ca="1" si="57"/>
        <v>-0.10338731348560916</v>
      </c>
      <c r="H1254" s="14">
        <f t="shared" si="58"/>
        <v>2020</v>
      </c>
      <c r="I1254" s="5">
        <f t="shared" ca="1" si="59"/>
        <v>-1.2499999999999945E-2</v>
      </c>
      <c r="J1254" s="16"/>
    </row>
    <row r="1255" spans="1:10" x14ac:dyDescent="0.2">
      <c r="A1255" s="3">
        <v>44097</v>
      </c>
      <c r="B1255" s="1">
        <f ca="1">IFERROR(__xludf.DUMMYFUNCTION("""COMPUTED_VALUE"""),135.05)</f>
        <v>135.05000000000001</v>
      </c>
      <c r="C1255" s="1">
        <f ca="1">IFERROR(__xludf.DUMMYFUNCTION("""COMPUTED_VALUE"""),137.38)</f>
        <v>137.38</v>
      </c>
      <c r="D1255" s="1">
        <f ca="1">IFERROR(__xludf.DUMMYFUNCTION("""COMPUTED_VALUE"""),125.29)</f>
        <v>125.29</v>
      </c>
      <c r="E1255" s="1">
        <f ca="1">IFERROR(__xludf.DUMMYFUNCTION("""COMPUTED_VALUE"""),126.79)</f>
        <v>126.79</v>
      </c>
      <c r="F1255" s="1">
        <f ca="1">IFERROR(__xludf.DUMMYFUNCTION("""COMPUTED_VALUE"""),95074176)</f>
        <v>95074176</v>
      </c>
      <c r="G1255" s="5">
        <f t="shared" ca="1" si="57"/>
        <v>1.9481031627099805E-2</v>
      </c>
      <c r="H1255" s="14">
        <f t="shared" si="58"/>
        <v>2020</v>
      </c>
      <c r="I1255" s="5">
        <f t="shared" ca="1" si="59"/>
        <v>-6.1162532395409142E-2</v>
      </c>
      <c r="J1255" s="16"/>
    </row>
    <row r="1256" spans="1:10" x14ac:dyDescent="0.2">
      <c r="A1256" s="3">
        <v>44098</v>
      </c>
      <c r="B1256" s="1">
        <f ca="1">IFERROR(__xludf.DUMMYFUNCTION("""COMPUTED_VALUE"""),121.27)</f>
        <v>121.27</v>
      </c>
      <c r="C1256" s="1">
        <f ca="1">IFERROR(__xludf.DUMMYFUNCTION("""COMPUTED_VALUE"""),133.17)</f>
        <v>133.16999999999999</v>
      </c>
      <c r="D1256" s="1">
        <f ca="1">IFERROR(__xludf.DUMMYFUNCTION("""COMPUTED_VALUE"""),117.1)</f>
        <v>117.1</v>
      </c>
      <c r="E1256" s="1">
        <f ca="1">IFERROR(__xludf.DUMMYFUNCTION("""COMPUTED_VALUE"""),129.26)</f>
        <v>129.26</v>
      </c>
      <c r="F1256" s="1">
        <f ca="1">IFERROR(__xludf.DUMMYFUNCTION("""COMPUTED_VALUE"""),96561061)</f>
        <v>96561061</v>
      </c>
      <c r="G1256" s="5">
        <f t="shared" ca="1" si="57"/>
        <v>5.0440971684976098E-2</v>
      </c>
      <c r="H1256" s="14">
        <f t="shared" si="58"/>
        <v>2020</v>
      </c>
      <c r="I1256" s="5">
        <f t="shared" ca="1" si="59"/>
        <v>6.5886039416178738E-2</v>
      </c>
      <c r="J1256" s="16"/>
    </row>
    <row r="1257" spans="1:10" x14ac:dyDescent="0.2">
      <c r="A1257" s="3">
        <v>44099</v>
      </c>
      <c r="B1257" s="1">
        <f ca="1">IFERROR(__xludf.DUMMYFUNCTION("""COMPUTED_VALUE"""),131.16)</f>
        <v>131.16</v>
      </c>
      <c r="C1257" s="1">
        <f ca="1">IFERROR(__xludf.DUMMYFUNCTION("""COMPUTED_VALUE"""),136.24)</f>
        <v>136.24</v>
      </c>
      <c r="D1257" s="1">
        <f ca="1">IFERROR(__xludf.DUMMYFUNCTION("""COMPUTED_VALUE"""),130.43)</f>
        <v>130.43</v>
      </c>
      <c r="E1257" s="1">
        <f ca="1">IFERROR(__xludf.DUMMYFUNCTION("""COMPUTED_VALUE"""),135.78)</f>
        <v>135.78</v>
      </c>
      <c r="F1257" s="1">
        <f ca="1">IFERROR(__xludf.DUMMYFUNCTION("""COMPUTED_VALUE"""),67208459)</f>
        <v>67208459</v>
      </c>
      <c r="G1257" s="5">
        <f t="shared" ca="1" si="57"/>
        <v>3.4025629695095039E-2</v>
      </c>
      <c r="H1257" s="14">
        <f t="shared" si="58"/>
        <v>2020</v>
      </c>
      <c r="I1257" s="5">
        <f t="shared" ca="1" si="59"/>
        <v>3.5224153705398026E-2</v>
      </c>
      <c r="J1257" s="16"/>
    </row>
    <row r="1258" spans="1:10" x14ac:dyDescent="0.2">
      <c r="A1258" s="3">
        <v>44102</v>
      </c>
      <c r="B1258" s="1">
        <f ca="1">IFERROR(__xludf.DUMMYFUNCTION("""COMPUTED_VALUE"""),141.54)</f>
        <v>141.54</v>
      </c>
      <c r="C1258" s="1">
        <f ca="1">IFERROR(__xludf.DUMMYFUNCTION("""COMPUTED_VALUE"""),142.69)</f>
        <v>142.69</v>
      </c>
      <c r="D1258" s="1">
        <f ca="1">IFERROR(__xludf.DUMMYFUNCTION("""COMPUTED_VALUE"""),138.52)</f>
        <v>138.52000000000001</v>
      </c>
      <c r="E1258" s="1">
        <f ca="1">IFERROR(__xludf.DUMMYFUNCTION("""COMPUTED_VALUE"""),140.4)</f>
        <v>140.4</v>
      </c>
      <c r="F1258" s="1">
        <f ca="1">IFERROR(__xludf.DUMMYFUNCTION("""COMPUTED_VALUE"""),49719561)</f>
        <v>49719561</v>
      </c>
      <c r="G1258" s="5">
        <f t="shared" ca="1" si="57"/>
        <v>-5.0569800569801133E-3</v>
      </c>
      <c r="H1258" s="14">
        <f t="shared" si="58"/>
        <v>2020</v>
      </c>
      <c r="I1258" s="5">
        <f t="shared" ca="1" si="59"/>
        <v>-8.054260279779471E-3</v>
      </c>
      <c r="J1258" s="16"/>
    </row>
    <row r="1259" spans="1:10" x14ac:dyDescent="0.2">
      <c r="A1259" s="3">
        <v>44103</v>
      </c>
      <c r="B1259" s="1">
        <f ca="1">IFERROR(__xludf.DUMMYFUNCTION("""COMPUTED_VALUE"""),138.67)</f>
        <v>138.66999999999999</v>
      </c>
      <c r="C1259" s="1">
        <f ca="1">IFERROR(__xludf.DUMMYFUNCTION("""COMPUTED_VALUE"""),142.83)</f>
        <v>142.83000000000001</v>
      </c>
      <c r="D1259" s="1">
        <f ca="1">IFERROR(__xludf.DUMMYFUNCTION("""COMPUTED_VALUE"""),137.2)</f>
        <v>137.19999999999999</v>
      </c>
      <c r="E1259" s="1">
        <f ca="1">IFERROR(__xludf.DUMMYFUNCTION("""COMPUTED_VALUE"""),139.69)</f>
        <v>139.69</v>
      </c>
      <c r="F1259" s="1">
        <f ca="1">IFERROR(__xludf.DUMMYFUNCTION("""COMPUTED_VALUE"""),50341404)</f>
        <v>50341404</v>
      </c>
      <c r="G1259" s="5">
        <f t="shared" ca="1" si="57"/>
        <v>2.3695325363304477E-2</v>
      </c>
      <c r="H1259" s="14">
        <f t="shared" si="58"/>
        <v>2020</v>
      </c>
      <c r="I1259" s="5">
        <f t="shared" ca="1" si="59"/>
        <v>7.3555924136439769E-3</v>
      </c>
      <c r="J1259" s="16"/>
    </row>
    <row r="1260" spans="1:10" x14ac:dyDescent="0.2">
      <c r="A1260" s="3">
        <v>44104</v>
      </c>
      <c r="B1260" s="1">
        <f ca="1">IFERROR(__xludf.DUMMYFUNCTION("""COMPUTED_VALUE"""),140.44)</f>
        <v>140.44</v>
      </c>
      <c r="C1260" s="1">
        <f ca="1">IFERROR(__xludf.DUMMYFUNCTION("""COMPUTED_VALUE"""),144.64)</f>
        <v>144.63999999999999</v>
      </c>
      <c r="D1260" s="1">
        <f ca="1">IFERROR(__xludf.DUMMYFUNCTION("""COMPUTED_VALUE"""),140.16)</f>
        <v>140.16</v>
      </c>
      <c r="E1260" s="1">
        <f ca="1">IFERROR(__xludf.DUMMYFUNCTION("""COMPUTED_VALUE"""),143)</f>
        <v>143</v>
      </c>
      <c r="F1260" s="1">
        <f ca="1">IFERROR(__xludf.DUMMYFUNCTION("""COMPUTED_VALUE"""),48145566)</f>
        <v>48145566</v>
      </c>
      <c r="G1260" s="5">
        <f t="shared" ca="1" si="57"/>
        <v>4.4685314685314587E-2</v>
      </c>
      <c r="H1260" s="14">
        <f t="shared" si="58"/>
        <v>2020</v>
      </c>
      <c r="I1260" s="5">
        <f t="shared" ca="1" si="59"/>
        <v>1.8228424950156669E-2</v>
      </c>
      <c r="J1260" s="16"/>
    </row>
    <row r="1261" spans="1:10" x14ac:dyDescent="0.2">
      <c r="A1261" s="3">
        <v>44105</v>
      </c>
      <c r="B1261" s="1">
        <f ca="1">IFERROR(__xludf.DUMMYFUNCTION("""COMPUTED_VALUE"""),146.92)</f>
        <v>146.91999999999999</v>
      </c>
      <c r="C1261" s="1">
        <f ca="1">IFERROR(__xludf.DUMMYFUNCTION("""COMPUTED_VALUE"""),149.63)</f>
        <v>149.63</v>
      </c>
      <c r="D1261" s="1">
        <f ca="1">IFERROR(__xludf.DUMMYFUNCTION("""COMPUTED_VALUE"""),144.81)</f>
        <v>144.81</v>
      </c>
      <c r="E1261" s="1">
        <f ca="1">IFERROR(__xludf.DUMMYFUNCTION("""COMPUTED_VALUE"""),149.39)</f>
        <v>149.38999999999999</v>
      </c>
      <c r="F1261" s="1">
        <f ca="1">IFERROR(__xludf.DUMMYFUNCTION("""COMPUTED_VALUE"""),50741454)</f>
        <v>50741454</v>
      </c>
      <c r="G1261" s="5">
        <f t="shared" ca="1" si="57"/>
        <v>-7.3833589932391544E-2</v>
      </c>
      <c r="H1261" s="14">
        <f t="shared" si="58"/>
        <v>2020</v>
      </c>
      <c r="I1261" s="5">
        <f t="shared" ca="1" si="59"/>
        <v>1.681187040566294E-2</v>
      </c>
      <c r="J1261" s="16"/>
    </row>
    <row r="1262" spans="1:10" x14ac:dyDescent="0.2">
      <c r="A1262" s="3">
        <v>44106</v>
      </c>
      <c r="B1262" s="1">
        <f ca="1">IFERROR(__xludf.DUMMYFUNCTION("""COMPUTED_VALUE"""),140.46)</f>
        <v>140.46</v>
      </c>
      <c r="C1262" s="1">
        <f ca="1">IFERROR(__xludf.DUMMYFUNCTION("""COMPUTED_VALUE"""),146.38)</f>
        <v>146.38</v>
      </c>
      <c r="D1262" s="1">
        <f ca="1">IFERROR(__xludf.DUMMYFUNCTION("""COMPUTED_VALUE"""),138.33)</f>
        <v>138.33000000000001</v>
      </c>
      <c r="E1262" s="1">
        <f ca="1">IFERROR(__xludf.DUMMYFUNCTION("""COMPUTED_VALUE"""),138.36)</f>
        <v>138.36000000000001</v>
      </c>
      <c r="F1262" s="1">
        <f ca="1">IFERROR(__xludf.DUMMYFUNCTION("""COMPUTED_VALUE"""),71430025)</f>
        <v>71430025</v>
      </c>
      <c r="G1262" s="5">
        <f t="shared" ca="1" si="57"/>
        <v>2.5513154090777482E-2</v>
      </c>
      <c r="H1262" s="14">
        <f t="shared" si="58"/>
        <v>2020</v>
      </c>
      <c r="I1262" s="5">
        <f t="shared" ca="1" si="59"/>
        <v>-1.4950875694147759E-2</v>
      </c>
      <c r="J1262" s="16"/>
    </row>
    <row r="1263" spans="1:10" x14ac:dyDescent="0.2">
      <c r="A1263" s="3">
        <v>44109</v>
      </c>
      <c r="B1263" s="1">
        <f ca="1">IFERROR(__xludf.DUMMYFUNCTION("""COMPUTED_VALUE"""),141.12)</f>
        <v>141.12</v>
      </c>
      <c r="C1263" s="1">
        <f ca="1">IFERROR(__xludf.DUMMYFUNCTION("""COMPUTED_VALUE"""),144.55)</f>
        <v>144.55000000000001</v>
      </c>
      <c r="D1263" s="1">
        <f ca="1">IFERROR(__xludf.DUMMYFUNCTION("""COMPUTED_VALUE"""),139.78)</f>
        <v>139.78</v>
      </c>
      <c r="E1263" s="1">
        <f ca="1">IFERROR(__xludf.DUMMYFUNCTION("""COMPUTED_VALUE"""),141.89)</f>
        <v>141.88999999999999</v>
      </c>
      <c r="F1263" s="1">
        <f ca="1">IFERROR(__xludf.DUMMYFUNCTION("""COMPUTED_VALUE"""),44722786)</f>
        <v>44722786</v>
      </c>
      <c r="G1263" s="5">
        <f t="shared" ca="1" si="57"/>
        <v>-2.7486080766791019E-2</v>
      </c>
      <c r="H1263" s="14">
        <f t="shared" si="58"/>
        <v>2020</v>
      </c>
      <c r="I1263" s="5">
        <f t="shared" ca="1" si="59"/>
        <v>5.4563492063490777E-3</v>
      </c>
      <c r="J1263" s="16"/>
    </row>
    <row r="1264" spans="1:10" x14ac:dyDescent="0.2">
      <c r="A1264" s="3">
        <v>44110</v>
      </c>
      <c r="B1264" s="1">
        <f ca="1">IFERROR(__xludf.DUMMYFUNCTION("""COMPUTED_VALUE"""),141.26)</f>
        <v>141.26</v>
      </c>
      <c r="C1264" s="1">
        <f ca="1">IFERROR(__xludf.DUMMYFUNCTION("""COMPUTED_VALUE"""),142.93)</f>
        <v>142.93</v>
      </c>
      <c r="D1264" s="1">
        <f ca="1">IFERROR(__xludf.DUMMYFUNCTION("""COMPUTED_VALUE"""),135.35)</f>
        <v>135.35</v>
      </c>
      <c r="E1264" s="1">
        <f ca="1">IFERROR(__xludf.DUMMYFUNCTION("""COMPUTED_VALUE"""),137.99)</f>
        <v>137.99</v>
      </c>
      <c r="F1264" s="1">
        <f ca="1">IFERROR(__xludf.DUMMYFUNCTION("""COMPUTED_VALUE"""),49146259)</f>
        <v>49146259</v>
      </c>
      <c r="G1264" s="5">
        <f t="shared" ca="1" si="57"/>
        <v>2.7393289368794847E-2</v>
      </c>
      <c r="H1264" s="14">
        <f t="shared" si="58"/>
        <v>2020</v>
      </c>
      <c r="I1264" s="5">
        <f t="shared" ca="1" si="59"/>
        <v>-2.314880362452203E-2</v>
      </c>
      <c r="J1264" s="16"/>
    </row>
    <row r="1265" spans="1:10" x14ac:dyDescent="0.2">
      <c r="A1265" s="3">
        <v>44111</v>
      </c>
      <c r="B1265" s="1">
        <f ca="1">IFERROR(__xludf.DUMMYFUNCTION("""COMPUTED_VALUE"""),139.96)</f>
        <v>139.96</v>
      </c>
      <c r="C1265" s="1">
        <f ca="1">IFERROR(__xludf.DUMMYFUNCTION("""COMPUTED_VALUE"""),143.3)</f>
        <v>143.30000000000001</v>
      </c>
      <c r="D1265" s="1">
        <f ca="1">IFERROR(__xludf.DUMMYFUNCTION("""COMPUTED_VALUE"""),137.95)</f>
        <v>137.94999999999999</v>
      </c>
      <c r="E1265" s="1">
        <f ca="1">IFERROR(__xludf.DUMMYFUNCTION("""COMPUTED_VALUE"""),141.77)</f>
        <v>141.77000000000001</v>
      </c>
      <c r="F1265" s="1">
        <f ca="1">IFERROR(__xludf.DUMMYFUNCTION("""COMPUTED_VALUE"""),43127709)</f>
        <v>43127709</v>
      </c>
      <c r="G1265" s="5">
        <f t="shared" ca="1" si="57"/>
        <v>1.4107356986667744E-3</v>
      </c>
      <c r="H1265" s="14">
        <f t="shared" si="58"/>
        <v>2020</v>
      </c>
      <c r="I1265" s="5">
        <f t="shared" ca="1" si="59"/>
        <v>1.2932266361817678E-2</v>
      </c>
      <c r="J1265" s="16"/>
    </row>
    <row r="1266" spans="1:10" x14ac:dyDescent="0.2">
      <c r="A1266" s="3">
        <v>44112</v>
      </c>
      <c r="B1266" s="1">
        <f ca="1">IFERROR(__xludf.DUMMYFUNCTION("""COMPUTED_VALUE"""),146.15)</f>
        <v>146.15</v>
      </c>
      <c r="C1266" s="1">
        <f ca="1">IFERROR(__xludf.DUMMYFUNCTION("""COMPUTED_VALUE"""),146.33)</f>
        <v>146.33000000000001</v>
      </c>
      <c r="D1266" s="1">
        <f ca="1">IFERROR(__xludf.DUMMYFUNCTION("""COMPUTED_VALUE"""),141.77)</f>
        <v>141.77000000000001</v>
      </c>
      <c r="E1266" s="1">
        <f ca="1">IFERROR(__xludf.DUMMYFUNCTION("""COMPUTED_VALUE"""),141.97)</f>
        <v>141.97</v>
      </c>
      <c r="F1266" s="1">
        <f ca="1">IFERROR(__xludf.DUMMYFUNCTION("""COMPUTED_VALUE"""),40421116)</f>
        <v>40421116</v>
      </c>
      <c r="G1266" s="5">
        <f t="shared" ca="1" si="57"/>
        <v>1.90181024160033E-2</v>
      </c>
      <c r="H1266" s="14">
        <f t="shared" si="58"/>
        <v>2020</v>
      </c>
      <c r="I1266" s="5">
        <f t="shared" ca="1" si="59"/>
        <v>-2.8600752651385609E-2</v>
      </c>
      <c r="J1266" s="16"/>
    </row>
    <row r="1267" spans="1:10" x14ac:dyDescent="0.2">
      <c r="A1267" s="3">
        <v>44113</v>
      </c>
      <c r="B1267" s="1">
        <f ca="1">IFERROR(__xludf.DUMMYFUNCTION("""COMPUTED_VALUE"""),143.38)</f>
        <v>143.38</v>
      </c>
      <c r="C1267" s="1">
        <f ca="1">IFERROR(__xludf.DUMMYFUNCTION("""COMPUTED_VALUE"""),144.86)</f>
        <v>144.86000000000001</v>
      </c>
      <c r="D1267" s="1">
        <f ca="1">IFERROR(__xludf.DUMMYFUNCTION("""COMPUTED_VALUE"""),142.15)</f>
        <v>142.15</v>
      </c>
      <c r="E1267" s="1">
        <f ca="1">IFERROR(__xludf.DUMMYFUNCTION("""COMPUTED_VALUE"""),144.67)</f>
        <v>144.66999999999999</v>
      </c>
      <c r="F1267" s="1">
        <f ca="1">IFERROR(__xludf.DUMMYFUNCTION("""COMPUTED_VALUE"""),28925656)</f>
        <v>28925656</v>
      </c>
      <c r="G1267" s="5">
        <f t="shared" ca="1" si="57"/>
        <v>1.9077901430842741E-2</v>
      </c>
      <c r="H1267" s="14">
        <f t="shared" si="58"/>
        <v>2020</v>
      </c>
      <c r="I1267" s="5">
        <f t="shared" ca="1" si="59"/>
        <v>8.997070721160497E-3</v>
      </c>
      <c r="J1267" s="16"/>
    </row>
    <row r="1268" spans="1:10" x14ac:dyDescent="0.2">
      <c r="A1268" s="3">
        <v>44116</v>
      </c>
      <c r="B1268" s="1">
        <f ca="1">IFERROR(__xludf.DUMMYFUNCTION("""COMPUTED_VALUE"""),147.33)</f>
        <v>147.33000000000001</v>
      </c>
      <c r="C1268" s="1">
        <f ca="1">IFERROR(__xludf.DUMMYFUNCTION("""COMPUTED_VALUE"""),149.58)</f>
        <v>149.58000000000001</v>
      </c>
      <c r="D1268" s="1">
        <f ca="1">IFERROR(__xludf.DUMMYFUNCTION("""COMPUTED_VALUE"""),146.19)</f>
        <v>146.19</v>
      </c>
      <c r="E1268" s="1">
        <f ca="1">IFERROR(__xludf.DUMMYFUNCTION("""COMPUTED_VALUE"""),147.43)</f>
        <v>147.43</v>
      </c>
      <c r="F1268" s="1">
        <f ca="1">IFERROR(__xludf.DUMMYFUNCTION("""COMPUTED_VALUE"""),38791133)</f>
        <v>38791133</v>
      </c>
      <c r="G1268" s="5">
        <f t="shared" ca="1" si="57"/>
        <v>9.8351760157362033E-3</v>
      </c>
      <c r="H1268" s="14">
        <f t="shared" si="58"/>
        <v>2020</v>
      </c>
      <c r="I1268" s="5">
        <f t="shared" ca="1" si="59"/>
        <v>6.7874838797253991E-4</v>
      </c>
      <c r="J1268" s="16"/>
    </row>
    <row r="1269" spans="1:10" x14ac:dyDescent="0.2">
      <c r="A1269" s="3">
        <v>44117</v>
      </c>
      <c r="B1269" s="1">
        <f ca="1">IFERROR(__xludf.DUMMYFUNCTION("""COMPUTED_VALUE"""),147.78)</f>
        <v>147.78</v>
      </c>
      <c r="C1269" s="1">
        <f ca="1">IFERROR(__xludf.DUMMYFUNCTION("""COMPUTED_VALUE"""),149.63)</f>
        <v>149.63</v>
      </c>
      <c r="D1269" s="1">
        <f ca="1">IFERROR(__xludf.DUMMYFUNCTION("""COMPUTED_VALUE"""),145.53)</f>
        <v>145.53</v>
      </c>
      <c r="E1269" s="1">
        <f ca="1">IFERROR(__xludf.DUMMYFUNCTION("""COMPUTED_VALUE"""),148.88)</f>
        <v>148.88</v>
      </c>
      <c r="F1269" s="1">
        <f ca="1">IFERROR(__xludf.DUMMYFUNCTION("""COMPUTED_VALUE"""),34463665)</f>
        <v>34463665</v>
      </c>
      <c r="G1269" s="5">
        <f t="shared" ca="1" si="57"/>
        <v>3.2845244492208589E-2</v>
      </c>
      <c r="H1269" s="14">
        <f t="shared" si="58"/>
        <v>2020</v>
      </c>
      <c r="I1269" s="5">
        <f t="shared" ca="1" si="59"/>
        <v>7.4434970902692811E-3</v>
      </c>
      <c r="J1269" s="16"/>
    </row>
    <row r="1270" spans="1:10" x14ac:dyDescent="0.2">
      <c r="A1270" s="3">
        <v>44118</v>
      </c>
      <c r="B1270" s="1">
        <f ca="1">IFERROR(__xludf.DUMMYFUNCTION("""COMPUTED_VALUE"""),149.93)</f>
        <v>149.93</v>
      </c>
      <c r="C1270" s="1">
        <f ca="1">IFERROR(__xludf.DUMMYFUNCTION("""COMPUTED_VALUE"""),155.3)</f>
        <v>155.30000000000001</v>
      </c>
      <c r="D1270" s="1">
        <f ca="1">IFERROR(__xludf.DUMMYFUNCTION("""COMPUTED_VALUE"""),149.12)</f>
        <v>149.12</v>
      </c>
      <c r="E1270" s="1">
        <f ca="1">IFERROR(__xludf.DUMMYFUNCTION("""COMPUTED_VALUE"""),153.77)</f>
        <v>153.77000000000001</v>
      </c>
      <c r="F1270" s="1">
        <f ca="1">IFERROR(__xludf.DUMMYFUNCTION("""COMPUTED_VALUE"""),48045394)</f>
        <v>48045394</v>
      </c>
      <c r="G1270" s="5">
        <f t="shared" ca="1" si="57"/>
        <v>-2.6923327046888303E-2</v>
      </c>
      <c r="H1270" s="14">
        <f t="shared" si="58"/>
        <v>2020</v>
      </c>
      <c r="I1270" s="5">
        <f t="shared" ca="1" si="59"/>
        <v>2.5611952244380731E-2</v>
      </c>
      <c r="J1270" s="16"/>
    </row>
    <row r="1271" spans="1:10" x14ac:dyDescent="0.2">
      <c r="A1271" s="3">
        <v>44119</v>
      </c>
      <c r="B1271" s="1">
        <f ca="1">IFERROR(__xludf.DUMMYFUNCTION("""COMPUTED_VALUE"""),150.1)</f>
        <v>150.1</v>
      </c>
      <c r="C1271" s="1">
        <f ca="1">IFERROR(__xludf.DUMMYFUNCTION("""COMPUTED_VALUE"""),152.19)</f>
        <v>152.19</v>
      </c>
      <c r="D1271" s="1">
        <f ca="1">IFERROR(__xludf.DUMMYFUNCTION("""COMPUTED_VALUE"""),147.5)</f>
        <v>147.5</v>
      </c>
      <c r="E1271" s="1">
        <f ca="1">IFERROR(__xludf.DUMMYFUNCTION("""COMPUTED_VALUE"""),149.63)</f>
        <v>149.63</v>
      </c>
      <c r="F1271" s="1">
        <f ca="1">IFERROR(__xludf.DUMMYFUNCTION("""COMPUTED_VALUE"""),35672354)</f>
        <v>35672354</v>
      </c>
      <c r="G1271" s="5">
        <f t="shared" ca="1" si="57"/>
        <v>-2.0517275947336718E-2</v>
      </c>
      <c r="H1271" s="14">
        <f t="shared" si="58"/>
        <v>2020</v>
      </c>
      <c r="I1271" s="5">
        <f t="shared" ca="1" si="59"/>
        <v>-3.131245836109253E-3</v>
      </c>
      <c r="J1271" s="16"/>
    </row>
    <row r="1272" spans="1:10" x14ac:dyDescent="0.2">
      <c r="A1272" s="3">
        <v>44120</v>
      </c>
      <c r="B1272" s="1">
        <f ca="1">IFERROR(__xludf.DUMMYFUNCTION("""COMPUTED_VALUE"""),151.48)</f>
        <v>151.47999999999999</v>
      </c>
      <c r="C1272" s="1">
        <f ca="1">IFERROR(__xludf.DUMMYFUNCTION("""COMPUTED_VALUE"""),151.98)</f>
        <v>151.97999999999999</v>
      </c>
      <c r="D1272" s="1">
        <f ca="1">IFERROR(__xludf.DUMMYFUNCTION("""COMPUTED_VALUE"""),146.28)</f>
        <v>146.28</v>
      </c>
      <c r="E1272" s="1">
        <f ca="1">IFERROR(__xludf.DUMMYFUNCTION("""COMPUTED_VALUE"""),146.56)</f>
        <v>146.56</v>
      </c>
      <c r="F1272" s="1">
        <f ca="1">IFERROR(__xludf.DUMMYFUNCTION("""COMPUTED_VALUE"""),32775879)</f>
        <v>32775879</v>
      </c>
      <c r="G1272" s="5">
        <f t="shared" ca="1" si="57"/>
        <v>-2.0128275109170229E-2</v>
      </c>
      <c r="H1272" s="14">
        <f t="shared" si="58"/>
        <v>2020</v>
      </c>
      <c r="I1272" s="5">
        <f t="shared" ca="1" si="59"/>
        <v>-3.2479535252178428E-2</v>
      </c>
      <c r="J1272" s="16"/>
    </row>
    <row r="1273" spans="1:10" x14ac:dyDescent="0.2">
      <c r="A1273" s="3">
        <v>44123</v>
      </c>
      <c r="B1273" s="1">
        <f ca="1">IFERROR(__xludf.DUMMYFUNCTION("""COMPUTED_VALUE"""),148.75)</f>
        <v>148.75</v>
      </c>
      <c r="C1273" s="1">
        <f ca="1">IFERROR(__xludf.DUMMYFUNCTION("""COMPUTED_VALUE"""),149)</f>
        <v>149</v>
      </c>
      <c r="D1273" s="1">
        <f ca="1">IFERROR(__xludf.DUMMYFUNCTION("""COMPUTED_VALUE"""),142.96)</f>
        <v>142.96</v>
      </c>
      <c r="E1273" s="1">
        <f ca="1">IFERROR(__xludf.DUMMYFUNCTION("""COMPUTED_VALUE"""),143.61)</f>
        <v>143.61000000000001</v>
      </c>
      <c r="F1273" s="1">
        <f ca="1">IFERROR(__xludf.DUMMYFUNCTION("""COMPUTED_VALUE"""),36287843)</f>
        <v>36287843</v>
      </c>
      <c r="G1273" s="5">
        <f t="shared" ca="1" si="57"/>
        <v>-2.0611378037741157E-2</v>
      </c>
      <c r="H1273" s="14">
        <f t="shared" si="58"/>
        <v>2020</v>
      </c>
      <c r="I1273" s="5">
        <f t="shared" ca="1" si="59"/>
        <v>-3.4554621848739406E-2</v>
      </c>
      <c r="J1273" s="16"/>
    </row>
    <row r="1274" spans="1:10" x14ac:dyDescent="0.2">
      <c r="A1274" s="3">
        <v>44124</v>
      </c>
      <c r="B1274" s="1">
        <f ca="1">IFERROR(__xludf.DUMMYFUNCTION("""COMPUTED_VALUE"""),143.92)</f>
        <v>143.91999999999999</v>
      </c>
      <c r="C1274" s="1">
        <f ca="1">IFERROR(__xludf.DUMMYFUNCTION("""COMPUTED_VALUE"""),143.92)</f>
        <v>143.91999999999999</v>
      </c>
      <c r="D1274" s="1">
        <f ca="1">IFERROR(__xludf.DUMMYFUNCTION("""COMPUTED_VALUE"""),139.68)</f>
        <v>139.68</v>
      </c>
      <c r="E1274" s="1">
        <f ca="1">IFERROR(__xludf.DUMMYFUNCTION("""COMPUTED_VALUE"""),140.65)</f>
        <v>140.65</v>
      </c>
      <c r="F1274" s="1">
        <f ca="1">IFERROR(__xludf.DUMMYFUNCTION("""COMPUTED_VALUE"""),31656289)</f>
        <v>31656289</v>
      </c>
      <c r="G1274" s="5">
        <f t="shared" ca="1" si="57"/>
        <v>1.6352648418058284E-3</v>
      </c>
      <c r="H1274" s="14">
        <f t="shared" si="58"/>
        <v>2020</v>
      </c>
      <c r="I1274" s="5">
        <f t="shared" ca="1" si="59"/>
        <v>-2.2720956086714716E-2</v>
      </c>
      <c r="J1274" s="16"/>
    </row>
    <row r="1275" spans="1:10" x14ac:dyDescent="0.2">
      <c r="A1275" s="3">
        <v>44125</v>
      </c>
      <c r="B1275" s="1">
        <f ca="1">IFERROR(__xludf.DUMMYFUNCTION("""COMPUTED_VALUE"""),140.9)</f>
        <v>140.9</v>
      </c>
      <c r="C1275" s="1">
        <f ca="1">IFERROR(__xludf.DUMMYFUNCTION("""COMPUTED_VALUE"""),144.32)</f>
        <v>144.32</v>
      </c>
      <c r="D1275" s="1">
        <f ca="1">IFERROR(__xludf.DUMMYFUNCTION("""COMPUTED_VALUE"""),140.42)</f>
        <v>140.41999999999999</v>
      </c>
      <c r="E1275" s="1">
        <f ca="1">IFERROR(__xludf.DUMMYFUNCTION("""COMPUTED_VALUE"""),140.88)</f>
        <v>140.88</v>
      </c>
      <c r="F1275" s="1">
        <f ca="1">IFERROR(__xludf.DUMMYFUNCTION("""COMPUTED_VALUE"""),32370461)</f>
        <v>32370461</v>
      </c>
      <c r="G1275" s="5">
        <f t="shared" ca="1" si="57"/>
        <v>7.4531516183987184E-3</v>
      </c>
      <c r="H1275" s="14">
        <f t="shared" si="58"/>
        <v>2020</v>
      </c>
      <c r="I1275" s="5">
        <f t="shared" ca="1" si="59"/>
        <v>-1.4194464158985261E-4</v>
      </c>
      <c r="J1275" s="16"/>
    </row>
    <row r="1276" spans="1:10" x14ac:dyDescent="0.2">
      <c r="A1276" s="3">
        <v>44126</v>
      </c>
      <c r="B1276" s="1">
        <f ca="1">IFERROR(__xludf.DUMMYFUNCTION("""COMPUTED_VALUE"""),147.31)</f>
        <v>147.31</v>
      </c>
      <c r="C1276" s="1">
        <f ca="1">IFERROR(__xludf.DUMMYFUNCTION("""COMPUTED_VALUE"""),148.41)</f>
        <v>148.41</v>
      </c>
      <c r="D1276" s="1">
        <f ca="1">IFERROR(__xludf.DUMMYFUNCTION("""COMPUTED_VALUE"""),141.5)</f>
        <v>141.5</v>
      </c>
      <c r="E1276" s="1">
        <f ca="1">IFERROR(__xludf.DUMMYFUNCTION("""COMPUTED_VALUE"""),141.93)</f>
        <v>141.93</v>
      </c>
      <c r="F1276" s="1">
        <f ca="1">IFERROR(__xludf.DUMMYFUNCTION("""COMPUTED_VALUE"""),39993191)</f>
        <v>39993191</v>
      </c>
      <c r="G1276" s="5">
        <f t="shared" ca="1" si="57"/>
        <v>-1.2118650038751488E-2</v>
      </c>
      <c r="H1276" s="14">
        <f t="shared" si="58"/>
        <v>2020</v>
      </c>
      <c r="I1276" s="5">
        <f t="shared" ca="1" si="59"/>
        <v>-3.652162107121034E-2</v>
      </c>
      <c r="J1276" s="16"/>
    </row>
    <row r="1277" spans="1:10" x14ac:dyDescent="0.2">
      <c r="A1277" s="3">
        <v>44127</v>
      </c>
      <c r="B1277" s="1">
        <f ca="1">IFERROR(__xludf.DUMMYFUNCTION("""COMPUTED_VALUE"""),140.61)</f>
        <v>140.61000000000001</v>
      </c>
      <c r="C1277" s="1">
        <f ca="1">IFERROR(__xludf.DUMMYFUNCTION("""COMPUTED_VALUE"""),140.96)</f>
        <v>140.96</v>
      </c>
      <c r="D1277" s="1">
        <f ca="1">IFERROR(__xludf.DUMMYFUNCTION("""COMPUTED_VALUE"""),135.79)</f>
        <v>135.79</v>
      </c>
      <c r="E1277" s="1">
        <f ca="1">IFERROR(__xludf.DUMMYFUNCTION("""COMPUTED_VALUE"""),140.21)</f>
        <v>140.21</v>
      </c>
      <c r="F1277" s="1">
        <f ca="1">IFERROR(__xludf.DUMMYFUNCTION("""COMPUTED_VALUE"""),33716980)</f>
        <v>33716980</v>
      </c>
      <c r="G1277" s="5">
        <f t="shared" ca="1" si="57"/>
        <v>-8.5585906854007947E-4</v>
      </c>
      <c r="H1277" s="14">
        <f t="shared" si="58"/>
        <v>2020</v>
      </c>
      <c r="I1277" s="5">
        <f t="shared" ca="1" si="59"/>
        <v>-2.8447478842188014E-3</v>
      </c>
      <c r="J1277" s="16"/>
    </row>
    <row r="1278" spans="1:10" x14ac:dyDescent="0.2">
      <c r="A1278" s="3">
        <v>44130</v>
      </c>
      <c r="B1278" s="1">
        <f ca="1">IFERROR(__xludf.DUMMYFUNCTION("""COMPUTED_VALUE"""),137.21)</f>
        <v>137.21</v>
      </c>
      <c r="C1278" s="1">
        <f ca="1">IFERROR(__xludf.DUMMYFUNCTION("""COMPUTED_VALUE"""),141.92)</f>
        <v>141.91999999999999</v>
      </c>
      <c r="D1278" s="1">
        <f ca="1">IFERROR(__xludf.DUMMYFUNCTION("""COMPUTED_VALUE"""),136.67)</f>
        <v>136.66999999999999</v>
      </c>
      <c r="E1278" s="1">
        <f ca="1">IFERROR(__xludf.DUMMYFUNCTION("""COMPUTED_VALUE"""),140.09)</f>
        <v>140.09</v>
      </c>
      <c r="F1278" s="1">
        <f ca="1">IFERROR(__xludf.DUMMYFUNCTION("""COMPUTED_VALUE"""),28239161)</f>
        <v>28239161</v>
      </c>
      <c r="G1278" s="5">
        <f t="shared" ca="1" si="57"/>
        <v>1.0493254336497957E-2</v>
      </c>
      <c r="H1278" s="14">
        <f t="shared" si="58"/>
        <v>2020</v>
      </c>
      <c r="I1278" s="5">
        <f t="shared" ca="1" si="59"/>
        <v>2.0989723781065485E-2</v>
      </c>
      <c r="J1278" s="16"/>
    </row>
    <row r="1279" spans="1:10" x14ac:dyDescent="0.2">
      <c r="A1279" s="3">
        <v>44131</v>
      </c>
      <c r="B1279" s="1">
        <f ca="1">IFERROR(__xludf.DUMMYFUNCTION("""COMPUTED_VALUE"""),141.25)</f>
        <v>141.25</v>
      </c>
      <c r="C1279" s="1">
        <f ca="1">IFERROR(__xludf.DUMMYFUNCTION("""COMPUTED_VALUE"""),143.5)</f>
        <v>143.5</v>
      </c>
      <c r="D1279" s="1">
        <f ca="1">IFERROR(__xludf.DUMMYFUNCTION("""COMPUTED_VALUE"""),140.03)</f>
        <v>140.03</v>
      </c>
      <c r="E1279" s="1">
        <f ca="1">IFERROR(__xludf.DUMMYFUNCTION("""COMPUTED_VALUE"""),141.56)</f>
        <v>141.56</v>
      </c>
      <c r="F1279" s="1">
        <f ca="1">IFERROR(__xludf.DUMMYFUNCTION("""COMPUTED_VALUE"""),22686506)</f>
        <v>22686506</v>
      </c>
      <c r="G1279" s="5">
        <f t="shared" ca="1" si="57"/>
        <v>-4.3938965809550715E-2</v>
      </c>
      <c r="H1279" s="14">
        <f t="shared" si="58"/>
        <v>2020</v>
      </c>
      <c r="I1279" s="5">
        <f t="shared" ca="1" si="59"/>
        <v>2.194690265486742E-3</v>
      </c>
      <c r="J1279" s="16"/>
    </row>
    <row r="1280" spans="1:10" x14ac:dyDescent="0.2">
      <c r="A1280" s="3">
        <v>44132</v>
      </c>
      <c r="B1280" s="1">
        <f ca="1">IFERROR(__xludf.DUMMYFUNCTION("""COMPUTED_VALUE"""),138.83)</f>
        <v>138.83000000000001</v>
      </c>
      <c r="C1280" s="1">
        <f ca="1">IFERROR(__xludf.DUMMYFUNCTION("""COMPUTED_VALUE"""),139.53)</f>
        <v>139.53</v>
      </c>
      <c r="D1280" s="1">
        <f ca="1">IFERROR(__xludf.DUMMYFUNCTION("""COMPUTED_VALUE"""),135.33)</f>
        <v>135.33000000000001</v>
      </c>
      <c r="E1280" s="1">
        <f ca="1">IFERROR(__xludf.DUMMYFUNCTION("""COMPUTED_VALUE"""),135.34)</f>
        <v>135.34</v>
      </c>
      <c r="F1280" s="1">
        <f ca="1">IFERROR(__xludf.DUMMYFUNCTION("""COMPUTED_VALUE"""),25451409)</f>
        <v>25451409</v>
      </c>
      <c r="G1280" s="5">
        <f t="shared" ca="1" si="57"/>
        <v>1.1822077730161034E-2</v>
      </c>
      <c r="H1280" s="14">
        <f t="shared" si="58"/>
        <v>2020</v>
      </c>
      <c r="I1280" s="5">
        <f t="shared" ca="1" si="59"/>
        <v>-2.5138658791327585E-2</v>
      </c>
      <c r="J1280" s="16"/>
    </row>
    <row r="1281" spans="1:10" x14ac:dyDescent="0.2">
      <c r="A1281" s="3">
        <v>44133</v>
      </c>
      <c r="B1281" s="1">
        <f ca="1">IFERROR(__xludf.DUMMYFUNCTION("""COMPUTED_VALUE"""),136.65)</f>
        <v>136.65</v>
      </c>
      <c r="C1281" s="1">
        <f ca="1">IFERROR(__xludf.DUMMYFUNCTION("""COMPUTED_VALUE"""),139.35)</f>
        <v>139.35</v>
      </c>
      <c r="D1281" s="1">
        <f ca="1">IFERROR(__xludf.DUMMYFUNCTION("""COMPUTED_VALUE"""),135.49)</f>
        <v>135.49</v>
      </c>
      <c r="E1281" s="1">
        <f ca="1">IFERROR(__xludf.DUMMYFUNCTION("""COMPUTED_VALUE"""),136.94)</f>
        <v>136.94</v>
      </c>
      <c r="F1281" s="1">
        <f ca="1">IFERROR(__xludf.DUMMYFUNCTION("""COMPUTED_VALUE"""),22655308)</f>
        <v>22655308</v>
      </c>
      <c r="G1281" s="5">
        <f t="shared" ca="1" si="57"/>
        <v>-5.5425733898057571E-2</v>
      </c>
      <c r="H1281" s="14">
        <f t="shared" si="58"/>
        <v>2020</v>
      </c>
      <c r="I1281" s="5">
        <f t="shared" ca="1" si="59"/>
        <v>2.1222100256128211E-3</v>
      </c>
      <c r="J1281" s="16"/>
    </row>
    <row r="1282" spans="1:10" x14ac:dyDescent="0.2">
      <c r="A1282" s="3">
        <v>44134</v>
      </c>
      <c r="B1282" s="1">
        <f ca="1">IFERROR(__xludf.DUMMYFUNCTION("""COMPUTED_VALUE"""),135.63)</f>
        <v>135.63</v>
      </c>
      <c r="C1282" s="1">
        <f ca="1">IFERROR(__xludf.DUMMYFUNCTION("""COMPUTED_VALUE"""),135.86)</f>
        <v>135.86000000000001</v>
      </c>
      <c r="D1282" s="1">
        <f ca="1">IFERROR(__xludf.DUMMYFUNCTION("""COMPUTED_VALUE"""),126.37)</f>
        <v>126.37</v>
      </c>
      <c r="E1282" s="1">
        <f ca="1">IFERROR(__xludf.DUMMYFUNCTION("""COMPUTED_VALUE"""),129.35)</f>
        <v>129.35</v>
      </c>
      <c r="F1282" s="1">
        <f ca="1">IFERROR(__xludf.DUMMYFUNCTION("""COMPUTED_VALUE"""),42587639)</f>
        <v>42587639</v>
      </c>
      <c r="G1282" s="5">
        <f t="shared" ca="1" si="57"/>
        <v>3.2083494395052231E-2</v>
      </c>
      <c r="H1282" s="14">
        <f t="shared" si="58"/>
        <v>2020</v>
      </c>
      <c r="I1282" s="5">
        <f t="shared" ca="1" si="59"/>
        <v>-4.6302440463024418E-2</v>
      </c>
      <c r="J1282" s="16"/>
    </row>
    <row r="1283" spans="1:10" x14ac:dyDescent="0.2">
      <c r="A1283" s="3">
        <v>44137</v>
      </c>
      <c r="B1283" s="1">
        <f ca="1">IFERROR(__xludf.DUMMYFUNCTION("""COMPUTED_VALUE"""),131.33)</f>
        <v>131.33000000000001</v>
      </c>
      <c r="C1283" s="1">
        <f ca="1">IFERROR(__xludf.DUMMYFUNCTION("""COMPUTED_VALUE"""),135.66)</f>
        <v>135.66</v>
      </c>
      <c r="D1283" s="1">
        <f ca="1">IFERROR(__xludf.DUMMYFUNCTION("""COMPUTED_VALUE"""),130.77)</f>
        <v>130.77000000000001</v>
      </c>
      <c r="E1283" s="1">
        <f ca="1">IFERROR(__xludf.DUMMYFUNCTION("""COMPUTED_VALUE"""),133.5)</f>
        <v>133.5</v>
      </c>
      <c r="F1283" s="1">
        <f ca="1">IFERROR(__xludf.DUMMYFUNCTION("""COMPUTED_VALUE"""),29021118)</f>
        <v>29021118</v>
      </c>
      <c r="G1283" s="5">
        <f t="shared" ref="G1283:G1346" ca="1" si="60">(E1284-E1283)/E1283</f>
        <v>5.8426966292134917E-2</v>
      </c>
      <c r="H1283" s="14">
        <f t="shared" ref="H1283:H1346" si="61">YEAR(A1283)</f>
        <v>2020</v>
      </c>
      <c r="I1283" s="5">
        <f t="shared" ref="I1283:I1346" ca="1" si="62">((E1283 - B1283) / B1283)</f>
        <v>1.6523262011726089E-2</v>
      </c>
      <c r="J1283" s="16"/>
    </row>
    <row r="1284" spans="1:10" x14ac:dyDescent="0.2">
      <c r="A1284" s="3">
        <v>44138</v>
      </c>
      <c r="B1284" s="1">
        <f ca="1">IFERROR(__xludf.DUMMYFUNCTION("""COMPUTED_VALUE"""),136.58)</f>
        <v>136.58000000000001</v>
      </c>
      <c r="C1284" s="1">
        <f ca="1">IFERROR(__xludf.DUMMYFUNCTION("""COMPUTED_VALUE"""),142.59)</f>
        <v>142.59</v>
      </c>
      <c r="D1284" s="1">
        <f ca="1">IFERROR(__xludf.DUMMYFUNCTION("""COMPUTED_VALUE"""),135.56)</f>
        <v>135.56</v>
      </c>
      <c r="E1284" s="1">
        <f ca="1">IFERROR(__xludf.DUMMYFUNCTION("""COMPUTED_VALUE"""),141.3)</f>
        <v>141.30000000000001</v>
      </c>
      <c r="F1284" s="1">
        <f ca="1">IFERROR(__xludf.DUMMYFUNCTION("""COMPUTED_VALUE"""),34351715)</f>
        <v>34351715</v>
      </c>
      <c r="G1284" s="5">
        <f t="shared" ca="1" si="60"/>
        <v>-6.8648266100495318E-3</v>
      </c>
      <c r="H1284" s="14">
        <f t="shared" si="61"/>
        <v>2020</v>
      </c>
      <c r="I1284" s="5">
        <f t="shared" ca="1" si="62"/>
        <v>3.4558500512520123E-2</v>
      </c>
      <c r="J1284" s="16"/>
    </row>
    <row r="1285" spans="1:10" x14ac:dyDescent="0.2">
      <c r="A1285" s="3">
        <v>44139</v>
      </c>
      <c r="B1285" s="1">
        <f ca="1">IFERROR(__xludf.DUMMYFUNCTION("""COMPUTED_VALUE"""),143.54)</f>
        <v>143.54</v>
      </c>
      <c r="C1285" s="1">
        <f ca="1">IFERROR(__xludf.DUMMYFUNCTION("""COMPUTED_VALUE"""),145.13)</f>
        <v>145.13</v>
      </c>
      <c r="D1285" s="1">
        <f ca="1">IFERROR(__xludf.DUMMYFUNCTION("""COMPUTED_VALUE"""),139.03)</f>
        <v>139.03</v>
      </c>
      <c r="E1285" s="1">
        <f ca="1">IFERROR(__xludf.DUMMYFUNCTION("""COMPUTED_VALUE"""),140.33)</f>
        <v>140.33000000000001</v>
      </c>
      <c r="F1285" s="1">
        <f ca="1">IFERROR(__xludf.DUMMYFUNCTION("""COMPUTED_VALUE"""),32143057)</f>
        <v>32143057</v>
      </c>
      <c r="G1285" s="5">
        <f t="shared" ca="1" si="60"/>
        <v>4.061854200812362E-2</v>
      </c>
      <c r="H1285" s="14">
        <f t="shared" si="61"/>
        <v>2020</v>
      </c>
      <c r="I1285" s="5">
        <f t="shared" ca="1" si="62"/>
        <v>-2.2363104361153543E-2</v>
      </c>
      <c r="J1285" s="16"/>
    </row>
    <row r="1286" spans="1:10" x14ac:dyDescent="0.2">
      <c r="A1286" s="3">
        <v>44140</v>
      </c>
      <c r="B1286" s="1">
        <f ca="1">IFERROR(__xludf.DUMMYFUNCTION("""COMPUTED_VALUE"""),142.77)</f>
        <v>142.77000000000001</v>
      </c>
      <c r="C1286" s="1">
        <f ca="1">IFERROR(__xludf.DUMMYFUNCTION("""COMPUTED_VALUE"""),146.67)</f>
        <v>146.66999999999999</v>
      </c>
      <c r="D1286" s="1">
        <f ca="1">IFERROR(__xludf.DUMMYFUNCTION("""COMPUTED_VALUE"""),141.33)</f>
        <v>141.33000000000001</v>
      </c>
      <c r="E1286" s="1">
        <f ca="1">IFERROR(__xludf.DUMMYFUNCTION("""COMPUTED_VALUE"""),146.03)</f>
        <v>146.03</v>
      </c>
      <c r="F1286" s="1">
        <f ca="1">IFERROR(__xludf.DUMMYFUNCTION("""COMPUTED_VALUE"""),28414523)</f>
        <v>28414523</v>
      </c>
      <c r="G1286" s="5">
        <f t="shared" ca="1" si="60"/>
        <v>-1.8557830582757021E-2</v>
      </c>
      <c r="H1286" s="14">
        <f t="shared" si="61"/>
        <v>2020</v>
      </c>
      <c r="I1286" s="5">
        <f t="shared" ca="1" si="62"/>
        <v>2.2833928696504802E-2</v>
      </c>
      <c r="J1286" s="16"/>
    </row>
    <row r="1287" spans="1:10" x14ac:dyDescent="0.2">
      <c r="A1287" s="3">
        <v>44141</v>
      </c>
      <c r="B1287" s="1">
        <f ca="1">IFERROR(__xludf.DUMMYFUNCTION("""COMPUTED_VALUE"""),145.37)</f>
        <v>145.37</v>
      </c>
      <c r="C1287" s="1">
        <f ca="1">IFERROR(__xludf.DUMMYFUNCTION("""COMPUTED_VALUE"""),145.52)</f>
        <v>145.52000000000001</v>
      </c>
      <c r="D1287" s="1">
        <f ca="1">IFERROR(__xludf.DUMMYFUNCTION("""COMPUTED_VALUE"""),141.43)</f>
        <v>141.43</v>
      </c>
      <c r="E1287" s="1">
        <f ca="1">IFERROR(__xludf.DUMMYFUNCTION("""COMPUTED_VALUE"""),143.32)</f>
        <v>143.32</v>
      </c>
      <c r="F1287" s="1">
        <f ca="1">IFERROR(__xludf.DUMMYFUNCTION("""COMPUTED_VALUE"""),21706014)</f>
        <v>21706014</v>
      </c>
      <c r="G1287" s="5">
        <f t="shared" ca="1" si="60"/>
        <v>-2.023444041306172E-2</v>
      </c>
      <c r="H1287" s="14">
        <f t="shared" si="61"/>
        <v>2020</v>
      </c>
      <c r="I1287" s="5">
        <f t="shared" ca="1" si="62"/>
        <v>-1.4101946756552323E-2</v>
      </c>
      <c r="J1287" s="16"/>
    </row>
    <row r="1288" spans="1:10" x14ac:dyDescent="0.2">
      <c r="A1288" s="3">
        <v>44144</v>
      </c>
      <c r="B1288" s="1">
        <f ca="1">IFERROR(__xludf.DUMMYFUNCTION("""COMPUTED_VALUE"""),146.5)</f>
        <v>146.5</v>
      </c>
      <c r="C1288" s="1">
        <f ca="1">IFERROR(__xludf.DUMMYFUNCTION("""COMPUTED_VALUE"""),150.83)</f>
        <v>150.83000000000001</v>
      </c>
      <c r="D1288" s="1">
        <f ca="1">IFERROR(__xludf.DUMMYFUNCTION("""COMPUTED_VALUE"""),140.33)</f>
        <v>140.33000000000001</v>
      </c>
      <c r="E1288" s="1">
        <f ca="1">IFERROR(__xludf.DUMMYFUNCTION("""COMPUTED_VALUE"""),140.42)</f>
        <v>140.41999999999999</v>
      </c>
      <c r="F1288" s="1">
        <f ca="1">IFERROR(__xludf.DUMMYFUNCTION("""COMPUTED_VALUE"""),34833025)</f>
        <v>34833025</v>
      </c>
      <c r="G1288" s="5">
        <f t="shared" ca="1" si="60"/>
        <v>-2.5851018373451044E-2</v>
      </c>
      <c r="H1288" s="14">
        <f t="shared" si="61"/>
        <v>2020</v>
      </c>
      <c r="I1288" s="5">
        <f t="shared" ca="1" si="62"/>
        <v>-4.1501706484641722E-2</v>
      </c>
      <c r="J1288" s="16"/>
    </row>
    <row r="1289" spans="1:10" x14ac:dyDescent="0.2">
      <c r="A1289" s="3">
        <v>44145</v>
      </c>
      <c r="B1289" s="1">
        <f ca="1">IFERROR(__xludf.DUMMYFUNCTION("""COMPUTED_VALUE"""),140.03)</f>
        <v>140.03</v>
      </c>
      <c r="C1289" s="1">
        <f ca="1">IFERROR(__xludf.DUMMYFUNCTION("""COMPUTED_VALUE"""),140.03)</f>
        <v>140.03</v>
      </c>
      <c r="D1289" s="1">
        <f ca="1">IFERROR(__xludf.DUMMYFUNCTION("""COMPUTED_VALUE"""),132.01)</f>
        <v>132.01</v>
      </c>
      <c r="E1289" s="1">
        <f ca="1">IFERROR(__xludf.DUMMYFUNCTION("""COMPUTED_VALUE"""),136.79)</f>
        <v>136.79</v>
      </c>
      <c r="F1289" s="1">
        <f ca="1">IFERROR(__xludf.DUMMYFUNCTION("""COMPUTED_VALUE"""),30284224)</f>
        <v>30284224</v>
      </c>
      <c r="G1289" s="5">
        <f t="shared" ca="1" si="60"/>
        <v>1.644857080195921E-2</v>
      </c>
      <c r="H1289" s="14">
        <f t="shared" si="61"/>
        <v>2020</v>
      </c>
      <c r="I1289" s="5">
        <f t="shared" ca="1" si="62"/>
        <v>-2.3137899021638285E-2</v>
      </c>
      <c r="J1289" s="16"/>
    </row>
    <row r="1290" spans="1:10" x14ac:dyDescent="0.2">
      <c r="A1290" s="3">
        <v>44146</v>
      </c>
      <c r="B1290" s="1">
        <f ca="1">IFERROR(__xludf.DUMMYFUNCTION("""COMPUTED_VALUE"""),138.82)</f>
        <v>138.82</v>
      </c>
      <c r="C1290" s="1">
        <f ca="1">IFERROR(__xludf.DUMMYFUNCTION("""COMPUTED_VALUE"""),139.57)</f>
        <v>139.57</v>
      </c>
      <c r="D1290" s="1">
        <f ca="1">IFERROR(__xludf.DUMMYFUNCTION("""COMPUTED_VALUE"""),136.86)</f>
        <v>136.86000000000001</v>
      </c>
      <c r="E1290" s="1">
        <f ca="1">IFERROR(__xludf.DUMMYFUNCTION("""COMPUTED_VALUE"""),139.04)</f>
        <v>139.04</v>
      </c>
      <c r="F1290" s="1">
        <f ca="1">IFERROR(__xludf.DUMMYFUNCTION("""COMPUTED_VALUE"""),17357722)</f>
        <v>17357722</v>
      </c>
      <c r="G1290" s="5">
        <f t="shared" ca="1" si="60"/>
        <v>-1.2873993095512026E-2</v>
      </c>
      <c r="H1290" s="14">
        <f t="shared" si="61"/>
        <v>2020</v>
      </c>
      <c r="I1290" s="5">
        <f t="shared" ca="1" si="62"/>
        <v>1.5847860538827177E-3</v>
      </c>
      <c r="J1290" s="16"/>
    </row>
    <row r="1291" spans="1:10" x14ac:dyDescent="0.2">
      <c r="A1291" s="3">
        <v>44147</v>
      </c>
      <c r="B1291" s="1">
        <f ca="1">IFERROR(__xludf.DUMMYFUNCTION("""COMPUTED_VALUE"""),138.35)</f>
        <v>138.35</v>
      </c>
      <c r="C1291" s="1">
        <f ca="1">IFERROR(__xludf.DUMMYFUNCTION("""COMPUTED_VALUE"""),141)</f>
        <v>141</v>
      </c>
      <c r="D1291" s="1">
        <f ca="1">IFERROR(__xludf.DUMMYFUNCTION("""COMPUTED_VALUE"""),136.51)</f>
        <v>136.51</v>
      </c>
      <c r="E1291" s="1">
        <f ca="1">IFERROR(__xludf.DUMMYFUNCTION("""COMPUTED_VALUE"""),137.25)</f>
        <v>137.25</v>
      </c>
      <c r="F1291" s="1">
        <f ca="1">IFERROR(__xludf.DUMMYFUNCTION("""COMPUTED_VALUE"""),19940500)</f>
        <v>19940500</v>
      </c>
      <c r="G1291" s="5">
        <f t="shared" ca="1" si="60"/>
        <v>-7.8688524590164854E-3</v>
      </c>
      <c r="H1291" s="14">
        <f t="shared" si="61"/>
        <v>2020</v>
      </c>
      <c r="I1291" s="5">
        <f t="shared" ca="1" si="62"/>
        <v>-7.9508492952655892E-3</v>
      </c>
      <c r="J1291" s="16"/>
    </row>
    <row r="1292" spans="1:10" x14ac:dyDescent="0.2">
      <c r="A1292" s="3">
        <v>44148</v>
      </c>
      <c r="B1292" s="1">
        <f ca="1">IFERROR(__xludf.DUMMYFUNCTION("""COMPUTED_VALUE"""),136.95)</f>
        <v>136.94999999999999</v>
      </c>
      <c r="C1292" s="1">
        <f ca="1">IFERROR(__xludf.DUMMYFUNCTION("""COMPUTED_VALUE"""),137.51)</f>
        <v>137.51</v>
      </c>
      <c r="D1292" s="1">
        <f ca="1">IFERROR(__xludf.DUMMYFUNCTION("""COMPUTED_VALUE"""),133.89)</f>
        <v>133.88999999999999</v>
      </c>
      <c r="E1292" s="1">
        <f ca="1">IFERROR(__xludf.DUMMYFUNCTION("""COMPUTED_VALUE"""),136.17)</f>
        <v>136.16999999999999</v>
      </c>
      <c r="F1292" s="1">
        <f ca="1">IFERROR(__xludf.DUMMYFUNCTION("""COMPUTED_VALUE"""),19830351)</f>
        <v>19830351</v>
      </c>
      <c r="G1292" s="5">
        <f t="shared" ca="1" si="60"/>
        <v>-1.0281266064477224E-3</v>
      </c>
      <c r="H1292" s="14">
        <f t="shared" si="61"/>
        <v>2020</v>
      </c>
      <c r="I1292" s="5">
        <f t="shared" ca="1" si="62"/>
        <v>-5.6955093099671497E-3</v>
      </c>
      <c r="J1292" s="16"/>
    </row>
    <row r="1293" spans="1:10" x14ac:dyDescent="0.2">
      <c r="A1293" s="3">
        <v>44151</v>
      </c>
      <c r="B1293" s="1">
        <f ca="1">IFERROR(__xludf.DUMMYFUNCTION("""COMPUTED_VALUE"""),136.31)</f>
        <v>136.31</v>
      </c>
      <c r="C1293" s="1">
        <f ca="1">IFERROR(__xludf.DUMMYFUNCTION("""COMPUTED_VALUE"""),137.48)</f>
        <v>137.47999999999999</v>
      </c>
      <c r="D1293" s="1">
        <f ca="1">IFERROR(__xludf.DUMMYFUNCTION("""COMPUTED_VALUE"""),134.7)</f>
        <v>134.69999999999999</v>
      </c>
      <c r="E1293" s="1">
        <f ca="1">IFERROR(__xludf.DUMMYFUNCTION("""COMPUTED_VALUE"""),136.03)</f>
        <v>136.03</v>
      </c>
      <c r="F1293" s="1">
        <f ca="1">IFERROR(__xludf.DUMMYFUNCTION("""COMPUTED_VALUE"""),26838635)</f>
        <v>26838635</v>
      </c>
      <c r="G1293" s="5">
        <f t="shared" ca="1" si="60"/>
        <v>8.2114239505991227E-2</v>
      </c>
      <c r="H1293" s="14">
        <f t="shared" si="61"/>
        <v>2020</v>
      </c>
      <c r="I1293" s="5">
        <f t="shared" ca="1" si="62"/>
        <v>-2.0541412955762681E-3</v>
      </c>
      <c r="J1293" s="16"/>
    </row>
    <row r="1294" spans="1:10" x14ac:dyDescent="0.2">
      <c r="A1294" s="3">
        <v>44152</v>
      </c>
      <c r="B1294" s="1">
        <f ca="1">IFERROR(__xludf.DUMMYFUNCTION("""COMPUTED_VALUE"""),153.39)</f>
        <v>153.38999999999999</v>
      </c>
      <c r="C1294" s="1">
        <f ca="1">IFERROR(__xludf.DUMMYFUNCTION("""COMPUTED_VALUE"""),154)</f>
        <v>154</v>
      </c>
      <c r="D1294" s="1">
        <f ca="1">IFERROR(__xludf.DUMMYFUNCTION("""COMPUTED_VALUE"""),144.34)</f>
        <v>144.34</v>
      </c>
      <c r="E1294" s="1">
        <f ca="1">IFERROR(__xludf.DUMMYFUNCTION("""COMPUTED_VALUE"""),147.2)</f>
        <v>147.19999999999999</v>
      </c>
      <c r="F1294" s="1">
        <f ca="1">IFERROR(__xludf.DUMMYFUNCTION("""COMPUTED_VALUE"""),61188281)</f>
        <v>61188281</v>
      </c>
      <c r="G1294" s="5">
        <f t="shared" ca="1" si="60"/>
        <v>0.10197010869565232</v>
      </c>
      <c r="H1294" s="14">
        <f t="shared" si="61"/>
        <v>2020</v>
      </c>
      <c r="I1294" s="5">
        <f t="shared" ca="1" si="62"/>
        <v>-4.0354651541821489E-2</v>
      </c>
      <c r="J1294" s="16"/>
    </row>
    <row r="1295" spans="1:10" x14ac:dyDescent="0.2">
      <c r="A1295" s="3">
        <v>44153</v>
      </c>
      <c r="B1295" s="1">
        <f ca="1">IFERROR(__xludf.DUMMYFUNCTION("""COMPUTED_VALUE"""),149.45)</f>
        <v>149.44999999999999</v>
      </c>
      <c r="C1295" s="1">
        <f ca="1">IFERROR(__xludf.DUMMYFUNCTION("""COMPUTED_VALUE"""),165.33)</f>
        <v>165.33</v>
      </c>
      <c r="D1295" s="1">
        <f ca="1">IFERROR(__xludf.DUMMYFUNCTION("""COMPUTED_VALUE"""),147.83)</f>
        <v>147.83000000000001</v>
      </c>
      <c r="E1295" s="1">
        <f ca="1">IFERROR(__xludf.DUMMYFUNCTION("""COMPUTED_VALUE"""),162.21)</f>
        <v>162.21</v>
      </c>
      <c r="F1295" s="1">
        <f ca="1">IFERROR(__xludf.DUMMYFUNCTION("""COMPUTED_VALUE"""),78044024)</f>
        <v>78044024</v>
      </c>
      <c r="G1295" s="5">
        <f t="shared" ca="1" si="60"/>
        <v>2.5954010233647615E-2</v>
      </c>
      <c r="H1295" s="14">
        <f t="shared" si="61"/>
        <v>2020</v>
      </c>
      <c r="I1295" s="5">
        <f t="shared" ca="1" si="62"/>
        <v>8.5379725660756245E-2</v>
      </c>
      <c r="J1295" s="16"/>
    </row>
    <row r="1296" spans="1:10" x14ac:dyDescent="0.2">
      <c r="A1296" s="3">
        <v>44154</v>
      </c>
      <c r="B1296" s="1">
        <f ca="1">IFERROR(__xludf.DUMMYFUNCTION("""COMPUTED_VALUE"""),164)</f>
        <v>164</v>
      </c>
      <c r="C1296" s="1">
        <f ca="1">IFERROR(__xludf.DUMMYFUNCTION("""COMPUTED_VALUE"""),169.54)</f>
        <v>169.54</v>
      </c>
      <c r="D1296" s="1">
        <f ca="1">IFERROR(__xludf.DUMMYFUNCTION("""COMPUTED_VALUE"""),162.52)</f>
        <v>162.52000000000001</v>
      </c>
      <c r="E1296" s="1">
        <f ca="1">IFERROR(__xludf.DUMMYFUNCTION("""COMPUTED_VALUE"""),166.42)</f>
        <v>166.42</v>
      </c>
      <c r="F1296" s="1">
        <f ca="1">IFERROR(__xludf.DUMMYFUNCTION("""COMPUTED_VALUE"""),62475346)</f>
        <v>62475346</v>
      </c>
      <c r="G1296" s="5">
        <f t="shared" ca="1" si="60"/>
        <v>-1.9348635981252249E-2</v>
      </c>
      <c r="H1296" s="14">
        <f t="shared" si="61"/>
        <v>2020</v>
      </c>
      <c r="I1296" s="5">
        <f t="shared" ca="1" si="62"/>
        <v>1.4756097560975533E-2</v>
      </c>
      <c r="J1296" s="16"/>
    </row>
    <row r="1297" spans="1:10" x14ac:dyDescent="0.2">
      <c r="A1297" s="3">
        <v>44155</v>
      </c>
      <c r="B1297" s="1">
        <f ca="1">IFERROR(__xludf.DUMMYFUNCTION("""COMPUTED_VALUE"""),166)</f>
        <v>166</v>
      </c>
      <c r="C1297" s="1">
        <f ca="1">IFERROR(__xludf.DUMMYFUNCTION("""COMPUTED_VALUE"""),167.5)</f>
        <v>167.5</v>
      </c>
      <c r="D1297" s="1">
        <f ca="1">IFERROR(__xludf.DUMMYFUNCTION("""COMPUTED_VALUE"""),163.02)</f>
        <v>163.02000000000001</v>
      </c>
      <c r="E1297" s="1">
        <f ca="1">IFERROR(__xludf.DUMMYFUNCTION("""COMPUTED_VALUE"""),163.2)</f>
        <v>163.19999999999999</v>
      </c>
      <c r="F1297" s="1">
        <f ca="1">IFERROR(__xludf.DUMMYFUNCTION("""COMPUTED_VALUE"""),32911922)</f>
        <v>32911922</v>
      </c>
      <c r="G1297" s="5">
        <f t="shared" ca="1" si="60"/>
        <v>6.5870098039215688E-2</v>
      </c>
      <c r="H1297" s="14">
        <f t="shared" si="61"/>
        <v>2020</v>
      </c>
      <c r="I1297" s="5">
        <f t="shared" ca="1" si="62"/>
        <v>-1.6867469879518142E-2</v>
      </c>
      <c r="J1297" s="16"/>
    </row>
    <row r="1298" spans="1:10" x14ac:dyDescent="0.2">
      <c r="A1298" s="3">
        <v>44158</v>
      </c>
      <c r="B1298" s="1">
        <f ca="1">IFERROR(__xludf.DUMMYFUNCTION("""COMPUTED_VALUE"""),167.83)</f>
        <v>167.83</v>
      </c>
      <c r="C1298" s="1">
        <f ca="1">IFERROR(__xludf.DUMMYFUNCTION("""COMPUTED_VALUE"""),175.33)</f>
        <v>175.33</v>
      </c>
      <c r="D1298" s="1">
        <f ca="1">IFERROR(__xludf.DUMMYFUNCTION("""COMPUTED_VALUE"""),167.26)</f>
        <v>167.26</v>
      </c>
      <c r="E1298" s="1">
        <f ca="1">IFERROR(__xludf.DUMMYFUNCTION("""COMPUTED_VALUE"""),173.95)</f>
        <v>173.95</v>
      </c>
      <c r="F1298" s="1">
        <f ca="1">IFERROR(__xludf.DUMMYFUNCTION("""COMPUTED_VALUE"""),50260304)</f>
        <v>50260304</v>
      </c>
      <c r="G1298" s="5">
        <f t="shared" ca="1" si="60"/>
        <v>6.4271342339752846E-2</v>
      </c>
      <c r="H1298" s="14">
        <f t="shared" si="61"/>
        <v>2020</v>
      </c>
      <c r="I1298" s="5">
        <f t="shared" ca="1" si="62"/>
        <v>3.6465471012333765E-2</v>
      </c>
      <c r="J1298" s="16"/>
    </row>
    <row r="1299" spans="1:10" x14ac:dyDescent="0.2">
      <c r="A1299" s="3">
        <v>44159</v>
      </c>
      <c r="B1299" s="1">
        <f ca="1">IFERROR(__xludf.DUMMYFUNCTION("""COMPUTED_VALUE"""),180.13)</f>
        <v>180.13</v>
      </c>
      <c r="C1299" s="1">
        <f ca="1">IFERROR(__xludf.DUMMYFUNCTION("""COMPUTED_VALUE"""),186.66)</f>
        <v>186.66</v>
      </c>
      <c r="D1299" s="1">
        <f ca="1">IFERROR(__xludf.DUMMYFUNCTION("""COMPUTED_VALUE"""),175.4)</f>
        <v>175.4</v>
      </c>
      <c r="E1299" s="1">
        <f ca="1">IFERROR(__xludf.DUMMYFUNCTION("""COMPUTED_VALUE"""),185.13)</f>
        <v>185.13</v>
      </c>
      <c r="F1299" s="1">
        <f ca="1">IFERROR(__xludf.DUMMYFUNCTION("""COMPUTED_VALUE"""),53648494)</f>
        <v>53648494</v>
      </c>
      <c r="G1299" s="5">
        <f t="shared" ca="1" si="60"/>
        <v>3.3489980014044275E-2</v>
      </c>
      <c r="H1299" s="14">
        <f t="shared" si="61"/>
        <v>2020</v>
      </c>
      <c r="I1299" s="5">
        <f t="shared" ca="1" si="62"/>
        <v>2.7757730527952034E-2</v>
      </c>
      <c r="J1299" s="16"/>
    </row>
    <row r="1300" spans="1:10" x14ac:dyDescent="0.2">
      <c r="A1300" s="3">
        <v>44160</v>
      </c>
      <c r="B1300" s="1">
        <f ca="1">IFERROR(__xludf.DUMMYFUNCTION("""COMPUTED_VALUE"""),183.35)</f>
        <v>183.35</v>
      </c>
      <c r="C1300" s="1">
        <f ca="1">IFERROR(__xludf.DUMMYFUNCTION("""COMPUTED_VALUE"""),191.33)</f>
        <v>191.33</v>
      </c>
      <c r="D1300" s="1">
        <f ca="1">IFERROR(__xludf.DUMMYFUNCTION("""COMPUTED_VALUE"""),181.79)</f>
        <v>181.79</v>
      </c>
      <c r="E1300" s="1">
        <f ca="1">IFERROR(__xludf.DUMMYFUNCTION("""COMPUTED_VALUE"""),191.33)</f>
        <v>191.33</v>
      </c>
      <c r="F1300" s="1">
        <f ca="1">IFERROR(__xludf.DUMMYFUNCTION("""COMPUTED_VALUE"""),48930162)</f>
        <v>48930162</v>
      </c>
      <c r="G1300" s="5">
        <f t="shared" ca="1" si="60"/>
        <v>2.0488161814665694E-2</v>
      </c>
      <c r="H1300" s="14">
        <f t="shared" si="61"/>
        <v>2020</v>
      </c>
      <c r="I1300" s="5">
        <f t="shared" ca="1" si="62"/>
        <v>4.3523316062176264E-2</v>
      </c>
      <c r="J1300" s="16"/>
    </row>
    <row r="1301" spans="1:10" x14ac:dyDescent="0.2">
      <c r="A1301" s="3">
        <v>44162</v>
      </c>
      <c r="B1301" s="1">
        <f ca="1">IFERROR(__xludf.DUMMYFUNCTION("""COMPUTED_VALUE"""),193.72)</f>
        <v>193.72</v>
      </c>
      <c r="C1301" s="1">
        <f ca="1">IFERROR(__xludf.DUMMYFUNCTION("""COMPUTED_VALUE"""),199.59)</f>
        <v>199.59</v>
      </c>
      <c r="D1301" s="1">
        <f ca="1">IFERROR(__xludf.DUMMYFUNCTION("""COMPUTED_VALUE"""),192.82)</f>
        <v>192.82</v>
      </c>
      <c r="E1301" s="1">
        <f ca="1">IFERROR(__xludf.DUMMYFUNCTION("""COMPUTED_VALUE"""),195.25)</f>
        <v>195.25</v>
      </c>
      <c r="F1301" s="1">
        <f ca="1">IFERROR(__xludf.DUMMYFUNCTION("""COMPUTED_VALUE"""),37561078)</f>
        <v>37561078</v>
      </c>
      <c r="G1301" s="5">
        <f t="shared" ca="1" si="60"/>
        <v>-3.0985915492957806E-2</v>
      </c>
      <c r="H1301" s="14">
        <f t="shared" si="61"/>
        <v>2020</v>
      </c>
      <c r="I1301" s="5">
        <f t="shared" ca="1" si="62"/>
        <v>7.8979971092298217E-3</v>
      </c>
      <c r="J1301" s="16"/>
    </row>
    <row r="1302" spans="1:10" x14ac:dyDescent="0.2">
      <c r="A1302" s="3">
        <v>44165</v>
      </c>
      <c r="B1302" s="1">
        <f ca="1">IFERROR(__xludf.DUMMYFUNCTION("""COMPUTED_VALUE"""),200.74)</f>
        <v>200.74</v>
      </c>
      <c r="C1302" s="1">
        <f ca="1">IFERROR(__xludf.DUMMYFUNCTION("""COMPUTED_VALUE"""),202.6)</f>
        <v>202.6</v>
      </c>
      <c r="D1302" s="1">
        <f ca="1">IFERROR(__xludf.DUMMYFUNCTION("""COMPUTED_VALUE"""),184.84)</f>
        <v>184.84</v>
      </c>
      <c r="E1302" s="1">
        <f ca="1">IFERROR(__xludf.DUMMYFUNCTION("""COMPUTED_VALUE"""),189.2)</f>
        <v>189.2</v>
      </c>
      <c r="F1302" s="1">
        <f ca="1">IFERROR(__xludf.DUMMYFUNCTION("""COMPUTED_VALUE"""),63003052)</f>
        <v>63003052</v>
      </c>
      <c r="G1302" s="5">
        <f t="shared" ca="1" si="60"/>
        <v>3.023255813953488E-2</v>
      </c>
      <c r="H1302" s="14">
        <f t="shared" si="61"/>
        <v>2020</v>
      </c>
      <c r="I1302" s="5">
        <f t="shared" ca="1" si="62"/>
        <v>-5.7487297001096047E-2</v>
      </c>
      <c r="J1302" s="16"/>
    </row>
    <row r="1303" spans="1:10" x14ac:dyDescent="0.2">
      <c r="A1303" s="3">
        <v>44166</v>
      </c>
      <c r="B1303" s="1">
        <f ca="1">IFERROR(__xludf.DUMMYFUNCTION("""COMPUTED_VALUE"""),199.2)</f>
        <v>199.2</v>
      </c>
      <c r="C1303" s="1">
        <f ca="1">IFERROR(__xludf.DUMMYFUNCTION("""COMPUTED_VALUE"""),199.28)</f>
        <v>199.28</v>
      </c>
      <c r="D1303" s="1">
        <f ca="1">IFERROR(__xludf.DUMMYFUNCTION("""COMPUTED_VALUE"""),190.68)</f>
        <v>190.68</v>
      </c>
      <c r="E1303" s="1">
        <f ca="1">IFERROR(__xludf.DUMMYFUNCTION("""COMPUTED_VALUE"""),194.92)</f>
        <v>194.92</v>
      </c>
      <c r="F1303" s="1">
        <f ca="1">IFERROR(__xludf.DUMMYFUNCTION("""COMPUTED_VALUE"""),40382832)</f>
        <v>40382832</v>
      </c>
      <c r="G1303" s="5">
        <f t="shared" ca="1" si="60"/>
        <v>-2.7241945413502843E-2</v>
      </c>
      <c r="H1303" s="14">
        <f t="shared" si="61"/>
        <v>2020</v>
      </c>
      <c r="I1303" s="5">
        <f t="shared" ca="1" si="62"/>
        <v>-2.1485943775100408E-2</v>
      </c>
      <c r="J1303" s="16"/>
    </row>
    <row r="1304" spans="1:10" x14ac:dyDescent="0.2">
      <c r="A1304" s="3">
        <v>44167</v>
      </c>
      <c r="B1304" s="1">
        <f ca="1">IFERROR(__xludf.DUMMYFUNCTION("""COMPUTED_VALUE"""),185.48)</f>
        <v>185.48</v>
      </c>
      <c r="C1304" s="1">
        <f ca="1">IFERROR(__xludf.DUMMYFUNCTION("""COMPUTED_VALUE"""),190.51)</f>
        <v>190.51</v>
      </c>
      <c r="D1304" s="1">
        <f ca="1">IFERROR(__xludf.DUMMYFUNCTION("""COMPUTED_VALUE"""),180.4)</f>
        <v>180.4</v>
      </c>
      <c r="E1304" s="1">
        <f ca="1">IFERROR(__xludf.DUMMYFUNCTION("""COMPUTED_VALUE"""),189.61)</f>
        <v>189.61</v>
      </c>
      <c r="F1304" s="1">
        <f ca="1">IFERROR(__xludf.DUMMYFUNCTION("""COMPUTED_VALUE"""),47775653)</f>
        <v>47775653</v>
      </c>
      <c r="G1304" s="5">
        <f t="shared" ca="1" si="60"/>
        <v>4.3141184536680435E-2</v>
      </c>
      <c r="H1304" s="14">
        <f t="shared" si="61"/>
        <v>2020</v>
      </c>
      <c r="I1304" s="5">
        <f t="shared" ca="1" si="62"/>
        <v>2.2266551649773689E-2</v>
      </c>
      <c r="J1304" s="16"/>
    </row>
    <row r="1305" spans="1:10" x14ac:dyDescent="0.2">
      <c r="A1305" s="3">
        <v>44168</v>
      </c>
      <c r="B1305" s="1">
        <f ca="1">IFERROR(__xludf.DUMMYFUNCTION("""COMPUTED_VALUE"""),196.67)</f>
        <v>196.67</v>
      </c>
      <c r="C1305" s="1">
        <f ca="1">IFERROR(__xludf.DUMMYFUNCTION("""COMPUTED_VALUE"""),199.66)</f>
        <v>199.66</v>
      </c>
      <c r="D1305" s="1">
        <f ca="1">IFERROR(__xludf.DUMMYFUNCTION("""COMPUTED_VALUE"""),194.14)</f>
        <v>194.14</v>
      </c>
      <c r="E1305" s="1">
        <f ca="1">IFERROR(__xludf.DUMMYFUNCTION("""COMPUTED_VALUE"""),197.79)</f>
        <v>197.79</v>
      </c>
      <c r="F1305" s="1">
        <f ca="1">IFERROR(__xludf.DUMMYFUNCTION("""COMPUTED_VALUE"""),42552003)</f>
        <v>42552003</v>
      </c>
      <c r="G1305" s="5">
        <f t="shared" ca="1" si="60"/>
        <v>9.5555892613378574E-3</v>
      </c>
      <c r="H1305" s="14">
        <f t="shared" si="61"/>
        <v>2020</v>
      </c>
      <c r="I1305" s="5">
        <f t="shared" ca="1" si="62"/>
        <v>5.6948187318859233E-3</v>
      </c>
      <c r="J1305" s="16"/>
    </row>
    <row r="1306" spans="1:10" x14ac:dyDescent="0.2">
      <c r="A1306" s="3">
        <v>44169</v>
      </c>
      <c r="B1306" s="1">
        <f ca="1">IFERROR(__xludf.DUMMYFUNCTION("""COMPUTED_VALUE"""),197)</f>
        <v>197</v>
      </c>
      <c r="C1306" s="1">
        <f ca="1">IFERROR(__xludf.DUMMYFUNCTION("""COMPUTED_VALUE"""),199.68)</f>
        <v>199.68</v>
      </c>
      <c r="D1306" s="1">
        <f ca="1">IFERROR(__xludf.DUMMYFUNCTION("""COMPUTED_VALUE"""),195.17)</f>
        <v>195.17</v>
      </c>
      <c r="E1306" s="1">
        <f ca="1">IFERROR(__xludf.DUMMYFUNCTION("""COMPUTED_VALUE"""),199.68)</f>
        <v>199.68</v>
      </c>
      <c r="F1306" s="1">
        <f ca="1">IFERROR(__xludf.DUMMYFUNCTION("""COMPUTED_VALUE"""),29401314)</f>
        <v>29401314</v>
      </c>
      <c r="G1306" s="5">
        <f t="shared" ca="1" si="60"/>
        <v>7.1314102564102463E-2</v>
      </c>
      <c r="H1306" s="14">
        <f t="shared" si="61"/>
        <v>2020</v>
      </c>
      <c r="I1306" s="5">
        <f t="shared" ca="1" si="62"/>
        <v>1.3604060913705618E-2</v>
      </c>
      <c r="J1306" s="16"/>
    </row>
    <row r="1307" spans="1:10" x14ac:dyDescent="0.2">
      <c r="A1307" s="3">
        <v>44172</v>
      </c>
      <c r="B1307" s="1">
        <f ca="1">IFERROR(__xludf.DUMMYFUNCTION("""COMPUTED_VALUE"""),201.64)</f>
        <v>201.64</v>
      </c>
      <c r="C1307" s="1">
        <f ca="1">IFERROR(__xludf.DUMMYFUNCTION("""COMPUTED_VALUE"""),216.26)</f>
        <v>216.26</v>
      </c>
      <c r="D1307" s="1">
        <f ca="1">IFERROR(__xludf.DUMMYFUNCTION("""COMPUTED_VALUE"""),201.02)</f>
        <v>201.02</v>
      </c>
      <c r="E1307" s="1">
        <f ca="1">IFERROR(__xludf.DUMMYFUNCTION("""COMPUTED_VALUE"""),213.92)</f>
        <v>213.92</v>
      </c>
      <c r="F1307" s="1">
        <f ca="1">IFERROR(__xludf.DUMMYFUNCTION("""COMPUTED_VALUE"""),56309709)</f>
        <v>56309709</v>
      </c>
      <c r="G1307" s="5">
        <f t="shared" ca="1" si="60"/>
        <v>1.2668287210172064E-2</v>
      </c>
      <c r="H1307" s="14">
        <f t="shared" si="61"/>
        <v>2020</v>
      </c>
      <c r="I1307" s="5">
        <f t="shared" ca="1" si="62"/>
        <v>6.090061495734974E-2</v>
      </c>
      <c r="J1307" s="16"/>
    </row>
    <row r="1308" spans="1:10" x14ac:dyDescent="0.2">
      <c r="A1308" s="3">
        <v>44173</v>
      </c>
      <c r="B1308" s="1">
        <f ca="1">IFERROR(__xludf.DUMMYFUNCTION("""COMPUTED_VALUE"""),208.5)</f>
        <v>208.5</v>
      </c>
      <c r="C1308" s="1">
        <f ca="1">IFERROR(__xludf.DUMMYFUNCTION("""COMPUTED_VALUE"""),217.09)</f>
        <v>217.09</v>
      </c>
      <c r="D1308" s="1">
        <f ca="1">IFERROR(__xludf.DUMMYFUNCTION("""COMPUTED_VALUE"""),206.17)</f>
        <v>206.17</v>
      </c>
      <c r="E1308" s="1">
        <f ca="1">IFERROR(__xludf.DUMMYFUNCTION("""COMPUTED_VALUE"""),216.63)</f>
        <v>216.63</v>
      </c>
      <c r="F1308" s="1">
        <f ca="1">IFERROR(__xludf.DUMMYFUNCTION("""COMPUTED_VALUE"""),64265029)</f>
        <v>64265029</v>
      </c>
      <c r="G1308" s="5">
        <f t="shared" ca="1" si="60"/>
        <v>-6.9888750403914443E-2</v>
      </c>
      <c r="H1308" s="14">
        <f t="shared" si="61"/>
        <v>2020</v>
      </c>
      <c r="I1308" s="5">
        <f t="shared" ca="1" si="62"/>
        <v>3.8992805755395661E-2</v>
      </c>
      <c r="J1308" s="16"/>
    </row>
    <row r="1309" spans="1:10" x14ac:dyDescent="0.2">
      <c r="A1309" s="3">
        <v>44174</v>
      </c>
      <c r="B1309" s="1">
        <f ca="1">IFERROR(__xludf.DUMMYFUNCTION("""COMPUTED_VALUE"""),217.9)</f>
        <v>217.9</v>
      </c>
      <c r="C1309" s="1">
        <f ca="1">IFERROR(__xludf.DUMMYFUNCTION("""COMPUTED_VALUE"""),218.11)</f>
        <v>218.11</v>
      </c>
      <c r="D1309" s="1">
        <f ca="1">IFERROR(__xludf.DUMMYFUNCTION("""COMPUTED_VALUE"""),196)</f>
        <v>196</v>
      </c>
      <c r="E1309" s="1">
        <f ca="1">IFERROR(__xludf.DUMMYFUNCTION("""COMPUTED_VALUE"""),201.49)</f>
        <v>201.49</v>
      </c>
      <c r="F1309" s="1">
        <f ca="1">IFERROR(__xludf.DUMMYFUNCTION("""COMPUTED_VALUE"""),71291190)</f>
        <v>71291190</v>
      </c>
      <c r="G1309" s="5">
        <f t="shared" ca="1" si="60"/>
        <v>3.7371581716214207E-2</v>
      </c>
      <c r="H1309" s="14">
        <f t="shared" si="61"/>
        <v>2020</v>
      </c>
      <c r="I1309" s="5">
        <f t="shared" ca="1" si="62"/>
        <v>-7.5309775126204667E-2</v>
      </c>
      <c r="J1309" s="16"/>
    </row>
    <row r="1310" spans="1:10" x14ac:dyDescent="0.2">
      <c r="A1310" s="3">
        <v>44175</v>
      </c>
      <c r="B1310" s="1">
        <f ca="1">IFERROR(__xludf.DUMMYFUNCTION("""COMPUTED_VALUE"""),191.46)</f>
        <v>191.46</v>
      </c>
      <c r="C1310" s="1">
        <f ca="1">IFERROR(__xludf.DUMMYFUNCTION("""COMPUTED_VALUE"""),209.25)</f>
        <v>209.25</v>
      </c>
      <c r="D1310" s="1">
        <f ca="1">IFERROR(__xludf.DUMMYFUNCTION("""COMPUTED_VALUE"""),188.78)</f>
        <v>188.78</v>
      </c>
      <c r="E1310" s="1">
        <f ca="1">IFERROR(__xludf.DUMMYFUNCTION("""COMPUTED_VALUE"""),209.02)</f>
        <v>209.02</v>
      </c>
      <c r="F1310" s="1">
        <f ca="1">IFERROR(__xludf.DUMMYFUNCTION("""COMPUTED_VALUE"""),67083153)</f>
        <v>67083153</v>
      </c>
      <c r="G1310" s="5">
        <f t="shared" ca="1" si="60"/>
        <v>-2.7222275380346366E-2</v>
      </c>
      <c r="H1310" s="14">
        <f t="shared" si="61"/>
        <v>2020</v>
      </c>
      <c r="I1310" s="5">
        <f t="shared" ca="1" si="62"/>
        <v>9.1716285385981408E-2</v>
      </c>
      <c r="J1310" s="16"/>
    </row>
    <row r="1311" spans="1:10" x14ac:dyDescent="0.2">
      <c r="A1311" s="3">
        <v>44176</v>
      </c>
      <c r="B1311" s="1">
        <f ca="1">IFERROR(__xludf.DUMMYFUNCTION("""COMPUTED_VALUE"""),205)</f>
        <v>205</v>
      </c>
      <c r="C1311" s="1">
        <f ca="1">IFERROR(__xludf.DUMMYFUNCTION("""COMPUTED_VALUE"""),208)</f>
        <v>208</v>
      </c>
      <c r="D1311" s="1">
        <f ca="1">IFERROR(__xludf.DUMMYFUNCTION("""COMPUTED_VALUE"""),198.93)</f>
        <v>198.93</v>
      </c>
      <c r="E1311" s="1">
        <f ca="1">IFERROR(__xludf.DUMMYFUNCTION("""COMPUTED_VALUE"""),203.33)</f>
        <v>203.33</v>
      </c>
      <c r="F1311" s="1">
        <f ca="1">IFERROR(__xludf.DUMMYFUNCTION("""COMPUTED_VALUE"""),46474974)</f>
        <v>46474974</v>
      </c>
      <c r="G1311" s="5">
        <f t="shared" ca="1" si="60"/>
        <v>4.8935228446367912E-2</v>
      </c>
      <c r="H1311" s="14">
        <f t="shared" si="61"/>
        <v>2020</v>
      </c>
      <c r="I1311" s="5">
        <f t="shared" ca="1" si="62"/>
        <v>-8.1463414634145737E-3</v>
      </c>
      <c r="J1311" s="16"/>
    </row>
    <row r="1312" spans="1:10" x14ac:dyDescent="0.2">
      <c r="A1312" s="3">
        <v>44179</v>
      </c>
      <c r="B1312" s="1">
        <f ca="1">IFERROR(__xludf.DUMMYFUNCTION("""COMPUTED_VALUE"""),206.33)</f>
        <v>206.33</v>
      </c>
      <c r="C1312" s="1">
        <f ca="1">IFERROR(__xludf.DUMMYFUNCTION("""COMPUTED_VALUE"""),214.25)</f>
        <v>214.25</v>
      </c>
      <c r="D1312" s="1">
        <f ca="1">IFERROR(__xludf.DUMMYFUNCTION("""COMPUTED_VALUE"""),203.4)</f>
        <v>203.4</v>
      </c>
      <c r="E1312" s="1">
        <f ca="1">IFERROR(__xludf.DUMMYFUNCTION("""COMPUTED_VALUE"""),213.28)</f>
        <v>213.28</v>
      </c>
      <c r="F1312" s="1">
        <f ca="1">IFERROR(__xludf.DUMMYFUNCTION("""COMPUTED_VALUE"""),52040649)</f>
        <v>52040649</v>
      </c>
      <c r="G1312" s="5">
        <f t="shared" ca="1" si="60"/>
        <v>-1.0315078769692369E-2</v>
      </c>
      <c r="H1312" s="14">
        <f t="shared" si="61"/>
        <v>2020</v>
      </c>
      <c r="I1312" s="5">
        <f t="shared" ca="1" si="62"/>
        <v>3.3683904424950263E-2</v>
      </c>
      <c r="J1312" s="16"/>
    </row>
    <row r="1313" spans="1:10" x14ac:dyDescent="0.2">
      <c r="A1313" s="3">
        <v>44180</v>
      </c>
      <c r="B1313" s="1">
        <f ca="1">IFERROR(__xludf.DUMMYFUNCTION("""COMPUTED_VALUE"""),214.43)</f>
        <v>214.43</v>
      </c>
      <c r="C1313" s="1">
        <f ca="1">IFERROR(__xludf.DUMMYFUNCTION("""COMPUTED_VALUE"""),215.63)</f>
        <v>215.63</v>
      </c>
      <c r="D1313" s="1">
        <f ca="1">IFERROR(__xludf.DUMMYFUNCTION("""COMPUTED_VALUE"""),207.93)</f>
        <v>207.93</v>
      </c>
      <c r="E1313" s="1">
        <f ca="1">IFERROR(__xludf.DUMMYFUNCTION("""COMPUTED_VALUE"""),211.08)</f>
        <v>211.08</v>
      </c>
      <c r="F1313" s="1">
        <f ca="1">IFERROR(__xludf.DUMMYFUNCTION("""COMPUTED_VALUE"""),45223559)</f>
        <v>45223559</v>
      </c>
      <c r="G1313" s="5">
        <f t="shared" ca="1" si="60"/>
        <v>-1.6534015539132123E-2</v>
      </c>
      <c r="H1313" s="14">
        <f t="shared" si="61"/>
        <v>2020</v>
      </c>
      <c r="I1313" s="5">
        <f t="shared" ca="1" si="62"/>
        <v>-1.5622813971925543E-2</v>
      </c>
      <c r="J1313" s="16"/>
    </row>
    <row r="1314" spans="1:10" x14ac:dyDescent="0.2">
      <c r="A1314" s="3">
        <v>44181</v>
      </c>
      <c r="B1314" s="1">
        <f ca="1">IFERROR(__xludf.DUMMYFUNCTION("""COMPUTED_VALUE"""),209.41)</f>
        <v>209.41</v>
      </c>
      <c r="C1314" s="1">
        <f ca="1">IFERROR(__xludf.DUMMYFUNCTION("""COMPUTED_VALUE"""),210.83)</f>
        <v>210.83</v>
      </c>
      <c r="D1314" s="1">
        <f ca="1">IFERROR(__xludf.DUMMYFUNCTION("""COMPUTED_VALUE"""),201.67)</f>
        <v>201.67</v>
      </c>
      <c r="E1314" s="1">
        <f ca="1">IFERROR(__xludf.DUMMYFUNCTION("""COMPUTED_VALUE"""),207.59)</f>
        <v>207.59</v>
      </c>
      <c r="F1314" s="1">
        <f ca="1">IFERROR(__xludf.DUMMYFUNCTION("""COMPUTED_VALUE"""),42095813)</f>
        <v>42095813</v>
      </c>
      <c r="G1314" s="5">
        <f t="shared" ca="1" si="60"/>
        <v>5.3181752492894606E-2</v>
      </c>
      <c r="H1314" s="14">
        <f t="shared" si="61"/>
        <v>2020</v>
      </c>
      <c r="I1314" s="5">
        <f t="shared" ca="1" si="62"/>
        <v>-8.6910844754309411E-3</v>
      </c>
      <c r="J1314" s="16"/>
    </row>
    <row r="1315" spans="1:10" x14ac:dyDescent="0.2">
      <c r="A1315" s="3">
        <v>44182</v>
      </c>
      <c r="B1315" s="1">
        <f ca="1">IFERROR(__xludf.DUMMYFUNCTION("""COMPUTED_VALUE"""),209.4)</f>
        <v>209.4</v>
      </c>
      <c r="C1315" s="1">
        <f ca="1">IFERROR(__xludf.DUMMYFUNCTION("""COMPUTED_VALUE"""),219.61)</f>
        <v>219.61</v>
      </c>
      <c r="D1315" s="1">
        <f ca="1">IFERROR(__xludf.DUMMYFUNCTION("""COMPUTED_VALUE"""),206.5)</f>
        <v>206.5</v>
      </c>
      <c r="E1315" s="1">
        <f ca="1">IFERROR(__xludf.DUMMYFUNCTION("""COMPUTED_VALUE"""),218.63)</f>
        <v>218.63</v>
      </c>
      <c r="F1315" s="1">
        <f ca="1">IFERROR(__xludf.DUMMYFUNCTION("""COMPUTED_VALUE"""),56270144)</f>
        <v>56270144</v>
      </c>
      <c r="G1315" s="5">
        <f t="shared" ca="1" si="60"/>
        <v>5.9644147646709014E-2</v>
      </c>
      <c r="H1315" s="14">
        <f t="shared" si="61"/>
        <v>2020</v>
      </c>
      <c r="I1315" s="5">
        <f t="shared" ca="1" si="62"/>
        <v>4.4078319006685719E-2</v>
      </c>
      <c r="J1315" s="16"/>
    </row>
    <row r="1316" spans="1:10" x14ac:dyDescent="0.2">
      <c r="A1316" s="3">
        <v>44183</v>
      </c>
      <c r="B1316" s="1">
        <f ca="1">IFERROR(__xludf.DUMMYFUNCTION("""COMPUTED_VALUE"""),222.97)</f>
        <v>222.97</v>
      </c>
      <c r="C1316" s="1">
        <f ca="1">IFERROR(__xludf.DUMMYFUNCTION("""COMPUTED_VALUE"""),231.67)</f>
        <v>231.67</v>
      </c>
      <c r="D1316" s="1">
        <f ca="1">IFERROR(__xludf.DUMMYFUNCTION("""COMPUTED_VALUE"""),209.51)</f>
        <v>209.51</v>
      </c>
      <c r="E1316" s="1">
        <f ca="1">IFERROR(__xludf.DUMMYFUNCTION("""COMPUTED_VALUE"""),231.67)</f>
        <v>231.67</v>
      </c>
      <c r="F1316" s="1">
        <f ca="1">IFERROR(__xludf.DUMMYFUNCTION("""COMPUTED_VALUE"""),222126194)</f>
        <v>222126194</v>
      </c>
      <c r="G1316" s="5">
        <f t="shared" ca="1" si="60"/>
        <v>-6.4963094056200557E-2</v>
      </c>
      <c r="H1316" s="14">
        <f t="shared" si="61"/>
        <v>2020</v>
      </c>
      <c r="I1316" s="5">
        <f t="shared" ca="1" si="62"/>
        <v>3.9018702067542668E-2</v>
      </c>
      <c r="J1316" s="16"/>
    </row>
    <row r="1317" spans="1:10" x14ac:dyDescent="0.2">
      <c r="A1317" s="3">
        <v>44186</v>
      </c>
      <c r="B1317" s="1">
        <f ca="1">IFERROR(__xludf.DUMMYFUNCTION("""COMPUTED_VALUE"""),222.08)</f>
        <v>222.08</v>
      </c>
      <c r="C1317" s="1">
        <f ca="1">IFERROR(__xludf.DUMMYFUNCTION("""COMPUTED_VALUE"""),222.83)</f>
        <v>222.83</v>
      </c>
      <c r="D1317" s="1">
        <f ca="1">IFERROR(__xludf.DUMMYFUNCTION("""COMPUTED_VALUE"""),215.36)</f>
        <v>215.36</v>
      </c>
      <c r="E1317" s="1">
        <f ca="1">IFERROR(__xludf.DUMMYFUNCTION("""COMPUTED_VALUE"""),216.62)</f>
        <v>216.62</v>
      </c>
      <c r="F1317" s="1">
        <f ca="1">IFERROR(__xludf.DUMMYFUNCTION("""COMPUTED_VALUE"""),58045264)</f>
        <v>58045264</v>
      </c>
      <c r="G1317" s="5">
        <f t="shared" ca="1" si="60"/>
        <v>-1.463392115224825E-2</v>
      </c>
      <c r="H1317" s="14">
        <f t="shared" si="61"/>
        <v>2020</v>
      </c>
      <c r="I1317" s="5">
        <f t="shared" ca="1" si="62"/>
        <v>-2.4585734870317039E-2</v>
      </c>
      <c r="J1317" s="16"/>
    </row>
    <row r="1318" spans="1:10" x14ac:dyDescent="0.2">
      <c r="A1318" s="3">
        <v>44187</v>
      </c>
      <c r="B1318" s="1">
        <f ca="1">IFERROR(__xludf.DUMMYFUNCTION("""COMPUTED_VALUE"""),216)</f>
        <v>216</v>
      </c>
      <c r="C1318" s="1">
        <f ca="1">IFERROR(__xludf.DUMMYFUNCTION("""COMPUTED_VALUE"""),216.63)</f>
        <v>216.63</v>
      </c>
      <c r="D1318" s="1">
        <f ca="1">IFERROR(__xludf.DUMMYFUNCTION("""COMPUTED_VALUE"""),204.74)</f>
        <v>204.74</v>
      </c>
      <c r="E1318" s="1">
        <f ca="1">IFERROR(__xludf.DUMMYFUNCTION("""COMPUTED_VALUE"""),213.45)</f>
        <v>213.45</v>
      </c>
      <c r="F1318" s="1">
        <f ca="1">IFERROR(__xludf.DUMMYFUNCTION("""COMPUTED_VALUE"""),51861644)</f>
        <v>51861644</v>
      </c>
      <c r="G1318" s="5">
        <f t="shared" ca="1" si="60"/>
        <v>8.8076832981964105E-3</v>
      </c>
      <c r="H1318" s="14">
        <f t="shared" si="61"/>
        <v>2020</v>
      </c>
      <c r="I1318" s="5">
        <f t="shared" ca="1" si="62"/>
        <v>-1.1805555555555609E-2</v>
      </c>
      <c r="J1318" s="16"/>
    </row>
    <row r="1319" spans="1:10" x14ac:dyDescent="0.2">
      <c r="A1319" s="3">
        <v>44188</v>
      </c>
      <c r="B1319" s="1">
        <f ca="1">IFERROR(__xludf.DUMMYFUNCTION("""COMPUTED_VALUE"""),210.73)</f>
        <v>210.73</v>
      </c>
      <c r="C1319" s="1">
        <f ca="1">IFERROR(__xludf.DUMMYFUNCTION("""COMPUTED_VALUE"""),217.17)</f>
        <v>217.17</v>
      </c>
      <c r="D1319" s="1">
        <f ca="1">IFERROR(__xludf.DUMMYFUNCTION("""COMPUTED_VALUE"""),207.52)</f>
        <v>207.52</v>
      </c>
      <c r="E1319" s="1">
        <f ca="1">IFERROR(__xludf.DUMMYFUNCTION("""COMPUTED_VALUE"""),215.33)</f>
        <v>215.33</v>
      </c>
      <c r="F1319" s="1">
        <f ca="1">IFERROR(__xludf.DUMMYFUNCTION("""COMPUTED_VALUE"""),33172972)</f>
        <v>33172972</v>
      </c>
      <c r="G1319" s="5">
        <f t="shared" ca="1" si="60"/>
        <v>2.442762271861789E-2</v>
      </c>
      <c r="H1319" s="14">
        <f t="shared" si="61"/>
        <v>2020</v>
      </c>
      <c r="I1319" s="5">
        <f t="shared" ca="1" si="62"/>
        <v>2.1828880558060187E-2</v>
      </c>
      <c r="J1319" s="16"/>
    </row>
    <row r="1320" spans="1:10" x14ac:dyDescent="0.2">
      <c r="A1320" s="3">
        <v>44189</v>
      </c>
      <c r="B1320" s="1">
        <f ca="1">IFERROR(__xludf.DUMMYFUNCTION("""COMPUTED_VALUE"""),214.33)</f>
        <v>214.33</v>
      </c>
      <c r="C1320" s="1">
        <f ca="1">IFERROR(__xludf.DUMMYFUNCTION("""COMPUTED_VALUE"""),222.03)</f>
        <v>222.03</v>
      </c>
      <c r="D1320" s="1">
        <f ca="1">IFERROR(__xludf.DUMMYFUNCTION("""COMPUTED_VALUE"""),213.67)</f>
        <v>213.67</v>
      </c>
      <c r="E1320" s="1">
        <f ca="1">IFERROR(__xludf.DUMMYFUNCTION("""COMPUTED_VALUE"""),220.59)</f>
        <v>220.59</v>
      </c>
      <c r="F1320" s="1">
        <f ca="1">IFERROR(__xludf.DUMMYFUNCTION("""COMPUTED_VALUE"""),22865568)</f>
        <v>22865568</v>
      </c>
      <c r="G1320" s="5">
        <f t="shared" ca="1" si="60"/>
        <v>2.9013101228522885E-3</v>
      </c>
      <c r="H1320" s="14">
        <f t="shared" si="61"/>
        <v>2020</v>
      </c>
      <c r="I1320" s="5">
        <f t="shared" ca="1" si="62"/>
        <v>2.9207297158587182E-2</v>
      </c>
      <c r="J1320" s="16"/>
    </row>
    <row r="1321" spans="1:10" x14ac:dyDescent="0.2">
      <c r="A1321" s="3">
        <v>44193</v>
      </c>
      <c r="B1321" s="1">
        <f ca="1">IFERROR(__xludf.DUMMYFUNCTION("""COMPUTED_VALUE"""),224.84)</f>
        <v>224.84</v>
      </c>
      <c r="C1321" s="1">
        <f ca="1">IFERROR(__xludf.DUMMYFUNCTION("""COMPUTED_VALUE"""),227.13)</f>
        <v>227.13</v>
      </c>
      <c r="D1321" s="1">
        <f ca="1">IFERROR(__xludf.DUMMYFUNCTION("""COMPUTED_VALUE"""),220.27)</f>
        <v>220.27</v>
      </c>
      <c r="E1321" s="1">
        <f ca="1">IFERROR(__xludf.DUMMYFUNCTION("""COMPUTED_VALUE"""),221.23)</f>
        <v>221.23</v>
      </c>
      <c r="F1321" s="1">
        <f ca="1">IFERROR(__xludf.DUMMYFUNCTION("""COMPUTED_VALUE"""),32278561)</f>
        <v>32278561</v>
      </c>
      <c r="G1321" s="5">
        <f t="shared" ca="1" si="60"/>
        <v>3.4805406138408456E-3</v>
      </c>
      <c r="H1321" s="14">
        <f t="shared" si="61"/>
        <v>2020</v>
      </c>
      <c r="I1321" s="5">
        <f t="shared" ca="1" si="62"/>
        <v>-1.6055861946272964E-2</v>
      </c>
      <c r="J1321" s="16"/>
    </row>
    <row r="1322" spans="1:10" x14ac:dyDescent="0.2">
      <c r="A1322" s="3">
        <v>44194</v>
      </c>
      <c r="B1322" s="1">
        <f ca="1">IFERROR(__xludf.DUMMYFUNCTION("""COMPUTED_VALUE"""),220.33)</f>
        <v>220.33</v>
      </c>
      <c r="C1322" s="1">
        <f ca="1">IFERROR(__xludf.DUMMYFUNCTION("""COMPUTED_VALUE"""),223.3)</f>
        <v>223.3</v>
      </c>
      <c r="D1322" s="1">
        <f ca="1">IFERROR(__xludf.DUMMYFUNCTION("""COMPUTED_VALUE"""),218.33)</f>
        <v>218.33</v>
      </c>
      <c r="E1322" s="1">
        <f ca="1">IFERROR(__xludf.DUMMYFUNCTION("""COMPUTED_VALUE"""),222)</f>
        <v>222</v>
      </c>
      <c r="F1322" s="1">
        <f ca="1">IFERROR(__xludf.DUMMYFUNCTION("""COMPUTED_VALUE"""),22910811)</f>
        <v>22910811</v>
      </c>
      <c r="G1322" s="5">
        <f t="shared" ca="1" si="60"/>
        <v>4.3198198198198215E-2</v>
      </c>
      <c r="H1322" s="14">
        <f t="shared" si="61"/>
        <v>2020</v>
      </c>
      <c r="I1322" s="5">
        <f t="shared" ca="1" si="62"/>
        <v>7.579539781237178E-3</v>
      </c>
      <c r="J1322" s="16"/>
    </row>
    <row r="1323" spans="1:10" x14ac:dyDescent="0.2">
      <c r="A1323" s="3">
        <v>44195</v>
      </c>
      <c r="B1323" s="1">
        <f ca="1">IFERROR(__xludf.DUMMYFUNCTION("""COMPUTED_VALUE"""),224)</f>
        <v>224</v>
      </c>
      <c r="C1323" s="1">
        <f ca="1">IFERROR(__xludf.DUMMYFUNCTION("""COMPUTED_VALUE"""),232.2)</f>
        <v>232.2</v>
      </c>
      <c r="D1323" s="1">
        <f ca="1">IFERROR(__xludf.DUMMYFUNCTION("""COMPUTED_VALUE"""),222.79)</f>
        <v>222.79</v>
      </c>
      <c r="E1323" s="1">
        <f ca="1">IFERROR(__xludf.DUMMYFUNCTION("""COMPUTED_VALUE"""),231.59)</f>
        <v>231.59</v>
      </c>
      <c r="F1323" s="1">
        <f ca="1">IFERROR(__xludf.DUMMYFUNCTION("""COMPUTED_VALUE"""),42846021)</f>
        <v>42846021</v>
      </c>
      <c r="G1323" s="5">
        <f t="shared" ca="1" si="60"/>
        <v>1.5674251910704241E-2</v>
      </c>
      <c r="H1323" s="14">
        <f t="shared" si="61"/>
        <v>2020</v>
      </c>
      <c r="I1323" s="5">
        <f t="shared" ca="1" si="62"/>
        <v>3.3883928571428586E-2</v>
      </c>
      <c r="J1323" s="16"/>
    </row>
    <row r="1324" spans="1:10" x14ac:dyDescent="0.2">
      <c r="A1324" s="3">
        <v>44196</v>
      </c>
      <c r="B1324" s="1">
        <f ca="1">IFERROR(__xludf.DUMMYFUNCTION("""COMPUTED_VALUE"""),233.33)</f>
        <v>233.33</v>
      </c>
      <c r="C1324" s="1">
        <f ca="1">IFERROR(__xludf.DUMMYFUNCTION("""COMPUTED_VALUE"""),239.57)</f>
        <v>239.57</v>
      </c>
      <c r="D1324" s="1">
        <f ca="1">IFERROR(__xludf.DUMMYFUNCTION("""COMPUTED_VALUE"""),230.37)</f>
        <v>230.37</v>
      </c>
      <c r="E1324" s="1">
        <f ca="1">IFERROR(__xludf.DUMMYFUNCTION("""COMPUTED_VALUE"""),235.22)</f>
        <v>235.22</v>
      </c>
      <c r="F1324" s="1">
        <f ca="1">IFERROR(__xludf.DUMMYFUNCTION("""COMPUTED_VALUE"""),49649928)</f>
        <v>49649928</v>
      </c>
      <c r="G1324" s="5">
        <f t="shared" ca="1" si="60"/>
        <v>3.4180766941586567E-2</v>
      </c>
      <c r="H1324" s="14">
        <f t="shared" si="61"/>
        <v>2020</v>
      </c>
      <c r="I1324" s="5">
        <f t="shared" ca="1" si="62"/>
        <v>8.1001157159387403E-3</v>
      </c>
      <c r="J1324" s="16"/>
    </row>
    <row r="1325" spans="1:10" x14ac:dyDescent="0.2">
      <c r="A1325" s="3">
        <v>44200</v>
      </c>
      <c r="B1325" s="1">
        <f ca="1">IFERROR(__xludf.DUMMYFUNCTION("""COMPUTED_VALUE"""),239.82)</f>
        <v>239.82</v>
      </c>
      <c r="C1325" s="1">
        <f ca="1">IFERROR(__xludf.DUMMYFUNCTION("""COMPUTED_VALUE"""),248.16)</f>
        <v>248.16</v>
      </c>
      <c r="D1325" s="1">
        <f ca="1">IFERROR(__xludf.DUMMYFUNCTION("""COMPUTED_VALUE"""),239.06)</f>
        <v>239.06</v>
      </c>
      <c r="E1325" s="1">
        <f ca="1">IFERROR(__xludf.DUMMYFUNCTION("""COMPUTED_VALUE"""),243.26)</f>
        <v>243.26</v>
      </c>
      <c r="F1325" s="1">
        <f ca="1">IFERROR(__xludf.DUMMYFUNCTION("""COMPUTED_VALUE"""),48638189)</f>
        <v>48638189</v>
      </c>
      <c r="G1325" s="5">
        <f t="shared" ca="1" si="60"/>
        <v>7.3172736989229681E-3</v>
      </c>
      <c r="H1325" s="14">
        <f t="shared" si="61"/>
        <v>2021</v>
      </c>
      <c r="I1325" s="5">
        <f t="shared" ca="1" si="62"/>
        <v>1.4344091401884737E-2</v>
      </c>
      <c r="J1325" s="16"/>
    </row>
    <row r="1326" spans="1:10" x14ac:dyDescent="0.2">
      <c r="A1326" s="3">
        <v>44201</v>
      </c>
      <c r="B1326" s="1">
        <f ca="1">IFERROR(__xludf.DUMMYFUNCTION("""COMPUTED_VALUE"""),241.22)</f>
        <v>241.22</v>
      </c>
      <c r="C1326" s="1">
        <f ca="1">IFERROR(__xludf.DUMMYFUNCTION("""COMPUTED_VALUE"""),246.95)</f>
        <v>246.95</v>
      </c>
      <c r="D1326" s="1">
        <f ca="1">IFERROR(__xludf.DUMMYFUNCTION("""COMPUTED_VALUE"""),239.73)</f>
        <v>239.73</v>
      </c>
      <c r="E1326" s="1">
        <f ca="1">IFERROR(__xludf.DUMMYFUNCTION("""COMPUTED_VALUE"""),245.04)</f>
        <v>245.04</v>
      </c>
      <c r="F1326" s="1">
        <f ca="1">IFERROR(__xludf.DUMMYFUNCTION("""COMPUTED_VALUE"""),32245165)</f>
        <v>32245165</v>
      </c>
      <c r="G1326" s="5">
        <f t="shared" ca="1" si="60"/>
        <v>2.8362716291217831E-2</v>
      </c>
      <c r="H1326" s="14">
        <f t="shared" si="61"/>
        <v>2021</v>
      </c>
      <c r="I1326" s="5">
        <f t="shared" ca="1" si="62"/>
        <v>1.5836166155376807E-2</v>
      </c>
      <c r="J1326" s="16"/>
    </row>
    <row r="1327" spans="1:10" x14ac:dyDescent="0.2">
      <c r="A1327" s="3">
        <v>44202</v>
      </c>
      <c r="B1327" s="1">
        <f ca="1">IFERROR(__xludf.DUMMYFUNCTION("""COMPUTED_VALUE"""),252.83)</f>
        <v>252.83</v>
      </c>
      <c r="C1327" s="1">
        <f ca="1">IFERROR(__xludf.DUMMYFUNCTION("""COMPUTED_VALUE"""),258)</f>
        <v>258</v>
      </c>
      <c r="D1327" s="1">
        <f ca="1">IFERROR(__xludf.DUMMYFUNCTION("""COMPUTED_VALUE"""),249.7)</f>
        <v>249.7</v>
      </c>
      <c r="E1327" s="1">
        <f ca="1">IFERROR(__xludf.DUMMYFUNCTION("""COMPUTED_VALUE"""),251.99)</f>
        <v>251.99</v>
      </c>
      <c r="F1327" s="1">
        <f ca="1">IFERROR(__xludf.DUMMYFUNCTION("""COMPUTED_VALUE"""),44699965)</f>
        <v>44699965</v>
      </c>
      <c r="G1327" s="5">
        <f t="shared" ca="1" si="60"/>
        <v>7.9447597126870037E-2</v>
      </c>
      <c r="H1327" s="14">
        <f t="shared" si="61"/>
        <v>2021</v>
      </c>
      <c r="I1327" s="5">
        <f t="shared" ca="1" si="62"/>
        <v>-3.3223905390974305E-3</v>
      </c>
      <c r="J1327" s="16"/>
    </row>
    <row r="1328" spans="1:10" x14ac:dyDescent="0.2">
      <c r="A1328" s="3">
        <v>44203</v>
      </c>
      <c r="B1328" s="1">
        <f ca="1">IFERROR(__xludf.DUMMYFUNCTION("""COMPUTED_VALUE"""),259.21)</f>
        <v>259.20999999999998</v>
      </c>
      <c r="C1328" s="1">
        <f ca="1">IFERROR(__xludf.DUMMYFUNCTION("""COMPUTED_VALUE"""),272.33)</f>
        <v>272.33</v>
      </c>
      <c r="D1328" s="1">
        <f ca="1">IFERROR(__xludf.DUMMYFUNCTION("""COMPUTED_VALUE"""),258.4)</f>
        <v>258.39999999999998</v>
      </c>
      <c r="E1328" s="1">
        <f ca="1">IFERROR(__xludf.DUMMYFUNCTION("""COMPUTED_VALUE"""),272.01)</f>
        <v>272.01</v>
      </c>
      <c r="F1328" s="1">
        <f ca="1">IFERROR(__xludf.DUMMYFUNCTION("""COMPUTED_VALUE"""),51498948)</f>
        <v>51498948</v>
      </c>
      <c r="G1328" s="5">
        <f t="shared" ca="1" si="60"/>
        <v>7.8416234697253728E-2</v>
      </c>
      <c r="H1328" s="14">
        <f t="shared" si="61"/>
        <v>2021</v>
      </c>
      <c r="I1328" s="5">
        <f t="shared" ca="1" si="62"/>
        <v>4.9380810925504462E-2</v>
      </c>
      <c r="J1328" s="16"/>
    </row>
    <row r="1329" spans="1:10" x14ac:dyDescent="0.2">
      <c r="A1329" s="3">
        <v>44204</v>
      </c>
      <c r="B1329" s="1">
        <f ca="1">IFERROR(__xludf.DUMMYFUNCTION("""COMPUTED_VALUE"""),285.33)</f>
        <v>285.33</v>
      </c>
      <c r="C1329" s="1">
        <f ca="1">IFERROR(__xludf.DUMMYFUNCTION("""COMPUTED_VALUE"""),294.83)</f>
        <v>294.83</v>
      </c>
      <c r="D1329" s="1">
        <f ca="1">IFERROR(__xludf.DUMMYFUNCTION("""COMPUTED_VALUE"""),279.46)</f>
        <v>279.45999999999998</v>
      </c>
      <c r="E1329" s="1">
        <f ca="1">IFERROR(__xludf.DUMMYFUNCTION("""COMPUTED_VALUE"""),293.34)</f>
        <v>293.33999999999997</v>
      </c>
      <c r="F1329" s="1">
        <f ca="1">IFERROR(__xludf.DUMMYFUNCTION("""COMPUTED_VALUE"""),75055528)</f>
        <v>75055528</v>
      </c>
      <c r="G1329" s="5">
        <f t="shared" ca="1" si="60"/>
        <v>-7.8202768118906391E-2</v>
      </c>
      <c r="H1329" s="14">
        <f t="shared" si="61"/>
        <v>2021</v>
      </c>
      <c r="I1329" s="5">
        <f t="shared" ca="1" si="62"/>
        <v>2.8072757859320757E-2</v>
      </c>
      <c r="J1329" s="16"/>
    </row>
    <row r="1330" spans="1:10" x14ac:dyDescent="0.2">
      <c r="A1330" s="3">
        <v>44207</v>
      </c>
      <c r="B1330" s="1">
        <f ca="1">IFERROR(__xludf.DUMMYFUNCTION("""COMPUTED_VALUE"""),283.13)</f>
        <v>283.13</v>
      </c>
      <c r="C1330" s="1">
        <f ca="1">IFERROR(__xludf.DUMMYFUNCTION("""COMPUTED_VALUE"""),284.81)</f>
        <v>284.81</v>
      </c>
      <c r="D1330" s="1">
        <f ca="1">IFERROR(__xludf.DUMMYFUNCTION("""COMPUTED_VALUE"""),267.87)</f>
        <v>267.87</v>
      </c>
      <c r="E1330" s="1">
        <f ca="1">IFERROR(__xludf.DUMMYFUNCTION("""COMPUTED_VALUE"""),270.4)</f>
        <v>270.39999999999998</v>
      </c>
      <c r="F1330" s="1">
        <f ca="1">IFERROR(__xludf.DUMMYFUNCTION("""COMPUTED_VALUE"""),59554146)</f>
        <v>59554146</v>
      </c>
      <c r="G1330" s="5">
        <f t="shared" ca="1" si="60"/>
        <v>4.715236686390533E-2</v>
      </c>
      <c r="H1330" s="14">
        <f t="shared" si="61"/>
        <v>2021</v>
      </c>
      <c r="I1330" s="5">
        <f t="shared" ca="1" si="62"/>
        <v>-4.4961678380955807E-2</v>
      </c>
      <c r="J1330" s="16"/>
    </row>
    <row r="1331" spans="1:10" x14ac:dyDescent="0.2">
      <c r="A1331" s="3">
        <v>44208</v>
      </c>
      <c r="B1331" s="1">
        <f ca="1">IFERROR(__xludf.DUMMYFUNCTION("""COMPUTED_VALUE"""),277)</f>
        <v>277</v>
      </c>
      <c r="C1331" s="1">
        <f ca="1">IFERROR(__xludf.DUMMYFUNCTION("""COMPUTED_VALUE"""),289.33)</f>
        <v>289.33</v>
      </c>
      <c r="D1331" s="1">
        <f ca="1">IFERROR(__xludf.DUMMYFUNCTION("""COMPUTED_VALUE"""),275.78)</f>
        <v>275.77999999999997</v>
      </c>
      <c r="E1331" s="1">
        <f ca="1">IFERROR(__xludf.DUMMYFUNCTION("""COMPUTED_VALUE"""),283.15)</f>
        <v>283.14999999999998</v>
      </c>
      <c r="F1331" s="1">
        <f ca="1">IFERROR(__xludf.DUMMYFUNCTION("""COMPUTED_VALUE"""),46270720)</f>
        <v>46270720</v>
      </c>
      <c r="G1331" s="5">
        <f t="shared" ca="1" si="60"/>
        <v>5.827300017658606E-3</v>
      </c>
      <c r="H1331" s="14">
        <f t="shared" si="61"/>
        <v>2021</v>
      </c>
      <c r="I1331" s="5">
        <f t="shared" ca="1" si="62"/>
        <v>2.2202166064981866E-2</v>
      </c>
      <c r="J1331" s="16"/>
    </row>
    <row r="1332" spans="1:10" x14ac:dyDescent="0.2">
      <c r="A1332" s="3">
        <v>44209</v>
      </c>
      <c r="B1332" s="1">
        <f ca="1">IFERROR(__xludf.DUMMYFUNCTION("""COMPUTED_VALUE"""),284.25)</f>
        <v>284.25</v>
      </c>
      <c r="C1332" s="1">
        <f ca="1">IFERROR(__xludf.DUMMYFUNCTION("""COMPUTED_VALUE"""),286.82)</f>
        <v>286.82</v>
      </c>
      <c r="D1332" s="1">
        <f ca="1">IFERROR(__xludf.DUMMYFUNCTION("""COMPUTED_VALUE"""),277.33)</f>
        <v>277.33</v>
      </c>
      <c r="E1332" s="1">
        <f ca="1">IFERROR(__xludf.DUMMYFUNCTION("""COMPUTED_VALUE"""),284.8)</f>
        <v>284.8</v>
      </c>
      <c r="F1332" s="1">
        <f ca="1">IFERROR(__xludf.DUMMYFUNCTION("""COMPUTED_VALUE"""),33312496)</f>
        <v>33312496</v>
      </c>
      <c r="G1332" s="5">
        <f t="shared" ca="1" si="60"/>
        <v>-1.0990168539325827E-2</v>
      </c>
      <c r="H1332" s="14">
        <f t="shared" si="61"/>
        <v>2021</v>
      </c>
      <c r="I1332" s="5">
        <f t="shared" ca="1" si="62"/>
        <v>1.9349164467898376E-3</v>
      </c>
      <c r="J1332" s="16"/>
    </row>
    <row r="1333" spans="1:10" x14ac:dyDescent="0.2">
      <c r="A1333" s="3">
        <v>44210</v>
      </c>
      <c r="B1333" s="1">
        <f ca="1">IFERROR(__xludf.DUMMYFUNCTION("""COMPUTED_VALUE"""),281.13)</f>
        <v>281.13</v>
      </c>
      <c r="C1333" s="1">
        <f ca="1">IFERROR(__xludf.DUMMYFUNCTION("""COMPUTED_VALUE"""),287.67)</f>
        <v>287.67</v>
      </c>
      <c r="D1333" s="1">
        <f ca="1">IFERROR(__xludf.DUMMYFUNCTION("""COMPUTED_VALUE"""),279.58)</f>
        <v>279.58</v>
      </c>
      <c r="E1333" s="1">
        <f ca="1">IFERROR(__xludf.DUMMYFUNCTION("""COMPUTED_VALUE"""),281.67)</f>
        <v>281.67</v>
      </c>
      <c r="F1333" s="1">
        <f ca="1">IFERROR(__xludf.DUMMYFUNCTION("""COMPUTED_VALUE"""),31266327)</f>
        <v>31266327</v>
      </c>
      <c r="G1333" s="5">
        <f t="shared" ca="1" si="60"/>
        <v>-2.2295594134980754E-2</v>
      </c>
      <c r="H1333" s="14">
        <f t="shared" si="61"/>
        <v>2021</v>
      </c>
      <c r="I1333" s="5">
        <f t="shared" ca="1" si="62"/>
        <v>1.9208195496746006E-3</v>
      </c>
      <c r="J1333" s="16"/>
    </row>
    <row r="1334" spans="1:10" x14ac:dyDescent="0.2">
      <c r="A1334" s="3">
        <v>44211</v>
      </c>
      <c r="B1334" s="1">
        <f ca="1">IFERROR(__xludf.DUMMYFUNCTION("""COMPUTED_VALUE"""),284)</f>
        <v>284</v>
      </c>
      <c r="C1334" s="1">
        <f ca="1">IFERROR(__xludf.DUMMYFUNCTION("""COMPUTED_VALUE"""),286.63)</f>
        <v>286.63</v>
      </c>
      <c r="D1334" s="1">
        <f ca="1">IFERROR(__xludf.DUMMYFUNCTION("""COMPUTED_VALUE"""),273.03)</f>
        <v>273.02999999999997</v>
      </c>
      <c r="E1334" s="1">
        <f ca="1">IFERROR(__xludf.DUMMYFUNCTION("""COMPUTED_VALUE"""),275.39)</f>
        <v>275.39</v>
      </c>
      <c r="F1334" s="1">
        <f ca="1">IFERROR(__xludf.DUMMYFUNCTION("""COMPUTED_VALUE"""),38777596)</f>
        <v>38777596</v>
      </c>
      <c r="G1334" s="5">
        <f t="shared" ca="1" si="60"/>
        <v>2.2259341297795839E-2</v>
      </c>
      <c r="H1334" s="14">
        <f t="shared" si="61"/>
        <v>2021</v>
      </c>
      <c r="I1334" s="5">
        <f t="shared" ca="1" si="62"/>
        <v>-3.0316901408450753E-2</v>
      </c>
      <c r="J1334" s="16"/>
    </row>
    <row r="1335" spans="1:10" x14ac:dyDescent="0.2">
      <c r="A1335" s="3">
        <v>44215</v>
      </c>
      <c r="B1335" s="1">
        <f ca="1">IFERROR(__xludf.DUMMYFUNCTION("""COMPUTED_VALUE"""),279.27)</f>
        <v>279.27</v>
      </c>
      <c r="C1335" s="1">
        <f ca="1">IFERROR(__xludf.DUMMYFUNCTION("""COMPUTED_VALUE"""),283.33)</f>
        <v>283.33</v>
      </c>
      <c r="D1335" s="1">
        <f ca="1">IFERROR(__xludf.DUMMYFUNCTION("""COMPUTED_VALUE"""),277.67)</f>
        <v>277.67</v>
      </c>
      <c r="E1335" s="1">
        <f ca="1">IFERROR(__xludf.DUMMYFUNCTION("""COMPUTED_VALUE"""),281.52)</f>
        <v>281.52</v>
      </c>
      <c r="F1335" s="1">
        <f ca="1">IFERROR(__xludf.DUMMYFUNCTION("""COMPUTED_VALUE"""),25366980)</f>
        <v>25366980</v>
      </c>
      <c r="G1335" s="5">
        <f t="shared" ca="1" si="60"/>
        <v>6.9622051719239715E-3</v>
      </c>
      <c r="H1335" s="14">
        <f t="shared" si="61"/>
        <v>2021</v>
      </c>
      <c r="I1335" s="5">
        <f t="shared" ca="1" si="62"/>
        <v>8.0567193038994529E-3</v>
      </c>
      <c r="J1335" s="16"/>
    </row>
    <row r="1336" spans="1:10" x14ac:dyDescent="0.2">
      <c r="A1336" s="3">
        <v>44216</v>
      </c>
      <c r="B1336" s="1">
        <f ca="1">IFERROR(__xludf.DUMMYFUNCTION("""COMPUTED_VALUE"""),286.25)</f>
        <v>286.25</v>
      </c>
      <c r="C1336" s="1">
        <f ca="1">IFERROR(__xludf.DUMMYFUNCTION("""COMPUTED_VALUE"""),286.5)</f>
        <v>286.5</v>
      </c>
      <c r="D1336" s="1">
        <f ca="1">IFERROR(__xludf.DUMMYFUNCTION("""COMPUTED_VALUE"""),279.09)</f>
        <v>279.08999999999997</v>
      </c>
      <c r="E1336" s="1">
        <f ca="1">IFERROR(__xludf.DUMMYFUNCTION("""COMPUTED_VALUE"""),283.48)</f>
        <v>283.48</v>
      </c>
      <c r="F1336" s="1">
        <f ca="1">IFERROR(__xludf.DUMMYFUNCTION("""COMPUTED_VALUE"""),25665883)</f>
        <v>25665883</v>
      </c>
      <c r="G1336" s="5">
        <f t="shared" ca="1" si="60"/>
        <v>-6.4202060110060428E-3</v>
      </c>
      <c r="H1336" s="14">
        <f t="shared" si="61"/>
        <v>2021</v>
      </c>
      <c r="I1336" s="5">
        <f t="shared" ca="1" si="62"/>
        <v>-9.6768558951964428E-3</v>
      </c>
      <c r="J1336" s="16"/>
    </row>
    <row r="1337" spans="1:10" x14ac:dyDescent="0.2">
      <c r="A1337" s="3">
        <v>44217</v>
      </c>
      <c r="B1337" s="1">
        <f ca="1">IFERROR(__xludf.DUMMYFUNCTION("""COMPUTED_VALUE"""),285)</f>
        <v>285</v>
      </c>
      <c r="C1337" s="1">
        <f ca="1">IFERROR(__xludf.DUMMYFUNCTION("""COMPUTED_VALUE"""),285.24)</f>
        <v>285.24</v>
      </c>
      <c r="D1337" s="1">
        <f ca="1">IFERROR(__xludf.DUMMYFUNCTION("""COMPUTED_VALUE"""),280.47)</f>
        <v>280.47000000000003</v>
      </c>
      <c r="E1337" s="1">
        <f ca="1">IFERROR(__xludf.DUMMYFUNCTION("""COMPUTED_VALUE"""),281.66)</f>
        <v>281.66000000000003</v>
      </c>
      <c r="F1337" s="1">
        <f ca="1">IFERROR(__xludf.DUMMYFUNCTION("""COMPUTED_VALUE"""),20598133)</f>
        <v>20598133</v>
      </c>
      <c r="G1337" s="5">
        <f t="shared" ca="1" si="60"/>
        <v>1.952708939856403E-3</v>
      </c>
      <c r="H1337" s="14">
        <f t="shared" si="61"/>
        <v>2021</v>
      </c>
      <c r="I1337" s="5">
        <f t="shared" ca="1" si="62"/>
        <v>-1.1719298245613947E-2</v>
      </c>
      <c r="J1337" s="16"/>
    </row>
    <row r="1338" spans="1:10" x14ac:dyDescent="0.2">
      <c r="A1338" s="3">
        <v>44218</v>
      </c>
      <c r="B1338" s="1">
        <f ca="1">IFERROR(__xludf.DUMMYFUNCTION("""COMPUTED_VALUE"""),278.1)</f>
        <v>278.10000000000002</v>
      </c>
      <c r="C1338" s="1">
        <f ca="1">IFERROR(__xludf.DUMMYFUNCTION("""COMPUTED_VALUE"""),282.67)</f>
        <v>282.67</v>
      </c>
      <c r="D1338" s="1">
        <f ca="1">IFERROR(__xludf.DUMMYFUNCTION("""COMPUTED_VALUE"""),276.21)</f>
        <v>276.20999999999998</v>
      </c>
      <c r="E1338" s="1">
        <f ca="1">IFERROR(__xludf.DUMMYFUNCTION("""COMPUTED_VALUE"""),282.21)</f>
        <v>282.20999999999998</v>
      </c>
      <c r="F1338" s="1">
        <f ca="1">IFERROR(__xludf.DUMMYFUNCTION("""COMPUTED_VALUE"""),20066497)</f>
        <v>20066497</v>
      </c>
      <c r="G1338" s="5">
        <f t="shared" ca="1" si="60"/>
        <v>4.0360015591226546E-2</v>
      </c>
      <c r="H1338" s="14">
        <f t="shared" si="61"/>
        <v>2021</v>
      </c>
      <c r="I1338" s="5">
        <f t="shared" ca="1" si="62"/>
        <v>1.4778856526429185E-2</v>
      </c>
      <c r="J1338" s="16"/>
    </row>
    <row r="1339" spans="1:10" x14ac:dyDescent="0.2">
      <c r="A1339" s="3">
        <v>44221</v>
      </c>
      <c r="B1339" s="1">
        <f ca="1">IFERROR(__xludf.DUMMYFUNCTION("""COMPUTED_VALUE"""),285)</f>
        <v>285</v>
      </c>
      <c r="C1339" s="1">
        <f ca="1">IFERROR(__xludf.DUMMYFUNCTION("""COMPUTED_VALUE"""),300.13)</f>
        <v>300.13</v>
      </c>
      <c r="D1339" s="1">
        <f ca="1">IFERROR(__xludf.DUMMYFUNCTION("""COMPUTED_VALUE"""),279.61)</f>
        <v>279.61</v>
      </c>
      <c r="E1339" s="1">
        <f ca="1">IFERROR(__xludf.DUMMYFUNCTION("""COMPUTED_VALUE"""),293.6)</f>
        <v>293.60000000000002</v>
      </c>
      <c r="F1339" s="1">
        <f ca="1">IFERROR(__xludf.DUMMYFUNCTION("""COMPUTED_VALUE"""),41173397)</f>
        <v>41173397</v>
      </c>
      <c r="G1339" s="5">
        <f t="shared" ca="1" si="60"/>
        <v>2.5885558583105955E-3</v>
      </c>
      <c r="H1339" s="14">
        <f t="shared" si="61"/>
        <v>2021</v>
      </c>
      <c r="I1339" s="5">
        <f t="shared" ca="1" si="62"/>
        <v>3.0175438596491307E-2</v>
      </c>
      <c r="J1339" s="16"/>
    </row>
    <row r="1340" spans="1:10" x14ac:dyDescent="0.2">
      <c r="A1340" s="3">
        <v>44222</v>
      </c>
      <c r="B1340" s="1">
        <f ca="1">IFERROR(__xludf.DUMMYFUNCTION("""COMPUTED_VALUE"""),297.13)</f>
        <v>297.13</v>
      </c>
      <c r="C1340" s="1">
        <f ca="1">IFERROR(__xludf.DUMMYFUNCTION("""COMPUTED_VALUE"""),298.63)</f>
        <v>298.63</v>
      </c>
      <c r="D1340" s="1">
        <f ca="1">IFERROR(__xludf.DUMMYFUNCTION("""COMPUTED_VALUE"""),290.53)</f>
        <v>290.52999999999997</v>
      </c>
      <c r="E1340" s="1">
        <f ca="1">IFERROR(__xludf.DUMMYFUNCTION("""COMPUTED_VALUE"""),294.36)</f>
        <v>294.36</v>
      </c>
      <c r="F1340" s="1">
        <f ca="1">IFERROR(__xludf.DUMMYFUNCTION("""COMPUTED_VALUE"""),23131603)</f>
        <v>23131603</v>
      </c>
      <c r="G1340" s="5">
        <f t="shared" ca="1" si="60"/>
        <v>-2.143633645875799E-2</v>
      </c>
      <c r="H1340" s="14">
        <f t="shared" si="61"/>
        <v>2021</v>
      </c>
      <c r="I1340" s="5">
        <f t="shared" ca="1" si="62"/>
        <v>-9.3225187628310224E-3</v>
      </c>
      <c r="J1340" s="16"/>
    </row>
    <row r="1341" spans="1:10" x14ac:dyDescent="0.2">
      <c r="A1341" s="3">
        <v>44223</v>
      </c>
      <c r="B1341" s="1">
        <f ca="1">IFERROR(__xludf.DUMMYFUNCTION("""COMPUTED_VALUE"""),290.12)</f>
        <v>290.12</v>
      </c>
      <c r="C1341" s="1">
        <f ca="1">IFERROR(__xludf.DUMMYFUNCTION("""COMPUTED_VALUE"""),297.17)</f>
        <v>297.17</v>
      </c>
      <c r="D1341" s="1">
        <f ca="1">IFERROR(__xludf.DUMMYFUNCTION("""COMPUTED_VALUE"""),286.22)</f>
        <v>286.22000000000003</v>
      </c>
      <c r="E1341" s="1">
        <f ca="1">IFERROR(__xludf.DUMMYFUNCTION("""COMPUTED_VALUE"""),288.05)</f>
        <v>288.05</v>
      </c>
      <c r="F1341" s="1">
        <f ca="1">IFERROR(__xludf.DUMMYFUNCTION("""COMPUTED_VALUE"""),27333955)</f>
        <v>27333955</v>
      </c>
      <c r="G1341" s="5">
        <f t="shared" ca="1" si="60"/>
        <v>-3.3223398715500757E-2</v>
      </c>
      <c r="H1341" s="14">
        <f t="shared" si="61"/>
        <v>2021</v>
      </c>
      <c r="I1341" s="5">
        <f t="shared" ca="1" si="62"/>
        <v>-7.1349786295325833E-3</v>
      </c>
      <c r="J1341" s="16"/>
    </row>
    <row r="1342" spans="1:10" x14ac:dyDescent="0.2">
      <c r="A1342" s="3">
        <v>44224</v>
      </c>
      <c r="B1342" s="1">
        <f ca="1">IFERROR(__xludf.DUMMYFUNCTION("""COMPUTED_VALUE"""),273.33)</f>
        <v>273.33</v>
      </c>
      <c r="C1342" s="1">
        <f ca="1">IFERROR(__xludf.DUMMYFUNCTION("""COMPUTED_VALUE"""),282.67)</f>
        <v>282.67</v>
      </c>
      <c r="D1342" s="1">
        <f ca="1">IFERROR(__xludf.DUMMYFUNCTION("""COMPUTED_VALUE"""),267)</f>
        <v>267</v>
      </c>
      <c r="E1342" s="1">
        <f ca="1">IFERROR(__xludf.DUMMYFUNCTION("""COMPUTED_VALUE"""),278.48)</f>
        <v>278.48</v>
      </c>
      <c r="F1342" s="1">
        <f ca="1">IFERROR(__xludf.DUMMYFUNCTION("""COMPUTED_VALUE"""),26378048)</f>
        <v>26378048</v>
      </c>
      <c r="G1342" s="5">
        <f t="shared" ca="1" si="60"/>
        <v>-5.0165182418845253E-2</v>
      </c>
      <c r="H1342" s="14">
        <f t="shared" si="61"/>
        <v>2021</v>
      </c>
      <c r="I1342" s="5">
        <f t="shared" ca="1" si="62"/>
        <v>1.8841693191380508E-2</v>
      </c>
      <c r="J1342" s="16"/>
    </row>
    <row r="1343" spans="1:10" x14ac:dyDescent="0.2">
      <c r="A1343" s="3">
        <v>44225</v>
      </c>
      <c r="B1343" s="1">
        <f ca="1">IFERROR(__xludf.DUMMYFUNCTION("""COMPUTED_VALUE"""),276.67)</f>
        <v>276.67</v>
      </c>
      <c r="C1343" s="1">
        <f ca="1">IFERROR(__xludf.DUMMYFUNCTION("""COMPUTED_VALUE"""),280.8)</f>
        <v>280.8</v>
      </c>
      <c r="D1343" s="1">
        <f ca="1">IFERROR(__xludf.DUMMYFUNCTION("""COMPUTED_VALUE"""),260.03)</f>
        <v>260.02999999999997</v>
      </c>
      <c r="E1343" s="1">
        <f ca="1">IFERROR(__xludf.DUMMYFUNCTION("""COMPUTED_VALUE"""),264.51)</f>
        <v>264.51</v>
      </c>
      <c r="F1343" s="1">
        <f ca="1">IFERROR(__xludf.DUMMYFUNCTION("""COMPUTED_VALUE"""),34990754)</f>
        <v>34990754</v>
      </c>
      <c r="G1343" s="5">
        <f t="shared" ca="1" si="60"/>
        <v>5.8334278477184254E-2</v>
      </c>
      <c r="H1343" s="14">
        <f t="shared" si="61"/>
        <v>2021</v>
      </c>
      <c r="I1343" s="5">
        <f t="shared" ca="1" si="62"/>
        <v>-4.3951277695449542E-2</v>
      </c>
      <c r="J1343" s="16"/>
    </row>
    <row r="1344" spans="1:10" x14ac:dyDescent="0.2">
      <c r="A1344" s="3">
        <v>44228</v>
      </c>
      <c r="B1344" s="1">
        <f ca="1">IFERROR(__xludf.DUMMYFUNCTION("""COMPUTED_VALUE"""),271.43)</f>
        <v>271.43</v>
      </c>
      <c r="C1344" s="1">
        <f ca="1">IFERROR(__xludf.DUMMYFUNCTION("""COMPUTED_VALUE"""),280.67)</f>
        <v>280.67</v>
      </c>
      <c r="D1344" s="1">
        <f ca="1">IFERROR(__xludf.DUMMYFUNCTION("""COMPUTED_VALUE"""),265.19)</f>
        <v>265.19</v>
      </c>
      <c r="E1344" s="1">
        <f ca="1">IFERROR(__xludf.DUMMYFUNCTION("""COMPUTED_VALUE"""),279.94)</f>
        <v>279.94</v>
      </c>
      <c r="F1344" s="1">
        <f ca="1">IFERROR(__xludf.DUMMYFUNCTION("""COMPUTED_VALUE"""),25391385)</f>
        <v>25391385</v>
      </c>
      <c r="G1344" s="5">
        <f t="shared" ca="1" si="60"/>
        <v>3.9258412516967954E-2</v>
      </c>
      <c r="H1344" s="14">
        <f t="shared" si="61"/>
        <v>2021</v>
      </c>
      <c r="I1344" s="5">
        <f t="shared" ca="1" si="62"/>
        <v>3.1352466565965409E-2</v>
      </c>
      <c r="J1344" s="16"/>
    </row>
    <row r="1345" spans="1:10" x14ac:dyDescent="0.2">
      <c r="A1345" s="3">
        <v>44229</v>
      </c>
      <c r="B1345" s="1">
        <f ca="1">IFERROR(__xludf.DUMMYFUNCTION("""COMPUTED_VALUE"""),281.56)</f>
        <v>281.56</v>
      </c>
      <c r="C1345" s="1">
        <f ca="1">IFERROR(__xludf.DUMMYFUNCTION("""COMPUTED_VALUE"""),293.5)</f>
        <v>293.5</v>
      </c>
      <c r="D1345" s="1">
        <f ca="1">IFERROR(__xludf.DUMMYFUNCTION("""COMPUTED_VALUE"""),280.73)</f>
        <v>280.73</v>
      </c>
      <c r="E1345" s="1">
        <f ca="1">IFERROR(__xludf.DUMMYFUNCTION("""COMPUTED_VALUE"""),290.93)</f>
        <v>290.93</v>
      </c>
      <c r="F1345" s="1">
        <f ca="1">IFERROR(__xludf.DUMMYFUNCTION("""COMPUTED_VALUE"""),24346213)</f>
        <v>24346213</v>
      </c>
      <c r="G1345" s="5">
        <f t="shared" ca="1" si="60"/>
        <v>-2.0726635273089846E-2</v>
      </c>
      <c r="H1345" s="14">
        <f t="shared" si="61"/>
        <v>2021</v>
      </c>
      <c r="I1345" s="5">
        <f t="shared" ca="1" si="62"/>
        <v>3.3278874840176179E-2</v>
      </c>
      <c r="J1345" s="16"/>
    </row>
    <row r="1346" spans="1:10" x14ac:dyDescent="0.2">
      <c r="A1346" s="3">
        <v>44230</v>
      </c>
      <c r="B1346" s="1">
        <f ca="1">IFERROR(__xludf.DUMMYFUNCTION("""COMPUTED_VALUE"""),292.34)</f>
        <v>292.33999999999997</v>
      </c>
      <c r="C1346" s="1">
        <f ca="1">IFERROR(__xludf.DUMMYFUNCTION("""COMPUTED_VALUE"""),292.69)</f>
        <v>292.69</v>
      </c>
      <c r="D1346" s="1">
        <f ca="1">IFERROR(__xludf.DUMMYFUNCTION("""COMPUTED_VALUE"""),284.35)</f>
        <v>284.35000000000002</v>
      </c>
      <c r="E1346" s="1">
        <f ca="1">IFERROR(__xludf.DUMMYFUNCTION("""COMPUTED_VALUE"""),284.9)</f>
        <v>284.89999999999998</v>
      </c>
      <c r="F1346" s="1">
        <f ca="1">IFERROR(__xludf.DUMMYFUNCTION("""COMPUTED_VALUE"""),18343510)</f>
        <v>18343510</v>
      </c>
      <c r="G1346" s="5">
        <f t="shared" ca="1" si="60"/>
        <v>-5.5107055107054869E-3</v>
      </c>
      <c r="H1346" s="14">
        <f t="shared" si="61"/>
        <v>2021</v>
      </c>
      <c r="I1346" s="5">
        <f t="shared" ca="1" si="62"/>
        <v>-2.5449818704248471E-2</v>
      </c>
      <c r="J1346" s="16"/>
    </row>
    <row r="1347" spans="1:10" x14ac:dyDescent="0.2">
      <c r="A1347" s="3">
        <v>44231</v>
      </c>
      <c r="B1347" s="1">
        <f ca="1">IFERROR(__xludf.DUMMYFUNCTION("""COMPUTED_VALUE"""),285)</f>
        <v>285</v>
      </c>
      <c r="C1347" s="1">
        <f ca="1">IFERROR(__xludf.DUMMYFUNCTION("""COMPUTED_VALUE"""),285.5)</f>
        <v>285.5</v>
      </c>
      <c r="D1347" s="1">
        <f ca="1">IFERROR(__xludf.DUMMYFUNCTION("""COMPUTED_VALUE"""),277.81)</f>
        <v>277.81</v>
      </c>
      <c r="E1347" s="1">
        <f ca="1">IFERROR(__xludf.DUMMYFUNCTION("""COMPUTED_VALUE"""),283.33)</f>
        <v>283.33</v>
      </c>
      <c r="F1347" s="1">
        <f ca="1">IFERROR(__xludf.DUMMYFUNCTION("""COMPUTED_VALUE"""),15812661)</f>
        <v>15812661</v>
      </c>
      <c r="G1347" s="5">
        <f t="shared" ref="G1347:G1410" ca="1" si="63">(E1348-E1347)/E1347</f>
        <v>2.6470899657643032E-3</v>
      </c>
      <c r="H1347" s="14">
        <f t="shared" ref="H1347:H1410" si="64">YEAR(A1347)</f>
        <v>2021</v>
      </c>
      <c r="I1347" s="5">
        <f t="shared" ref="I1347:I1410" ca="1" si="65">((E1347 - B1347) / B1347)</f>
        <v>-5.8596491228070733E-3</v>
      </c>
      <c r="J1347" s="16"/>
    </row>
    <row r="1348" spans="1:10" x14ac:dyDescent="0.2">
      <c r="A1348" s="3">
        <v>44232</v>
      </c>
      <c r="B1348" s="1">
        <f ca="1">IFERROR(__xludf.DUMMYFUNCTION("""COMPUTED_VALUE"""),281.67)</f>
        <v>281.67</v>
      </c>
      <c r="C1348" s="1">
        <f ca="1">IFERROR(__xludf.DUMMYFUNCTION("""COMPUTED_VALUE"""),288.26)</f>
        <v>288.26</v>
      </c>
      <c r="D1348" s="1">
        <f ca="1">IFERROR(__xludf.DUMMYFUNCTION("""COMPUTED_VALUE"""),279.66)</f>
        <v>279.66000000000003</v>
      </c>
      <c r="E1348" s="1">
        <f ca="1">IFERROR(__xludf.DUMMYFUNCTION("""COMPUTED_VALUE"""),284.08)</f>
        <v>284.08</v>
      </c>
      <c r="F1348" s="1">
        <f ca="1">IFERROR(__xludf.DUMMYFUNCTION("""COMPUTED_VALUE"""),18566637)</f>
        <v>18566637</v>
      </c>
      <c r="G1348" s="5">
        <f t="shared" ca="1" si="63"/>
        <v>1.3130104196001191E-2</v>
      </c>
      <c r="H1348" s="14">
        <f t="shared" si="64"/>
        <v>2021</v>
      </c>
      <c r="I1348" s="5">
        <f t="shared" ca="1" si="65"/>
        <v>8.5561117619908696E-3</v>
      </c>
      <c r="J1348" s="16"/>
    </row>
    <row r="1349" spans="1:10" x14ac:dyDescent="0.2">
      <c r="A1349" s="3">
        <v>44235</v>
      </c>
      <c r="B1349" s="1">
        <f ca="1">IFERROR(__xludf.DUMMYFUNCTION("""COMPUTED_VALUE"""),289.89)</f>
        <v>289.89</v>
      </c>
      <c r="C1349" s="1">
        <f ca="1">IFERROR(__xludf.DUMMYFUNCTION("""COMPUTED_VALUE"""),292.59)</f>
        <v>292.58999999999997</v>
      </c>
      <c r="D1349" s="1">
        <f ca="1">IFERROR(__xludf.DUMMYFUNCTION("""COMPUTED_VALUE"""),284.92)</f>
        <v>284.92</v>
      </c>
      <c r="E1349" s="1">
        <f ca="1">IFERROR(__xludf.DUMMYFUNCTION("""COMPUTED_VALUE"""),287.81)</f>
        <v>287.81</v>
      </c>
      <c r="F1349" s="1">
        <f ca="1">IFERROR(__xludf.DUMMYFUNCTION("""COMPUTED_VALUE"""),20161719)</f>
        <v>20161719</v>
      </c>
      <c r="G1349" s="5">
        <f t="shared" ca="1" si="63"/>
        <v>-1.6191237274590962E-2</v>
      </c>
      <c r="H1349" s="14">
        <f t="shared" si="64"/>
        <v>2021</v>
      </c>
      <c r="I1349" s="5">
        <f t="shared" ca="1" si="65"/>
        <v>-7.1751353961847049E-3</v>
      </c>
      <c r="J1349" s="16"/>
    </row>
    <row r="1350" spans="1:10" x14ac:dyDescent="0.2">
      <c r="A1350" s="3">
        <v>44236</v>
      </c>
      <c r="B1350" s="1">
        <f ca="1">IFERROR(__xludf.DUMMYFUNCTION("""COMPUTED_VALUE"""),285.04)</f>
        <v>285.04000000000002</v>
      </c>
      <c r="C1350" s="1">
        <f ca="1">IFERROR(__xludf.DUMMYFUNCTION("""COMPUTED_VALUE"""),286.6)</f>
        <v>286.60000000000002</v>
      </c>
      <c r="D1350" s="1">
        <f ca="1">IFERROR(__xludf.DUMMYFUNCTION("""COMPUTED_VALUE"""),280.58)</f>
        <v>280.58</v>
      </c>
      <c r="E1350" s="1">
        <f ca="1">IFERROR(__xludf.DUMMYFUNCTION("""COMPUTED_VALUE"""),283.15)</f>
        <v>283.14999999999998</v>
      </c>
      <c r="F1350" s="1">
        <f ca="1">IFERROR(__xludf.DUMMYFUNCTION("""COMPUTED_VALUE"""),15157651)</f>
        <v>15157651</v>
      </c>
      <c r="G1350" s="5">
        <f t="shared" ca="1" si="63"/>
        <v>-5.2551651068338326E-2</v>
      </c>
      <c r="H1350" s="14">
        <f t="shared" si="64"/>
        <v>2021</v>
      </c>
      <c r="I1350" s="5">
        <f t="shared" ca="1" si="65"/>
        <v>-6.6306483300590906E-3</v>
      </c>
      <c r="J1350" s="16"/>
    </row>
    <row r="1351" spans="1:10" x14ac:dyDescent="0.2">
      <c r="A1351" s="3">
        <v>44237</v>
      </c>
      <c r="B1351" s="1">
        <f ca="1">IFERROR(__xludf.DUMMYFUNCTION("""COMPUTED_VALUE"""),281.21)</f>
        <v>281.20999999999998</v>
      </c>
      <c r="C1351" s="1">
        <f ca="1">IFERROR(__xludf.DUMMYFUNCTION("""COMPUTED_VALUE"""),281.61)</f>
        <v>281.61</v>
      </c>
      <c r="D1351" s="1">
        <f ca="1">IFERROR(__xludf.DUMMYFUNCTION("""COMPUTED_VALUE"""),266.67)</f>
        <v>266.67</v>
      </c>
      <c r="E1351" s="1">
        <f ca="1">IFERROR(__xludf.DUMMYFUNCTION("""COMPUTED_VALUE"""),268.27)</f>
        <v>268.27</v>
      </c>
      <c r="F1351" s="1">
        <f ca="1">IFERROR(__xludf.DUMMYFUNCTION("""COMPUTED_VALUE"""),36216090)</f>
        <v>36216090</v>
      </c>
      <c r="G1351" s="5">
        <f t="shared" ca="1" si="63"/>
        <v>8.4989003615761356E-3</v>
      </c>
      <c r="H1351" s="14">
        <f t="shared" si="64"/>
        <v>2021</v>
      </c>
      <c r="I1351" s="5">
        <f t="shared" ca="1" si="65"/>
        <v>-4.6015433306070191E-2</v>
      </c>
      <c r="J1351" s="16"/>
    </row>
    <row r="1352" spans="1:10" x14ac:dyDescent="0.2">
      <c r="A1352" s="3">
        <v>44238</v>
      </c>
      <c r="B1352" s="1">
        <f ca="1">IFERROR(__xludf.DUMMYFUNCTION("""COMPUTED_VALUE"""),270.81)</f>
        <v>270.81</v>
      </c>
      <c r="C1352" s="1">
        <f ca="1">IFERROR(__xludf.DUMMYFUNCTION("""COMPUTED_VALUE"""),276.63)</f>
        <v>276.63</v>
      </c>
      <c r="D1352" s="1">
        <f ca="1">IFERROR(__xludf.DUMMYFUNCTION("""COMPUTED_VALUE"""),267.24)</f>
        <v>267.24</v>
      </c>
      <c r="E1352" s="1">
        <f ca="1">IFERROR(__xludf.DUMMYFUNCTION("""COMPUTED_VALUE"""),270.55)</f>
        <v>270.55</v>
      </c>
      <c r="F1352" s="1">
        <f ca="1">IFERROR(__xludf.DUMMYFUNCTION("""COMPUTED_VALUE"""),21622753)</f>
        <v>21622753</v>
      </c>
      <c r="G1352" s="5">
        <f t="shared" ca="1" si="63"/>
        <v>5.5072999445574169E-3</v>
      </c>
      <c r="H1352" s="14">
        <f t="shared" si="64"/>
        <v>2021</v>
      </c>
      <c r="I1352" s="5">
        <f t="shared" ca="1" si="65"/>
        <v>-9.6008271481847385E-4</v>
      </c>
      <c r="J1352" s="16"/>
    </row>
    <row r="1353" spans="1:10" x14ac:dyDescent="0.2">
      <c r="A1353" s="3">
        <v>44239</v>
      </c>
      <c r="B1353" s="1">
        <f ca="1">IFERROR(__xludf.DUMMYFUNCTION("""COMPUTED_VALUE"""),267.09)</f>
        <v>267.08999999999997</v>
      </c>
      <c r="C1353" s="1">
        <f ca="1">IFERROR(__xludf.DUMMYFUNCTION("""COMPUTED_VALUE"""),272.44)</f>
        <v>272.44</v>
      </c>
      <c r="D1353" s="1">
        <f ca="1">IFERROR(__xludf.DUMMYFUNCTION("""COMPUTED_VALUE"""),261.78)</f>
        <v>261.77999999999997</v>
      </c>
      <c r="E1353" s="1">
        <f ca="1">IFERROR(__xludf.DUMMYFUNCTION("""COMPUTED_VALUE"""),272.04)</f>
        <v>272.04000000000002</v>
      </c>
      <c r="F1353" s="1">
        <f ca="1">IFERROR(__xludf.DUMMYFUNCTION("""COMPUTED_VALUE"""),23768313)</f>
        <v>23768313</v>
      </c>
      <c r="G1353" s="5">
        <f t="shared" ca="1" si="63"/>
        <v>-2.4371415968239947E-2</v>
      </c>
      <c r="H1353" s="14">
        <f t="shared" si="64"/>
        <v>2021</v>
      </c>
      <c r="I1353" s="5">
        <f t="shared" ca="1" si="65"/>
        <v>1.8533078737504385E-2</v>
      </c>
      <c r="J1353" s="16"/>
    </row>
    <row r="1354" spans="1:10" x14ac:dyDescent="0.2">
      <c r="A1354" s="3">
        <v>44243</v>
      </c>
      <c r="B1354" s="1">
        <f ca="1">IFERROR(__xludf.DUMMYFUNCTION("""COMPUTED_VALUE"""),272.67)</f>
        <v>272.67</v>
      </c>
      <c r="C1354" s="1">
        <f ca="1">IFERROR(__xludf.DUMMYFUNCTION("""COMPUTED_VALUE"""),273.67)</f>
        <v>273.67</v>
      </c>
      <c r="D1354" s="1">
        <f ca="1">IFERROR(__xludf.DUMMYFUNCTION("""COMPUTED_VALUE"""),264.15)</f>
        <v>264.14999999999998</v>
      </c>
      <c r="E1354" s="1">
        <f ca="1">IFERROR(__xludf.DUMMYFUNCTION("""COMPUTED_VALUE"""),265.41)</f>
        <v>265.41000000000003</v>
      </c>
      <c r="F1354" s="1">
        <f ca="1">IFERROR(__xludf.DUMMYFUNCTION("""COMPUTED_VALUE"""),19802324)</f>
        <v>19802324</v>
      </c>
      <c r="G1354" s="5">
        <f t="shared" ca="1" si="63"/>
        <v>2.4113635507327768E-3</v>
      </c>
      <c r="H1354" s="14">
        <f t="shared" si="64"/>
        <v>2021</v>
      </c>
      <c r="I1354" s="5">
        <f t="shared" ca="1" si="65"/>
        <v>-2.6625591374188545E-2</v>
      </c>
      <c r="J1354" s="16"/>
    </row>
    <row r="1355" spans="1:10" x14ac:dyDescent="0.2">
      <c r="A1355" s="3">
        <v>44244</v>
      </c>
      <c r="B1355" s="1">
        <f ca="1">IFERROR(__xludf.DUMMYFUNCTION("""COMPUTED_VALUE"""),259.7)</f>
        <v>259.7</v>
      </c>
      <c r="C1355" s="1">
        <f ca="1">IFERROR(__xludf.DUMMYFUNCTION("""COMPUTED_VALUE"""),266.61)</f>
        <v>266.61</v>
      </c>
      <c r="D1355" s="1">
        <f ca="1">IFERROR(__xludf.DUMMYFUNCTION("""COMPUTED_VALUE"""),254)</f>
        <v>254</v>
      </c>
      <c r="E1355" s="1">
        <f ca="1">IFERROR(__xludf.DUMMYFUNCTION("""COMPUTED_VALUE"""),266.05)</f>
        <v>266.05</v>
      </c>
      <c r="F1355" s="1">
        <f ca="1">IFERROR(__xludf.DUMMYFUNCTION("""COMPUTED_VALUE"""),26078898)</f>
        <v>26078898</v>
      </c>
      <c r="G1355" s="5">
        <f t="shared" ca="1" si="63"/>
        <v>-1.3493704190941671E-2</v>
      </c>
      <c r="H1355" s="14">
        <f t="shared" si="64"/>
        <v>2021</v>
      </c>
      <c r="I1355" s="5">
        <f t="shared" ca="1" si="65"/>
        <v>2.4451289949942331E-2</v>
      </c>
      <c r="J1355" s="16"/>
    </row>
    <row r="1356" spans="1:10" x14ac:dyDescent="0.2">
      <c r="A1356" s="3">
        <v>44245</v>
      </c>
      <c r="B1356" s="1">
        <f ca="1">IFERROR(__xludf.DUMMYFUNCTION("""COMPUTED_VALUE"""),260.3)</f>
        <v>260.3</v>
      </c>
      <c r="C1356" s="1">
        <f ca="1">IFERROR(__xludf.DUMMYFUNCTION("""COMPUTED_VALUE"""),264.9)</f>
        <v>264.89999999999998</v>
      </c>
      <c r="D1356" s="1">
        <f ca="1">IFERROR(__xludf.DUMMYFUNCTION("""COMPUTED_VALUE"""),258.76)</f>
        <v>258.76</v>
      </c>
      <c r="E1356" s="1">
        <f ca="1">IFERROR(__xludf.DUMMYFUNCTION("""COMPUTED_VALUE"""),262.46)</f>
        <v>262.45999999999998</v>
      </c>
      <c r="F1356" s="1">
        <f ca="1">IFERROR(__xludf.DUMMYFUNCTION("""COMPUTED_VALUE"""),17957058)</f>
        <v>17957058</v>
      </c>
      <c r="G1356" s="5">
        <f t="shared" ca="1" si="63"/>
        <v>-7.734511925626659E-3</v>
      </c>
      <c r="H1356" s="14">
        <f t="shared" si="64"/>
        <v>2021</v>
      </c>
      <c r="I1356" s="5">
        <f t="shared" ca="1" si="65"/>
        <v>8.2981175566652632E-3</v>
      </c>
      <c r="J1356" s="16"/>
    </row>
    <row r="1357" spans="1:10" x14ac:dyDescent="0.2">
      <c r="A1357" s="3">
        <v>44246</v>
      </c>
      <c r="B1357" s="1">
        <f ca="1">IFERROR(__xludf.DUMMYFUNCTION("""COMPUTED_VALUE"""),265)</f>
        <v>265</v>
      </c>
      <c r="C1357" s="1">
        <f ca="1">IFERROR(__xludf.DUMMYFUNCTION("""COMPUTED_VALUE"""),265.6)</f>
        <v>265.60000000000002</v>
      </c>
      <c r="D1357" s="1">
        <f ca="1">IFERROR(__xludf.DUMMYFUNCTION("""COMPUTED_VALUE"""),259.12)</f>
        <v>259.12</v>
      </c>
      <c r="E1357" s="1">
        <f ca="1">IFERROR(__xludf.DUMMYFUNCTION("""COMPUTED_VALUE"""),260.43)</f>
        <v>260.43</v>
      </c>
      <c r="F1357" s="1">
        <f ca="1">IFERROR(__xludf.DUMMYFUNCTION("""COMPUTED_VALUE"""),18958255)</f>
        <v>18958255</v>
      </c>
      <c r="G1357" s="5">
        <f t="shared" ca="1" si="63"/>
        <v>-8.5474023729985096E-2</v>
      </c>
      <c r="H1357" s="14">
        <f t="shared" si="64"/>
        <v>2021</v>
      </c>
      <c r="I1357" s="5">
        <f t="shared" ca="1" si="65"/>
        <v>-1.72452830188679E-2</v>
      </c>
      <c r="J1357" s="16"/>
    </row>
    <row r="1358" spans="1:10" x14ac:dyDescent="0.2">
      <c r="A1358" s="3">
        <v>44249</v>
      </c>
      <c r="B1358" s="1">
        <f ca="1">IFERROR(__xludf.DUMMYFUNCTION("""COMPUTED_VALUE"""),254.21)</f>
        <v>254.21</v>
      </c>
      <c r="C1358" s="1">
        <f ca="1">IFERROR(__xludf.DUMMYFUNCTION("""COMPUTED_VALUE"""),256.17)</f>
        <v>256.17</v>
      </c>
      <c r="D1358" s="1">
        <f ca="1">IFERROR(__xludf.DUMMYFUNCTION("""COMPUTED_VALUE"""),236.73)</f>
        <v>236.73</v>
      </c>
      <c r="E1358" s="1">
        <f ca="1">IFERROR(__xludf.DUMMYFUNCTION("""COMPUTED_VALUE"""),238.17)</f>
        <v>238.17</v>
      </c>
      <c r="F1358" s="1">
        <f ca="1">IFERROR(__xludf.DUMMYFUNCTION("""COMPUTED_VALUE"""),37269716)</f>
        <v>37269716</v>
      </c>
      <c r="G1358" s="5">
        <f t="shared" ca="1" si="63"/>
        <v>-2.1917118024940164E-2</v>
      </c>
      <c r="H1358" s="14">
        <f t="shared" si="64"/>
        <v>2021</v>
      </c>
      <c r="I1358" s="5">
        <f t="shared" ca="1" si="65"/>
        <v>-6.309743912513284E-2</v>
      </c>
      <c r="J1358" s="16"/>
    </row>
    <row r="1359" spans="1:10" x14ac:dyDescent="0.2">
      <c r="A1359" s="3">
        <v>44250</v>
      </c>
      <c r="B1359" s="1">
        <f ca="1">IFERROR(__xludf.DUMMYFUNCTION("""COMPUTED_VALUE"""),220.71)</f>
        <v>220.71</v>
      </c>
      <c r="C1359" s="1">
        <f ca="1">IFERROR(__xludf.DUMMYFUNCTION("""COMPUTED_VALUE"""),237.87)</f>
        <v>237.87</v>
      </c>
      <c r="D1359" s="1">
        <f ca="1">IFERROR(__xludf.DUMMYFUNCTION("""COMPUTED_VALUE"""),206.33)</f>
        <v>206.33</v>
      </c>
      <c r="E1359" s="1">
        <f ca="1">IFERROR(__xludf.DUMMYFUNCTION("""COMPUTED_VALUE"""),232.95)</f>
        <v>232.95</v>
      </c>
      <c r="F1359" s="1">
        <f ca="1">IFERROR(__xludf.DUMMYFUNCTION("""COMPUTED_VALUE"""),66606882)</f>
        <v>66606882</v>
      </c>
      <c r="G1359" s="5">
        <f t="shared" ca="1" si="63"/>
        <v>6.1772912642197961E-2</v>
      </c>
      <c r="H1359" s="14">
        <f t="shared" si="64"/>
        <v>2021</v>
      </c>
      <c r="I1359" s="5">
        <f t="shared" ca="1" si="65"/>
        <v>5.5457387522087717E-2</v>
      </c>
      <c r="J1359" s="16"/>
    </row>
    <row r="1360" spans="1:10" x14ac:dyDescent="0.2">
      <c r="A1360" s="3">
        <v>44251</v>
      </c>
      <c r="B1360" s="1">
        <f ca="1">IFERROR(__xludf.DUMMYFUNCTION("""COMPUTED_VALUE"""),237.28)</f>
        <v>237.28</v>
      </c>
      <c r="C1360" s="1">
        <f ca="1">IFERROR(__xludf.DUMMYFUNCTION("""COMPUTED_VALUE"""),248.33)</f>
        <v>248.33</v>
      </c>
      <c r="D1360" s="1">
        <f ca="1">IFERROR(__xludf.DUMMYFUNCTION("""COMPUTED_VALUE"""),231.39)</f>
        <v>231.39</v>
      </c>
      <c r="E1360" s="1">
        <f ca="1">IFERROR(__xludf.DUMMYFUNCTION("""COMPUTED_VALUE"""),247.34)</f>
        <v>247.34</v>
      </c>
      <c r="F1360" s="1">
        <f ca="1">IFERROR(__xludf.DUMMYFUNCTION("""COMPUTED_VALUE"""),36766950)</f>
        <v>36766950</v>
      </c>
      <c r="G1360" s="5">
        <f t="shared" ca="1" si="63"/>
        <v>-8.057734292876205E-2</v>
      </c>
      <c r="H1360" s="14">
        <f t="shared" si="64"/>
        <v>2021</v>
      </c>
      <c r="I1360" s="5">
        <f t="shared" ca="1" si="65"/>
        <v>4.2397167902899539E-2</v>
      </c>
      <c r="J1360" s="16"/>
    </row>
    <row r="1361" spans="1:10" x14ac:dyDescent="0.2">
      <c r="A1361" s="3">
        <v>44252</v>
      </c>
      <c r="B1361" s="1">
        <f ca="1">IFERROR(__xludf.DUMMYFUNCTION("""COMPUTED_VALUE"""),242.05)</f>
        <v>242.05</v>
      </c>
      <c r="C1361" s="1">
        <f ca="1">IFERROR(__xludf.DUMMYFUNCTION("""COMPUTED_VALUE"""),245.74)</f>
        <v>245.74</v>
      </c>
      <c r="D1361" s="1">
        <f ca="1">IFERROR(__xludf.DUMMYFUNCTION("""COMPUTED_VALUE"""),223.53)</f>
        <v>223.53</v>
      </c>
      <c r="E1361" s="1">
        <f ca="1">IFERROR(__xludf.DUMMYFUNCTION("""COMPUTED_VALUE"""),227.41)</f>
        <v>227.41</v>
      </c>
      <c r="F1361" s="1">
        <f ca="1">IFERROR(__xludf.DUMMYFUNCTION("""COMPUTED_VALUE"""),39023855)</f>
        <v>39023855</v>
      </c>
      <c r="G1361" s="5">
        <f t="shared" ca="1" si="63"/>
        <v>-9.850050569456089E-3</v>
      </c>
      <c r="H1361" s="14">
        <f t="shared" si="64"/>
        <v>2021</v>
      </c>
      <c r="I1361" s="5">
        <f t="shared" ca="1" si="65"/>
        <v>-6.0483371204296692E-2</v>
      </c>
      <c r="J1361" s="16"/>
    </row>
    <row r="1362" spans="1:10" x14ac:dyDescent="0.2">
      <c r="A1362" s="3">
        <v>44253</v>
      </c>
      <c r="B1362" s="1">
        <f ca="1">IFERROR(__xludf.DUMMYFUNCTION("""COMPUTED_VALUE"""),233.33)</f>
        <v>233.33</v>
      </c>
      <c r="C1362" s="1">
        <f ca="1">IFERROR(__xludf.DUMMYFUNCTION("""COMPUTED_VALUE"""),235.57)</f>
        <v>235.57</v>
      </c>
      <c r="D1362" s="1">
        <f ca="1">IFERROR(__xludf.DUMMYFUNCTION("""COMPUTED_VALUE"""),219.84)</f>
        <v>219.84</v>
      </c>
      <c r="E1362" s="1">
        <f ca="1">IFERROR(__xludf.DUMMYFUNCTION("""COMPUTED_VALUE"""),225.17)</f>
        <v>225.17</v>
      </c>
      <c r="F1362" s="1">
        <f ca="1">IFERROR(__xludf.DUMMYFUNCTION("""COMPUTED_VALUE"""),41089173)</f>
        <v>41089173</v>
      </c>
      <c r="G1362" s="5">
        <f t="shared" ca="1" si="63"/>
        <v>6.355198294621843E-2</v>
      </c>
      <c r="H1362" s="14">
        <f t="shared" si="64"/>
        <v>2021</v>
      </c>
      <c r="I1362" s="5">
        <f t="shared" ca="1" si="65"/>
        <v>-3.4971928170402539E-2</v>
      </c>
      <c r="J1362" s="16"/>
    </row>
    <row r="1363" spans="1:10" x14ac:dyDescent="0.2">
      <c r="A1363" s="3">
        <v>44256</v>
      </c>
      <c r="B1363" s="1">
        <f ca="1">IFERROR(__xludf.DUMMYFUNCTION("""COMPUTED_VALUE"""),230.04)</f>
        <v>230.04</v>
      </c>
      <c r="C1363" s="1">
        <f ca="1">IFERROR(__xludf.DUMMYFUNCTION("""COMPUTED_VALUE"""),290.67)</f>
        <v>290.67</v>
      </c>
      <c r="D1363" s="1">
        <f ca="1">IFERROR(__xludf.DUMMYFUNCTION("""COMPUTED_VALUE"""),228.35)</f>
        <v>228.35</v>
      </c>
      <c r="E1363" s="1">
        <f ca="1">IFERROR(__xludf.DUMMYFUNCTION("""COMPUTED_VALUE"""),239.48)</f>
        <v>239.48</v>
      </c>
      <c r="F1363" s="1">
        <f ca="1">IFERROR(__xludf.DUMMYFUNCTION("""COMPUTED_VALUE"""),27136239)</f>
        <v>27136239</v>
      </c>
      <c r="G1363" s="5">
        <f t="shared" ca="1" si="63"/>
        <v>-4.4554868882578869E-2</v>
      </c>
      <c r="H1363" s="14">
        <f t="shared" si="64"/>
        <v>2021</v>
      </c>
      <c r="I1363" s="5">
        <f t="shared" ca="1" si="65"/>
        <v>4.1036341505825066E-2</v>
      </c>
      <c r="J1363" s="16"/>
    </row>
    <row r="1364" spans="1:10" x14ac:dyDescent="0.2">
      <c r="A1364" s="3">
        <v>44257</v>
      </c>
      <c r="B1364" s="1">
        <f ca="1">IFERROR(__xludf.DUMMYFUNCTION("""COMPUTED_VALUE"""),239.43)</f>
        <v>239.43</v>
      </c>
      <c r="C1364" s="1">
        <f ca="1">IFERROR(__xludf.DUMMYFUNCTION("""COMPUTED_VALUE"""),240.37)</f>
        <v>240.37</v>
      </c>
      <c r="D1364" s="1">
        <f ca="1">IFERROR(__xludf.DUMMYFUNCTION("""COMPUTED_VALUE"""),228.33)</f>
        <v>228.33</v>
      </c>
      <c r="E1364" s="1">
        <f ca="1">IFERROR(__xludf.DUMMYFUNCTION("""COMPUTED_VALUE"""),228.81)</f>
        <v>228.81</v>
      </c>
      <c r="F1364" s="1">
        <f ca="1">IFERROR(__xludf.DUMMYFUNCTION("""COMPUTED_VALUE"""),23732158)</f>
        <v>23732158</v>
      </c>
      <c r="G1364" s="5">
        <f t="shared" ca="1" si="63"/>
        <v>-4.8424456973034449E-2</v>
      </c>
      <c r="H1364" s="14">
        <f t="shared" si="64"/>
        <v>2021</v>
      </c>
      <c r="I1364" s="5">
        <f t="shared" ca="1" si="65"/>
        <v>-4.4355343941861941E-2</v>
      </c>
      <c r="J1364" s="16"/>
    </row>
    <row r="1365" spans="1:10" x14ac:dyDescent="0.2">
      <c r="A1365" s="3">
        <v>44258</v>
      </c>
      <c r="B1365" s="1">
        <f ca="1">IFERROR(__xludf.DUMMYFUNCTION("""COMPUTED_VALUE"""),229.33)</f>
        <v>229.33</v>
      </c>
      <c r="C1365" s="1">
        <f ca="1">IFERROR(__xludf.DUMMYFUNCTION("""COMPUTED_VALUE"""),233.57)</f>
        <v>233.57</v>
      </c>
      <c r="D1365" s="1">
        <f ca="1">IFERROR(__xludf.DUMMYFUNCTION("""COMPUTED_VALUE"""),217.24)</f>
        <v>217.24</v>
      </c>
      <c r="E1365" s="1">
        <f ca="1">IFERROR(__xludf.DUMMYFUNCTION("""COMPUTED_VALUE"""),217.73)</f>
        <v>217.73</v>
      </c>
      <c r="F1365" s="1">
        <f ca="1">IFERROR(__xludf.DUMMYFUNCTION("""COMPUTED_VALUE"""),30207960)</f>
        <v>30207960</v>
      </c>
      <c r="G1365" s="5">
        <f t="shared" ca="1" si="63"/>
        <v>-4.859229320718314E-2</v>
      </c>
      <c r="H1365" s="14">
        <f t="shared" si="64"/>
        <v>2021</v>
      </c>
      <c r="I1365" s="5">
        <f t="shared" ca="1" si="65"/>
        <v>-5.0582130554223267E-2</v>
      </c>
      <c r="J1365" s="16"/>
    </row>
    <row r="1366" spans="1:10" x14ac:dyDescent="0.2">
      <c r="A1366" s="3">
        <v>44259</v>
      </c>
      <c r="B1366" s="1">
        <f ca="1">IFERROR(__xludf.DUMMYFUNCTION("""COMPUTED_VALUE"""),218.6)</f>
        <v>218.6</v>
      </c>
      <c r="C1366" s="1">
        <f ca="1">IFERROR(__xludf.DUMMYFUNCTION("""COMPUTED_VALUE"""),291.31)</f>
        <v>291.31</v>
      </c>
      <c r="D1366" s="1">
        <f ca="1">IFERROR(__xludf.DUMMYFUNCTION("""COMPUTED_VALUE"""),200)</f>
        <v>200</v>
      </c>
      <c r="E1366" s="1">
        <f ca="1">IFERROR(__xludf.DUMMYFUNCTION("""COMPUTED_VALUE"""),207.15)</f>
        <v>207.15</v>
      </c>
      <c r="F1366" s="1">
        <f ca="1">IFERROR(__xludf.DUMMYFUNCTION("""COMPUTED_VALUE"""),65919530)</f>
        <v>65919530</v>
      </c>
      <c r="G1366" s="5">
        <f t="shared" ca="1" si="63"/>
        <v>-3.7798696596669137E-2</v>
      </c>
      <c r="H1366" s="14">
        <f t="shared" si="64"/>
        <v>2021</v>
      </c>
      <c r="I1366" s="5">
        <f t="shared" ca="1" si="65"/>
        <v>-5.2378774016468385E-2</v>
      </c>
      <c r="J1366" s="16"/>
    </row>
    <row r="1367" spans="1:10" x14ac:dyDescent="0.2">
      <c r="A1367" s="3">
        <v>44260</v>
      </c>
      <c r="B1367" s="1">
        <f ca="1">IFERROR(__xludf.DUMMYFUNCTION("""COMPUTED_VALUE"""),208.69)</f>
        <v>208.69</v>
      </c>
      <c r="C1367" s="1">
        <f ca="1">IFERROR(__xludf.DUMMYFUNCTION("""COMPUTED_VALUE"""),209.28)</f>
        <v>209.28</v>
      </c>
      <c r="D1367" s="1">
        <f ca="1">IFERROR(__xludf.DUMMYFUNCTION("""COMPUTED_VALUE"""),179.83)</f>
        <v>179.83</v>
      </c>
      <c r="E1367" s="1">
        <f ca="1">IFERROR(__xludf.DUMMYFUNCTION("""COMPUTED_VALUE"""),199.32)</f>
        <v>199.32</v>
      </c>
      <c r="F1367" s="1">
        <f ca="1">IFERROR(__xludf.DUMMYFUNCTION("""COMPUTED_VALUE"""),89396459)</f>
        <v>89396459</v>
      </c>
      <c r="G1367" s="5">
        <f t="shared" ca="1" si="63"/>
        <v>-5.8448725667268747E-2</v>
      </c>
      <c r="H1367" s="14">
        <f t="shared" si="64"/>
        <v>2021</v>
      </c>
      <c r="I1367" s="5">
        <f t="shared" ca="1" si="65"/>
        <v>-4.4899132684843572E-2</v>
      </c>
      <c r="J1367" s="16"/>
    </row>
    <row r="1368" spans="1:10" x14ac:dyDescent="0.2">
      <c r="A1368" s="3">
        <v>44263</v>
      </c>
      <c r="B1368" s="1">
        <f ca="1">IFERROR(__xludf.DUMMYFUNCTION("""COMPUTED_VALUE"""),200.18)</f>
        <v>200.18</v>
      </c>
      <c r="C1368" s="1">
        <f ca="1">IFERROR(__xludf.DUMMYFUNCTION("""COMPUTED_VALUE"""),206.71)</f>
        <v>206.71</v>
      </c>
      <c r="D1368" s="1">
        <f ca="1">IFERROR(__xludf.DUMMYFUNCTION("""COMPUTED_VALUE"""),186.26)</f>
        <v>186.26</v>
      </c>
      <c r="E1368" s="1">
        <f ca="1">IFERROR(__xludf.DUMMYFUNCTION("""COMPUTED_VALUE"""),187.67)</f>
        <v>187.67</v>
      </c>
      <c r="F1368" s="1">
        <f ca="1">IFERROR(__xludf.DUMMYFUNCTION("""COMPUTED_VALUE"""),51786958)</f>
        <v>51786958</v>
      </c>
      <c r="G1368" s="5">
        <f t="shared" ca="1" si="63"/>
        <v>0.19640858954547885</v>
      </c>
      <c r="H1368" s="14">
        <f t="shared" si="64"/>
        <v>2021</v>
      </c>
      <c r="I1368" s="5">
        <f t="shared" ca="1" si="65"/>
        <v>-6.2493755619942144E-2</v>
      </c>
      <c r="J1368" s="16"/>
    </row>
    <row r="1369" spans="1:10" x14ac:dyDescent="0.2">
      <c r="A1369" s="3">
        <v>44264</v>
      </c>
      <c r="B1369" s="1">
        <f ca="1">IFERROR(__xludf.DUMMYFUNCTION("""COMPUTED_VALUE"""),202.73)</f>
        <v>202.73</v>
      </c>
      <c r="C1369" s="1">
        <f ca="1">IFERROR(__xludf.DUMMYFUNCTION("""COMPUTED_VALUE"""),226.03)</f>
        <v>226.03</v>
      </c>
      <c r="D1369" s="1">
        <f ca="1">IFERROR(__xludf.DUMMYFUNCTION("""COMPUTED_VALUE"""),198.4)</f>
        <v>198.4</v>
      </c>
      <c r="E1369" s="1">
        <f ca="1">IFERROR(__xludf.DUMMYFUNCTION("""COMPUTED_VALUE"""),224.53)</f>
        <v>224.53</v>
      </c>
      <c r="F1369" s="1">
        <f ca="1">IFERROR(__xludf.DUMMYFUNCTION("""COMPUTED_VALUE"""),67523328)</f>
        <v>67523328</v>
      </c>
      <c r="G1369" s="5">
        <f t="shared" ca="1" si="63"/>
        <v>-8.1948960049882131E-3</v>
      </c>
      <c r="H1369" s="14">
        <f t="shared" si="64"/>
        <v>2021</v>
      </c>
      <c r="I1369" s="5">
        <f t="shared" ca="1" si="65"/>
        <v>0.10753218566566375</v>
      </c>
      <c r="J1369" s="16"/>
    </row>
    <row r="1370" spans="1:10" x14ac:dyDescent="0.2">
      <c r="A1370" s="3">
        <v>44265</v>
      </c>
      <c r="B1370" s="1">
        <f ca="1">IFERROR(__xludf.DUMMYFUNCTION("""COMPUTED_VALUE"""),233.43)</f>
        <v>233.43</v>
      </c>
      <c r="C1370" s="1">
        <f ca="1">IFERROR(__xludf.DUMMYFUNCTION("""COMPUTED_VALUE"""),239.28)</f>
        <v>239.28</v>
      </c>
      <c r="D1370" s="1">
        <f ca="1">IFERROR(__xludf.DUMMYFUNCTION("""COMPUTED_VALUE"""),218.35)</f>
        <v>218.35</v>
      </c>
      <c r="E1370" s="1">
        <f ca="1">IFERROR(__xludf.DUMMYFUNCTION("""COMPUTED_VALUE"""),222.69)</f>
        <v>222.69</v>
      </c>
      <c r="F1370" s="1">
        <f ca="1">IFERROR(__xludf.DUMMYFUNCTION("""COMPUTED_VALUE"""),60605672)</f>
        <v>60605672</v>
      </c>
      <c r="G1370" s="5">
        <f t="shared" ca="1" si="63"/>
        <v>4.7195653150118956E-2</v>
      </c>
      <c r="H1370" s="14">
        <f t="shared" si="64"/>
        <v>2021</v>
      </c>
      <c r="I1370" s="5">
        <f t="shared" ca="1" si="65"/>
        <v>-4.6009510345713954E-2</v>
      </c>
      <c r="J1370" s="16"/>
    </row>
    <row r="1371" spans="1:10" x14ac:dyDescent="0.2">
      <c r="A1371" s="3">
        <v>44266</v>
      </c>
      <c r="B1371" s="1">
        <f ca="1">IFERROR(__xludf.DUMMYFUNCTION("""COMPUTED_VALUE"""),233.13)</f>
        <v>233.13</v>
      </c>
      <c r="C1371" s="1">
        <f ca="1">IFERROR(__xludf.DUMMYFUNCTION("""COMPUTED_VALUE"""),234.17)</f>
        <v>234.17</v>
      </c>
      <c r="D1371" s="1">
        <f ca="1">IFERROR(__xludf.DUMMYFUNCTION("""COMPUTED_VALUE"""),225.73)</f>
        <v>225.73</v>
      </c>
      <c r="E1371" s="1">
        <f ca="1">IFERROR(__xludf.DUMMYFUNCTION("""COMPUTED_VALUE"""),233.2)</f>
        <v>233.2</v>
      </c>
      <c r="F1371" s="1">
        <f ca="1">IFERROR(__xludf.DUMMYFUNCTION("""COMPUTED_VALUE"""),36253892)</f>
        <v>36253892</v>
      </c>
      <c r="G1371" s="5">
        <f t="shared" ca="1" si="63"/>
        <v>-8.4048027444252986E-3</v>
      </c>
      <c r="H1371" s="14">
        <f t="shared" si="64"/>
        <v>2021</v>
      </c>
      <c r="I1371" s="5">
        <f t="shared" ca="1" si="65"/>
        <v>3.0026165658642468E-4</v>
      </c>
      <c r="J1371" s="16"/>
    </row>
    <row r="1372" spans="1:10" x14ac:dyDescent="0.2">
      <c r="A1372" s="3">
        <v>44267</v>
      </c>
      <c r="B1372" s="1">
        <f ca="1">IFERROR(__xludf.DUMMYFUNCTION("""COMPUTED_VALUE"""),223.33)</f>
        <v>223.33</v>
      </c>
      <c r="C1372" s="1">
        <f ca="1">IFERROR(__xludf.DUMMYFUNCTION("""COMPUTED_VALUE"""),231.63)</f>
        <v>231.63</v>
      </c>
      <c r="D1372" s="1">
        <f ca="1">IFERROR(__xludf.DUMMYFUNCTION("""COMPUTED_VALUE"""),222.05)</f>
        <v>222.05</v>
      </c>
      <c r="E1372" s="1">
        <f ca="1">IFERROR(__xludf.DUMMYFUNCTION("""COMPUTED_VALUE"""),231.24)</f>
        <v>231.24</v>
      </c>
      <c r="F1372" s="1">
        <f ca="1">IFERROR(__xludf.DUMMYFUNCTION("""COMPUTED_VALUE"""),33583840)</f>
        <v>33583840</v>
      </c>
      <c r="G1372" s="5">
        <f t="shared" ca="1" si="63"/>
        <v>2.0498183705241223E-2</v>
      </c>
      <c r="H1372" s="14">
        <f t="shared" si="64"/>
        <v>2021</v>
      </c>
      <c r="I1372" s="5">
        <f t="shared" ca="1" si="65"/>
        <v>3.5418439081180302E-2</v>
      </c>
      <c r="J1372" s="16"/>
    </row>
    <row r="1373" spans="1:10" x14ac:dyDescent="0.2">
      <c r="A1373" s="3">
        <v>44270</v>
      </c>
      <c r="B1373" s="1">
        <f ca="1">IFERROR(__xludf.DUMMYFUNCTION("""COMPUTED_VALUE"""),231.36)</f>
        <v>231.36</v>
      </c>
      <c r="C1373" s="1">
        <f ca="1">IFERROR(__xludf.DUMMYFUNCTION("""COMPUTED_VALUE"""),237.73)</f>
        <v>237.73</v>
      </c>
      <c r="D1373" s="1">
        <f ca="1">IFERROR(__xludf.DUMMYFUNCTION("""COMPUTED_VALUE"""),228.01)</f>
        <v>228.01</v>
      </c>
      <c r="E1373" s="1">
        <f ca="1">IFERROR(__xludf.DUMMYFUNCTION("""COMPUTED_VALUE"""),235.98)</f>
        <v>235.98</v>
      </c>
      <c r="F1373" s="1">
        <f ca="1">IFERROR(__xludf.DUMMYFUNCTION("""COMPUTED_VALUE"""),29423479)</f>
        <v>29423479</v>
      </c>
      <c r="G1373" s="5">
        <f t="shared" ca="1" si="63"/>
        <v>-4.3859649122806994E-2</v>
      </c>
      <c r="H1373" s="14">
        <f t="shared" si="64"/>
        <v>2021</v>
      </c>
      <c r="I1373" s="5">
        <f t="shared" ca="1" si="65"/>
        <v>1.9968879668049687E-2</v>
      </c>
      <c r="J1373" s="16"/>
    </row>
    <row r="1374" spans="1:10" x14ac:dyDescent="0.2">
      <c r="A1374" s="3">
        <v>44271</v>
      </c>
      <c r="B1374" s="1">
        <f ca="1">IFERROR(__xludf.DUMMYFUNCTION("""COMPUTED_VALUE"""),234.45)</f>
        <v>234.45</v>
      </c>
      <c r="C1374" s="1">
        <f ca="1">IFERROR(__xludf.DUMMYFUNCTION("""COMPUTED_VALUE"""),235.97)</f>
        <v>235.97</v>
      </c>
      <c r="D1374" s="1">
        <f ca="1">IFERROR(__xludf.DUMMYFUNCTION("""COMPUTED_VALUE"""),223.67)</f>
        <v>223.67</v>
      </c>
      <c r="E1374" s="1">
        <f ca="1">IFERROR(__xludf.DUMMYFUNCTION("""COMPUTED_VALUE"""),225.63)</f>
        <v>225.63</v>
      </c>
      <c r="F1374" s="1">
        <f ca="1">IFERROR(__xludf.DUMMYFUNCTION("""COMPUTED_VALUE"""),32195672)</f>
        <v>32195672</v>
      </c>
      <c r="G1374" s="5">
        <f t="shared" ca="1" si="63"/>
        <v>3.68302087488366E-2</v>
      </c>
      <c r="H1374" s="14">
        <f t="shared" si="64"/>
        <v>2021</v>
      </c>
      <c r="I1374" s="5">
        <f t="shared" ca="1" si="65"/>
        <v>-3.7619961612284043E-2</v>
      </c>
      <c r="J1374" s="16"/>
    </row>
    <row r="1375" spans="1:10" x14ac:dyDescent="0.2">
      <c r="A1375" s="3">
        <v>44272</v>
      </c>
      <c r="B1375" s="1">
        <f ca="1">IFERROR(__xludf.DUMMYFUNCTION("""COMPUTED_VALUE"""),218.96)</f>
        <v>218.96</v>
      </c>
      <c r="C1375" s="1">
        <f ca="1">IFERROR(__xludf.DUMMYFUNCTION("""COMPUTED_VALUE"""),234.58)</f>
        <v>234.58</v>
      </c>
      <c r="D1375" s="1">
        <f ca="1">IFERROR(__xludf.DUMMYFUNCTION("""COMPUTED_VALUE"""),217)</f>
        <v>217</v>
      </c>
      <c r="E1375" s="1">
        <f ca="1">IFERROR(__xludf.DUMMYFUNCTION("""COMPUTED_VALUE"""),233.94)</f>
        <v>233.94</v>
      </c>
      <c r="F1375" s="1">
        <f ca="1">IFERROR(__xludf.DUMMYFUNCTION("""COMPUTED_VALUE"""),40372453)</f>
        <v>40372453</v>
      </c>
      <c r="G1375" s="5">
        <f t="shared" ca="1" si="63"/>
        <v>-6.9334017269385304E-2</v>
      </c>
      <c r="H1375" s="14">
        <f t="shared" si="64"/>
        <v>2021</v>
      </c>
      <c r="I1375" s="5">
        <f t="shared" ca="1" si="65"/>
        <v>6.8414322250639342E-2</v>
      </c>
      <c r="J1375" s="16"/>
    </row>
    <row r="1376" spans="1:10" x14ac:dyDescent="0.2">
      <c r="A1376" s="3">
        <v>44273</v>
      </c>
      <c r="B1376" s="1">
        <f ca="1">IFERROR(__xludf.DUMMYFUNCTION("""COMPUTED_VALUE"""),228.1)</f>
        <v>228.1</v>
      </c>
      <c r="C1376" s="1">
        <f ca="1">IFERROR(__xludf.DUMMYFUNCTION("""COMPUTED_VALUE"""),229.74)</f>
        <v>229.74</v>
      </c>
      <c r="D1376" s="1">
        <f ca="1">IFERROR(__xludf.DUMMYFUNCTION("""COMPUTED_VALUE"""),217.33)</f>
        <v>217.33</v>
      </c>
      <c r="E1376" s="1">
        <f ca="1">IFERROR(__xludf.DUMMYFUNCTION("""COMPUTED_VALUE"""),217.72)</f>
        <v>217.72</v>
      </c>
      <c r="F1376" s="1">
        <f ca="1">IFERROR(__xludf.DUMMYFUNCTION("""COMPUTED_VALUE"""),33369022)</f>
        <v>33369022</v>
      </c>
      <c r="G1376" s="5">
        <f t="shared" ca="1" si="63"/>
        <v>2.6180415212198843E-3</v>
      </c>
      <c r="H1376" s="14">
        <f t="shared" si="64"/>
        <v>2021</v>
      </c>
      <c r="I1376" s="5">
        <f t="shared" ca="1" si="65"/>
        <v>-4.5506356861025846E-2</v>
      </c>
      <c r="J1376" s="16"/>
    </row>
    <row r="1377" spans="1:10" x14ac:dyDescent="0.2">
      <c r="A1377" s="3">
        <v>44274</v>
      </c>
      <c r="B1377" s="1">
        <f ca="1">IFERROR(__xludf.DUMMYFUNCTION("""COMPUTED_VALUE"""),215.53)</f>
        <v>215.53</v>
      </c>
      <c r="C1377" s="1">
        <f ca="1">IFERROR(__xludf.DUMMYFUNCTION("""COMPUTED_VALUE"""),219.08)</f>
        <v>219.08</v>
      </c>
      <c r="D1377" s="1">
        <f ca="1">IFERROR(__xludf.DUMMYFUNCTION("""COMPUTED_VALUE"""),208.21)</f>
        <v>208.21</v>
      </c>
      <c r="E1377" s="1">
        <f ca="1">IFERROR(__xludf.DUMMYFUNCTION("""COMPUTED_VALUE"""),218.29)</f>
        <v>218.29</v>
      </c>
      <c r="F1377" s="1">
        <f ca="1">IFERROR(__xludf.DUMMYFUNCTION("""COMPUTED_VALUE"""),42893978)</f>
        <v>42893978</v>
      </c>
      <c r="G1377" s="5">
        <f t="shared" ca="1" si="63"/>
        <v>2.3088551926336621E-2</v>
      </c>
      <c r="H1377" s="14">
        <f t="shared" si="64"/>
        <v>2021</v>
      </c>
      <c r="I1377" s="5">
        <f t="shared" ca="1" si="65"/>
        <v>1.2805641905999122E-2</v>
      </c>
      <c r="J1377" s="16"/>
    </row>
    <row r="1378" spans="1:10" x14ac:dyDescent="0.2">
      <c r="A1378" s="3">
        <v>44277</v>
      </c>
      <c r="B1378" s="1">
        <f ca="1">IFERROR(__xludf.DUMMYFUNCTION("""COMPUTED_VALUE"""),228.2)</f>
        <v>228.2</v>
      </c>
      <c r="C1378" s="1">
        <f ca="1">IFERROR(__xludf.DUMMYFUNCTION("""COMPUTED_VALUE"""),233.21)</f>
        <v>233.21</v>
      </c>
      <c r="D1378" s="1">
        <f ca="1">IFERROR(__xludf.DUMMYFUNCTION("""COMPUTED_VALUE"""),222.92)</f>
        <v>222.92</v>
      </c>
      <c r="E1378" s="1">
        <f ca="1">IFERROR(__xludf.DUMMYFUNCTION("""COMPUTED_VALUE"""),223.33)</f>
        <v>223.33</v>
      </c>
      <c r="F1378" s="1">
        <f ca="1">IFERROR(__xludf.DUMMYFUNCTION("""COMPUTED_VALUE"""),39512221)</f>
        <v>39512221</v>
      </c>
      <c r="G1378" s="5">
        <f t="shared" ca="1" si="63"/>
        <v>-1.1686741593158167E-2</v>
      </c>
      <c r="H1378" s="14">
        <f t="shared" si="64"/>
        <v>2021</v>
      </c>
      <c r="I1378" s="5">
        <f t="shared" ca="1" si="65"/>
        <v>-2.1340929009640564E-2</v>
      </c>
      <c r="J1378" s="16"/>
    </row>
    <row r="1379" spans="1:10" x14ac:dyDescent="0.2">
      <c r="A1379" s="3">
        <v>44278</v>
      </c>
      <c r="B1379" s="1">
        <f ca="1">IFERROR(__xludf.DUMMYFUNCTION("""COMPUTED_VALUE"""),225.26)</f>
        <v>225.26</v>
      </c>
      <c r="C1379" s="1">
        <f ca="1">IFERROR(__xludf.DUMMYFUNCTION("""COMPUTED_VALUE"""),225.93)</f>
        <v>225.93</v>
      </c>
      <c r="D1379" s="1">
        <f ca="1">IFERROR(__xludf.DUMMYFUNCTION("""COMPUTED_VALUE"""),219.17)</f>
        <v>219.17</v>
      </c>
      <c r="E1379" s="1">
        <f ca="1">IFERROR(__xludf.DUMMYFUNCTION("""COMPUTED_VALUE"""),220.72)</f>
        <v>220.72</v>
      </c>
      <c r="F1379" s="1">
        <f ca="1">IFERROR(__xludf.DUMMYFUNCTION("""COMPUTED_VALUE"""),30491870)</f>
        <v>30491870</v>
      </c>
      <c r="G1379" s="5">
        <f t="shared" ca="1" si="63"/>
        <v>-4.8160565422254421E-2</v>
      </c>
      <c r="H1379" s="14">
        <f t="shared" si="64"/>
        <v>2021</v>
      </c>
      <c r="I1379" s="5">
        <f t="shared" ca="1" si="65"/>
        <v>-2.0154488147030063E-2</v>
      </c>
      <c r="J1379" s="16"/>
    </row>
    <row r="1380" spans="1:10" x14ac:dyDescent="0.2">
      <c r="A1380" s="3">
        <v>44279</v>
      </c>
      <c r="B1380" s="1">
        <f ca="1">IFERROR(__xludf.DUMMYFUNCTION("""COMPUTED_VALUE"""),222.64)</f>
        <v>222.64</v>
      </c>
      <c r="C1380" s="1">
        <f ca="1">IFERROR(__xludf.DUMMYFUNCTION("""COMPUTED_VALUE"""),222.67)</f>
        <v>222.67</v>
      </c>
      <c r="D1380" s="1">
        <f ca="1">IFERROR(__xludf.DUMMYFUNCTION("""COMPUTED_VALUE"""),210.04)</f>
        <v>210.04</v>
      </c>
      <c r="E1380" s="1">
        <f ca="1">IFERROR(__xludf.DUMMYFUNCTION("""COMPUTED_VALUE"""),210.09)</f>
        <v>210.09</v>
      </c>
      <c r="F1380" s="1">
        <f ca="1">IFERROR(__xludf.DUMMYFUNCTION("""COMPUTED_VALUE"""),33795174)</f>
        <v>33795174</v>
      </c>
      <c r="G1380" s="5">
        <f t="shared" ca="1" si="63"/>
        <v>1.6040744442857843E-2</v>
      </c>
      <c r="H1380" s="14">
        <f t="shared" si="64"/>
        <v>2021</v>
      </c>
      <c r="I1380" s="5">
        <f t="shared" ca="1" si="65"/>
        <v>-5.6369026230686237E-2</v>
      </c>
      <c r="J1380" s="16"/>
    </row>
    <row r="1381" spans="1:10" x14ac:dyDescent="0.2">
      <c r="A1381" s="3">
        <v>44280</v>
      </c>
      <c r="B1381" s="1">
        <f ca="1">IFERROR(__xludf.DUMMYFUNCTION("""COMPUTED_VALUE"""),204.33)</f>
        <v>204.33</v>
      </c>
      <c r="C1381" s="1">
        <f ca="1">IFERROR(__xludf.DUMMYFUNCTION("""COMPUTED_VALUE"""),215.17)</f>
        <v>215.17</v>
      </c>
      <c r="D1381" s="1">
        <f ca="1">IFERROR(__xludf.DUMMYFUNCTION("""COMPUTED_VALUE"""),203.17)</f>
        <v>203.17</v>
      </c>
      <c r="E1381" s="1">
        <f ca="1">IFERROR(__xludf.DUMMYFUNCTION("""COMPUTED_VALUE"""),213.46)</f>
        <v>213.46</v>
      </c>
      <c r="F1381" s="1">
        <f ca="1">IFERROR(__xludf.DUMMYFUNCTION("""COMPUTED_VALUE"""),39224850)</f>
        <v>39224850</v>
      </c>
      <c r="G1381" s="5">
        <f t="shared" ca="1" si="63"/>
        <v>-3.3823667197601416E-2</v>
      </c>
      <c r="H1381" s="14">
        <f t="shared" si="64"/>
        <v>2021</v>
      </c>
      <c r="I1381" s="5">
        <f t="shared" ca="1" si="65"/>
        <v>4.4682621249938798E-2</v>
      </c>
      <c r="J1381" s="16"/>
    </row>
    <row r="1382" spans="1:10" x14ac:dyDescent="0.2">
      <c r="A1382" s="3">
        <v>44281</v>
      </c>
      <c r="B1382" s="1">
        <f ca="1">IFERROR(__xludf.DUMMYFUNCTION("""COMPUTED_VALUE"""),213.96)</f>
        <v>213.96</v>
      </c>
      <c r="C1382" s="1">
        <f ca="1">IFERROR(__xludf.DUMMYFUNCTION("""COMPUTED_VALUE"""),214.61)</f>
        <v>214.61</v>
      </c>
      <c r="D1382" s="1">
        <f ca="1">IFERROR(__xludf.DUMMYFUNCTION("""COMPUTED_VALUE"""),199.96)</f>
        <v>199.96</v>
      </c>
      <c r="E1382" s="1">
        <f ca="1">IFERROR(__xludf.DUMMYFUNCTION("""COMPUTED_VALUE"""),206.24)</f>
        <v>206.24</v>
      </c>
      <c r="F1382" s="1">
        <f ca="1">IFERROR(__xludf.DUMMYFUNCTION("""COMPUTED_VALUE"""),33852827)</f>
        <v>33852827</v>
      </c>
      <c r="G1382" s="5">
        <f t="shared" ca="1" si="63"/>
        <v>-1.2024825446082322E-2</v>
      </c>
      <c r="H1382" s="14">
        <f t="shared" si="64"/>
        <v>2021</v>
      </c>
      <c r="I1382" s="5">
        <f t="shared" ca="1" si="65"/>
        <v>-3.6081510562721998E-2</v>
      </c>
      <c r="J1382" s="16"/>
    </row>
    <row r="1383" spans="1:10" x14ac:dyDescent="0.2">
      <c r="A1383" s="3">
        <v>44284</v>
      </c>
      <c r="B1383" s="1">
        <f ca="1">IFERROR(__xludf.DUMMYFUNCTION("""COMPUTED_VALUE"""),205.21)</f>
        <v>205.21</v>
      </c>
      <c r="C1383" s="1">
        <f ca="1">IFERROR(__xludf.DUMMYFUNCTION("""COMPUTED_VALUE"""),205.49)</f>
        <v>205.49</v>
      </c>
      <c r="D1383" s="1">
        <f ca="1">IFERROR(__xludf.DUMMYFUNCTION("""COMPUTED_VALUE"""),198.67)</f>
        <v>198.67</v>
      </c>
      <c r="E1383" s="1">
        <f ca="1">IFERROR(__xludf.DUMMYFUNCTION("""COMPUTED_VALUE"""),203.76)</f>
        <v>203.76</v>
      </c>
      <c r="F1383" s="1">
        <f ca="1">IFERROR(__xludf.DUMMYFUNCTION("""COMPUTED_VALUE"""),28636985)</f>
        <v>28636985</v>
      </c>
      <c r="G1383" s="5">
        <f t="shared" ca="1" si="63"/>
        <v>3.9801727522575645E-2</v>
      </c>
      <c r="H1383" s="14">
        <f t="shared" si="64"/>
        <v>2021</v>
      </c>
      <c r="I1383" s="5">
        <f t="shared" ca="1" si="65"/>
        <v>-7.0659324594318845E-3</v>
      </c>
      <c r="J1383" s="16"/>
    </row>
    <row r="1384" spans="1:10" x14ac:dyDescent="0.2">
      <c r="A1384" s="3">
        <v>44285</v>
      </c>
      <c r="B1384" s="1">
        <f ca="1">IFERROR(__xludf.DUMMYFUNCTION("""COMPUTED_VALUE"""),200.58)</f>
        <v>200.58</v>
      </c>
      <c r="C1384" s="1">
        <f ca="1">IFERROR(__xludf.DUMMYFUNCTION("""COMPUTED_VALUE"""),212.55)</f>
        <v>212.55</v>
      </c>
      <c r="D1384" s="1">
        <f ca="1">IFERROR(__xludf.DUMMYFUNCTION("""COMPUTED_VALUE"""),197)</f>
        <v>197</v>
      </c>
      <c r="E1384" s="1">
        <f ca="1">IFERROR(__xludf.DUMMYFUNCTION("""COMPUTED_VALUE"""),211.87)</f>
        <v>211.87</v>
      </c>
      <c r="F1384" s="1">
        <f ca="1">IFERROR(__xludf.DUMMYFUNCTION("""COMPUTED_VALUE"""),39432359)</f>
        <v>39432359</v>
      </c>
      <c r="G1384" s="5">
        <f t="shared" ca="1" si="63"/>
        <v>5.083305800726852E-2</v>
      </c>
      <c r="H1384" s="14">
        <f t="shared" si="64"/>
        <v>2021</v>
      </c>
      <c r="I1384" s="5">
        <f t="shared" ca="1" si="65"/>
        <v>5.628676837172196E-2</v>
      </c>
      <c r="J1384" s="16"/>
    </row>
    <row r="1385" spans="1:10" x14ac:dyDescent="0.2">
      <c r="A1385" s="3">
        <v>44286</v>
      </c>
      <c r="B1385" s="1">
        <f ca="1">IFERROR(__xludf.DUMMYFUNCTION("""COMPUTED_VALUE"""),215.54)</f>
        <v>215.54</v>
      </c>
      <c r="C1385" s="1">
        <f ca="1">IFERROR(__xludf.DUMMYFUNCTION("""COMPUTED_VALUE"""),224)</f>
        <v>224</v>
      </c>
      <c r="D1385" s="1">
        <f ca="1">IFERROR(__xludf.DUMMYFUNCTION("""COMPUTED_VALUE"""),213.7)</f>
        <v>213.7</v>
      </c>
      <c r="E1385" s="1">
        <f ca="1">IFERROR(__xludf.DUMMYFUNCTION("""COMPUTED_VALUE"""),222.64)</f>
        <v>222.64</v>
      </c>
      <c r="F1385" s="1">
        <f ca="1">IFERROR(__xludf.DUMMYFUNCTION("""COMPUTED_VALUE"""),33337288)</f>
        <v>33337288</v>
      </c>
      <c r="G1385" s="5">
        <f t="shared" ca="1" si="63"/>
        <v>-9.2526051024073575E-3</v>
      </c>
      <c r="H1385" s="14">
        <f t="shared" si="64"/>
        <v>2021</v>
      </c>
      <c r="I1385" s="5">
        <f t="shared" ca="1" si="65"/>
        <v>3.2940521480931587E-2</v>
      </c>
      <c r="J1385" s="16"/>
    </row>
    <row r="1386" spans="1:10" x14ac:dyDescent="0.2">
      <c r="A1386" s="3">
        <v>44287</v>
      </c>
      <c r="B1386" s="1">
        <f ca="1">IFERROR(__xludf.DUMMYFUNCTION("""COMPUTED_VALUE"""),229.46)</f>
        <v>229.46</v>
      </c>
      <c r="C1386" s="1">
        <f ca="1">IFERROR(__xludf.DUMMYFUNCTION("""COMPUTED_VALUE"""),230.81)</f>
        <v>230.81</v>
      </c>
      <c r="D1386" s="1">
        <f ca="1">IFERROR(__xludf.DUMMYFUNCTION("""COMPUTED_VALUE"""),219.81)</f>
        <v>219.81</v>
      </c>
      <c r="E1386" s="1">
        <f ca="1">IFERROR(__xludf.DUMMYFUNCTION("""COMPUTED_VALUE"""),220.58)</f>
        <v>220.58</v>
      </c>
      <c r="F1386" s="1">
        <f ca="1">IFERROR(__xludf.DUMMYFUNCTION("""COMPUTED_VALUE"""),35298378)</f>
        <v>35298378</v>
      </c>
      <c r="G1386" s="5">
        <f t="shared" ca="1" si="63"/>
        <v>4.4292320246622455E-2</v>
      </c>
      <c r="H1386" s="14">
        <f t="shared" si="64"/>
        <v>2021</v>
      </c>
      <c r="I1386" s="5">
        <f t="shared" ca="1" si="65"/>
        <v>-3.8699555478078948E-2</v>
      </c>
      <c r="J1386" s="16"/>
    </row>
    <row r="1387" spans="1:10" x14ac:dyDescent="0.2">
      <c r="A1387" s="3">
        <v>44291</v>
      </c>
      <c r="B1387" s="1">
        <f ca="1">IFERROR(__xludf.DUMMYFUNCTION("""COMPUTED_VALUE"""),235.9)</f>
        <v>235.9</v>
      </c>
      <c r="C1387" s="1">
        <f ca="1">IFERROR(__xludf.DUMMYFUNCTION("""COMPUTED_VALUE"""),236.05)</f>
        <v>236.05</v>
      </c>
      <c r="D1387" s="1">
        <f ca="1">IFERROR(__xludf.DUMMYFUNCTION("""COMPUTED_VALUE"""),228.23)</f>
        <v>228.23</v>
      </c>
      <c r="E1387" s="1">
        <f ca="1">IFERROR(__xludf.DUMMYFUNCTION("""COMPUTED_VALUE"""),230.35)</f>
        <v>230.35</v>
      </c>
      <c r="F1387" s="1">
        <f ca="1">IFERROR(__xludf.DUMMYFUNCTION("""COMPUTED_VALUE"""),41842767)</f>
        <v>41842767</v>
      </c>
      <c r="G1387" s="5">
        <f t="shared" ca="1" si="63"/>
        <v>8.2483177772953219E-4</v>
      </c>
      <c r="H1387" s="14">
        <f t="shared" si="64"/>
        <v>2021</v>
      </c>
      <c r="I1387" s="5">
        <f t="shared" ca="1" si="65"/>
        <v>-2.3526918185671944E-2</v>
      </c>
      <c r="J1387" s="16"/>
    </row>
    <row r="1388" spans="1:10" x14ac:dyDescent="0.2">
      <c r="A1388" s="3">
        <v>44292</v>
      </c>
      <c r="B1388" s="1">
        <f ca="1">IFERROR(__xludf.DUMMYFUNCTION("""COMPUTED_VALUE"""),230.1)</f>
        <v>230.1</v>
      </c>
      <c r="C1388" s="1">
        <f ca="1">IFERROR(__xludf.DUMMYFUNCTION("""COMPUTED_VALUE"""),232.18)</f>
        <v>232.18</v>
      </c>
      <c r="D1388" s="1">
        <f ca="1">IFERROR(__xludf.DUMMYFUNCTION("""COMPUTED_VALUE"""),227.12)</f>
        <v>227.12</v>
      </c>
      <c r="E1388" s="1">
        <f ca="1">IFERROR(__xludf.DUMMYFUNCTION("""COMPUTED_VALUE"""),230.54)</f>
        <v>230.54</v>
      </c>
      <c r="F1388" s="1">
        <f ca="1">IFERROR(__xludf.DUMMYFUNCTION("""COMPUTED_VALUE"""),28271839)</f>
        <v>28271839</v>
      </c>
      <c r="G1388" s="5">
        <f t="shared" ca="1" si="63"/>
        <v>-2.9842977357508439E-2</v>
      </c>
      <c r="H1388" s="14">
        <f t="shared" si="64"/>
        <v>2021</v>
      </c>
      <c r="I1388" s="5">
        <f t="shared" ca="1" si="65"/>
        <v>1.9122120817035974E-3</v>
      </c>
      <c r="J1388" s="16"/>
    </row>
    <row r="1389" spans="1:10" x14ac:dyDescent="0.2">
      <c r="A1389" s="3">
        <v>44293</v>
      </c>
      <c r="B1389" s="1">
        <f ca="1">IFERROR(__xludf.DUMMYFUNCTION("""COMPUTED_VALUE"""),229)</f>
        <v>229</v>
      </c>
      <c r="C1389" s="1">
        <f ca="1">IFERROR(__xludf.DUMMYFUNCTION("""COMPUTED_VALUE"""),230.46)</f>
        <v>230.46</v>
      </c>
      <c r="D1389" s="1">
        <f ca="1">IFERROR(__xludf.DUMMYFUNCTION("""COMPUTED_VALUE"""),222.61)</f>
        <v>222.61</v>
      </c>
      <c r="E1389" s="1">
        <f ca="1">IFERROR(__xludf.DUMMYFUNCTION("""COMPUTED_VALUE"""),223.66)</f>
        <v>223.66</v>
      </c>
      <c r="F1389" s="1">
        <f ca="1">IFERROR(__xludf.DUMMYFUNCTION("""COMPUTED_VALUE"""),26309433)</f>
        <v>26309433</v>
      </c>
      <c r="G1389" s="5">
        <f t="shared" ca="1" si="63"/>
        <v>1.9091478136457167E-2</v>
      </c>
      <c r="H1389" s="14">
        <f t="shared" si="64"/>
        <v>2021</v>
      </c>
      <c r="I1389" s="5">
        <f t="shared" ca="1" si="65"/>
        <v>-2.3318777292576434E-2</v>
      </c>
      <c r="J1389" s="16"/>
    </row>
    <row r="1390" spans="1:10" x14ac:dyDescent="0.2">
      <c r="A1390" s="3">
        <v>44294</v>
      </c>
      <c r="B1390" s="1">
        <f ca="1">IFERROR(__xludf.DUMMYFUNCTION("""COMPUTED_VALUE"""),225.79)</f>
        <v>225.79</v>
      </c>
      <c r="C1390" s="1">
        <f ca="1">IFERROR(__xludf.DUMMYFUNCTION("""COMPUTED_VALUE"""),229.85)</f>
        <v>229.85</v>
      </c>
      <c r="D1390" s="1">
        <f ca="1">IFERROR(__xludf.DUMMYFUNCTION("""COMPUTED_VALUE"""),223.88)</f>
        <v>223.88</v>
      </c>
      <c r="E1390" s="1">
        <f ca="1">IFERROR(__xludf.DUMMYFUNCTION("""COMPUTED_VALUE"""),227.93)</f>
        <v>227.93</v>
      </c>
      <c r="F1390" s="1">
        <f ca="1">IFERROR(__xludf.DUMMYFUNCTION("""COMPUTED_VALUE"""),23924329)</f>
        <v>23924329</v>
      </c>
      <c r="G1390" s="5">
        <f t="shared" ca="1" si="63"/>
        <v>-9.9153248804458357E-3</v>
      </c>
      <c r="H1390" s="14">
        <f t="shared" si="64"/>
        <v>2021</v>
      </c>
      <c r="I1390" s="5">
        <f t="shared" ca="1" si="65"/>
        <v>9.4778333850038306E-3</v>
      </c>
      <c r="J1390" s="16"/>
    </row>
    <row r="1391" spans="1:10" x14ac:dyDescent="0.2">
      <c r="A1391" s="3">
        <v>44295</v>
      </c>
      <c r="B1391" s="1">
        <f ca="1">IFERROR(__xludf.DUMMYFUNCTION("""COMPUTED_VALUE"""),225.92)</f>
        <v>225.92</v>
      </c>
      <c r="C1391" s="1">
        <f ca="1">IFERROR(__xludf.DUMMYFUNCTION("""COMPUTED_VALUE"""),226.99)</f>
        <v>226.99</v>
      </c>
      <c r="D1391" s="1">
        <f ca="1">IFERROR(__xludf.DUMMYFUNCTION("""COMPUTED_VALUE"""),223.14)</f>
        <v>223.14</v>
      </c>
      <c r="E1391" s="1">
        <f ca="1">IFERROR(__xludf.DUMMYFUNCTION("""COMPUTED_VALUE"""),225.67)</f>
        <v>225.67</v>
      </c>
      <c r="F1391" s="1">
        <f ca="1">IFERROR(__xludf.DUMMYFUNCTION("""COMPUTED_VALUE"""),21437087)</f>
        <v>21437087</v>
      </c>
      <c r="G1391" s="5">
        <f t="shared" ca="1" si="63"/>
        <v>3.6867993087251395E-2</v>
      </c>
      <c r="H1391" s="14">
        <f t="shared" si="64"/>
        <v>2021</v>
      </c>
      <c r="I1391" s="5">
        <f t="shared" ca="1" si="65"/>
        <v>-1.106586402266289E-3</v>
      </c>
      <c r="J1391" s="16"/>
    </row>
    <row r="1392" spans="1:10" x14ac:dyDescent="0.2">
      <c r="A1392" s="3">
        <v>44298</v>
      </c>
      <c r="B1392" s="1">
        <f ca="1">IFERROR(__xludf.DUMMYFUNCTION("""COMPUTED_VALUE"""),228.57)</f>
        <v>228.57</v>
      </c>
      <c r="C1392" s="1">
        <f ca="1">IFERROR(__xludf.DUMMYFUNCTION("""COMPUTED_VALUE"""),234.93)</f>
        <v>234.93</v>
      </c>
      <c r="D1392" s="1">
        <f ca="1">IFERROR(__xludf.DUMMYFUNCTION("""COMPUTED_VALUE"""),227.36)</f>
        <v>227.36</v>
      </c>
      <c r="E1392" s="1">
        <f ca="1">IFERROR(__xludf.DUMMYFUNCTION("""COMPUTED_VALUE"""),233.99)</f>
        <v>233.99</v>
      </c>
      <c r="F1392" s="1">
        <f ca="1">IFERROR(__xludf.DUMMYFUNCTION("""COMPUTED_VALUE"""),29135670)</f>
        <v>29135670</v>
      </c>
      <c r="G1392" s="5">
        <f t="shared" ca="1" si="63"/>
        <v>8.5986580623103562E-2</v>
      </c>
      <c r="H1392" s="14">
        <f t="shared" si="64"/>
        <v>2021</v>
      </c>
      <c r="I1392" s="5">
        <f t="shared" ca="1" si="65"/>
        <v>2.3712648204051345E-2</v>
      </c>
      <c r="J1392" s="16"/>
    </row>
    <row r="1393" spans="1:10" x14ac:dyDescent="0.2">
      <c r="A1393" s="3">
        <v>44299</v>
      </c>
      <c r="B1393" s="1">
        <f ca="1">IFERROR(__xludf.DUMMYFUNCTION("""COMPUTED_VALUE"""),237.57)</f>
        <v>237.57</v>
      </c>
      <c r="C1393" s="1">
        <f ca="1">IFERROR(__xludf.DUMMYFUNCTION("""COMPUTED_VALUE"""),254.33)</f>
        <v>254.33</v>
      </c>
      <c r="D1393" s="1">
        <f ca="1">IFERROR(__xludf.DUMMYFUNCTION("""COMPUTED_VALUE"""),236.89)</f>
        <v>236.89</v>
      </c>
      <c r="E1393" s="1">
        <f ca="1">IFERROR(__xludf.DUMMYFUNCTION("""COMPUTED_VALUE"""),254.11)</f>
        <v>254.11</v>
      </c>
      <c r="F1393" s="1">
        <f ca="1">IFERROR(__xludf.DUMMYFUNCTION("""COMPUTED_VALUE"""),44652808)</f>
        <v>44652808</v>
      </c>
      <c r="G1393" s="5">
        <f t="shared" ca="1" si="63"/>
        <v>-3.9471095194994296E-2</v>
      </c>
      <c r="H1393" s="14">
        <f t="shared" si="64"/>
        <v>2021</v>
      </c>
      <c r="I1393" s="5">
        <f t="shared" ca="1" si="65"/>
        <v>6.962158521698876E-2</v>
      </c>
      <c r="J1393" s="16"/>
    </row>
    <row r="1394" spans="1:10" x14ac:dyDescent="0.2">
      <c r="A1394" s="3">
        <v>44300</v>
      </c>
      <c r="B1394" s="1">
        <f ca="1">IFERROR(__xludf.DUMMYFUNCTION("""COMPUTED_VALUE"""),256.9)</f>
        <v>256.89999999999998</v>
      </c>
      <c r="C1394" s="1">
        <f ca="1">IFERROR(__xludf.DUMMYFUNCTION("""COMPUTED_VALUE"""),260.26)</f>
        <v>260.26</v>
      </c>
      <c r="D1394" s="1">
        <f ca="1">IFERROR(__xludf.DUMMYFUNCTION("""COMPUTED_VALUE"""),242.68)</f>
        <v>242.68</v>
      </c>
      <c r="E1394" s="1">
        <f ca="1">IFERROR(__xludf.DUMMYFUNCTION("""COMPUTED_VALUE"""),244.08)</f>
        <v>244.08</v>
      </c>
      <c r="F1394" s="1">
        <f ca="1">IFERROR(__xludf.DUMMYFUNCTION("""COMPUTED_VALUE"""),49017434)</f>
        <v>49017434</v>
      </c>
      <c r="G1394" s="5">
        <f t="shared" ca="1" si="63"/>
        <v>9.0134382169779932E-3</v>
      </c>
      <c r="H1394" s="14">
        <f t="shared" si="64"/>
        <v>2021</v>
      </c>
      <c r="I1394" s="5">
        <f t="shared" ca="1" si="65"/>
        <v>-4.9902685869988188E-2</v>
      </c>
      <c r="J1394" s="16"/>
    </row>
    <row r="1395" spans="1:10" x14ac:dyDescent="0.2">
      <c r="A1395" s="3">
        <v>44301</v>
      </c>
      <c r="B1395" s="1">
        <f ca="1">IFERROR(__xludf.DUMMYFUNCTION("""COMPUTED_VALUE"""),247.7)</f>
        <v>247.7</v>
      </c>
      <c r="C1395" s="1">
        <f ca="1">IFERROR(__xludf.DUMMYFUNCTION("""COMPUTED_VALUE"""),247.9)</f>
        <v>247.9</v>
      </c>
      <c r="D1395" s="1">
        <f ca="1">IFERROR(__xludf.DUMMYFUNCTION("""COMPUTED_VALUE"""),240.44)</f>
        <v>240.44</v>
      </c>
      <c r="E1395" s="1">
        <f ca="1">IFERROR(__xludf.DUMMYFUNCTION("""COMPUTED_VALUE"""),246.28)</f>
        <v>246.28</v>
      </c>
      <c r="F1395" s="1">
        <f ca="1">IFERROR(__xludf.DUMMYFUNCTION("""COMPUTED_VALUE"""),27848900)</f>
        <v>27848900</v>
      </c>
      <c r="G1395" s="5">
        <f t="shared" ca="1" si="63"/>
        <v>1.2587299009257848E-3</v>
      </c>
      <c r="H1395" s="14">
        <f t="shared" si="64"/>
        <v>2021</v>
      </c>
      <c r="I1395" s="5">
        <f t="shared" ca="1" si="65"/>
        <v>-5.7327412192167441E-3</v>
      </c>
      <c r="J1395" s="16"/>
    </row>
    <row r="1396" spans="1:10" x14ac:dyDescent="0.2">
      <c r="A1396" s="3">
        <v>44302</v>
      </c>
      <c r="B1396" s="1">
        <f ca="1">IFERROR(__xludf.DUMMYFUNCTION("""COMPUTED_VALUE"""),242.88)</f>
        <v>242.88</v>
      </c>
      <c r="C1396" s="1">
        <f ca="1">IFERROR(__xludf.DUMMYFUNCTION("""COMPUTED_VALUE"""),249.8)</f>
        <v>249.8</v>
      </c>
      <c r="D1396" s="1">
        <f ca="1">IFERROR(__xludf.DUMMYFUNCTION("""COMPUTED_VALUE"""),241.53)</f>
        <v>241.53</v>
      </c>
      <c r="E1396" s="1">
        <f ca="1">IFERROR(__xludf.DUMMYFUNCTION("""COMPUTED_VALUE"""),246.59)</f>
        <v>246.59</v>
      </c>
      <c r="F1396" s="1">
        <f ca="1">IFERROR(__xludf.DUMMYFUNCTION("""COMPUTED_VALUE"""),27979526)</f>
        <v>27979526</v>
      </c>
      <c r="G1396" s="5">
        <f t="shared" ca="1" si="63"/>
        <v>-3.3983535423172048E-2</v>
      </c>
      <c r="H1396" s="14">
        <f t="shared" si="64"/>
        <v>2021</v>
      </c>
      <c r="I1396" s="5">
        <f t="shared" ca="1" si="65"/>
        <v>1.5275032938076449E-2</v>
      </c>
      <c r="J1396" s="16"/>
    </row>
    <row r="1397" spans="1:10" x14ac:dyDescent="0.2">
      <c r="A1397" s="3">
        <v>44305</v>
      </c>
      <c r="B1397" s="1">
        <f ca="1">IFERROR(__xludf.DUMMYFUNCTION("""COMPUTED_VALUE"""),239.87)</f>
        <v>239.87</v>
      </c>
      <c r="C1397" s="1">
        <f ca="1">IFERROR(__xludf.DUMMYFUNCTION("""COMPUTED_VALUE"""),241.8)</f>
        <v>241.8</v>
      </c>
      <c r="D1397" s="1">
        <f ca="1">IFERROR(__xludf.DUMMYFUNCTION("""COMPUTED_VALUE"""),230.6)</f>
        <v>230.6</v>
      </c>
      <c r="E1397" s="1">
        <f ca="1">IFERROR(__xludf.DUMMYFUNCTION("""COMPUTED_VALUE"""),238.21)</f>
        <v>238.21</v>
      </c>
      <c r="F1397" s="1">
        <f ca="1">IFERROR(__xludf.DUMMYFUNCTION("""COMPUTED_VALUE"""),39686226)</f>
        <v>39686226</v>
      </c>
      <c r="G1397" s="5">
        <f t="shared" ca="1" si="63"/>
        <v>6.0870660341714811E-3</v>
      </c>
      <c r="H1397" s="14">
        <f t="shared" si="64"/>
        <v>2021</v>
      </c>
      <c r="I1397" s="5">
        <f t="shared" ca="1" si="65"/>
        <v>-6.9204152249134803E-3</v>
      </c>
      <c r="J1397" s="16"/>
    </row>
    <row r="1398" spans="1:10" x14ac:dyDescent="0.2">
      <c r="A1398" s="3">
        <v>44306</v>
      </c>
      <c r="B1398" s="1">
        <f ca="1">IFERROR(__xludf.DUMMYFUNCTION("""COMPUTED_VALUE"""),239.14)</f>
        <v>239.14</v>
      </c>
      <c r="C1398" s="1">
        <f ca="1">IFERROR(__xludf.DUMMYFUNCTION("""COMPUTED_VALUE"""),245.75)</f>
        <v>245.75</v>
      </c>
      <c r="D1398" s="1">
        <f ca="1">IFERROR(__xludf.DUMMYFUNCTION("""COMPUTED_VALUE"""),236.9)</f>
        <v>236.9</v>
      </c>
      <c r="E1398" s="1">
        <f ca="1">IFERROR(__xludf.DUMMYFUNCTION("""COMPUTED_VALUE"""),239.66)</f>
        <v>239.66</v>
      </c>
      <c r="F1398" s="1">
        <f ca="1">IFERROR(__xludf.DUMMYFUNCTION("""COMPUTED_VALUE"""),35609038)</f>
        <v>35609038</v>
      </c>
      <c r="G1398" s="5">
        <f t="shared" ca="1" si="63"/>
        <v>3.4966202119669512E-2</v>
      </c>
      <c r="H1398" s="14">
        <f t="shared" si="64"/>
        <v>2021</v>
      </c>
      <c r="I1398" s="5">
        <f t="shared" ca="1" si="65"/>
        <v>2.174458476206449E-3</v>
      </c>
      <c r="J1398" s="16"/>
    </row>
    <row r="1399" spans="1:10" x14ac:dyDescent="0.2">
      <c r="A1399" s="3">
        <v>44307</v>
      </c>
      <c r="B1399" s="1">
        <f ca="1">IFERROR(__xludf.DUMMYFUNCTION("""COMPUTED_VALUE"""),234.92)</f>
        <v>234.92</v>
      </c>
      <c r="C1399" s="1">
        <f ca="1">IFERROR(__xludf.DUMMYFUNCTION("""COMPUTED_VALUE"""),248.28)</f>
        <v>248.28</v>
      </c>
      <c r="D1399" s="1">
        <f ca="1">IFERROR(__xludf.DUMMYFUNCTION("""COMPUTED_VALUE"""),232.67)</f>
        <v>232.67</v>
      </c>
      <c r="E1399" s="1">
        <f ca="1">IFERROR(__xludf.DUMMYFUNCTION("""COMPUTED_VALUE"""),248.04)</f>
        <v>248.04</v>
      </c>
      <c r="F1399" s="1">
        <f ca="1">IFERROR(__xludf.DUMMYFUNCTION("""COMPUTED_VALUE"""),31215514)</f>
        <v>31215514</v>
      </c>
      <c r="G1399" s="5">
        <f t="shared" ca="1" si="63"/>
        <v>-3.2817287534268609E-2</v>
      </c>
      <c r="H1399" s="14">
        <f t="shared" si="64"/>
        <v>2021</v>
      </c>
      <c r="I1399" s="5">
        <f t="shared" ca="1" si="65"/>
        <v>5.5848799591350272E-2</v>
      </c>
      <c r="J1399" s="16"/>
    </row>
    <row r="1400" spans="1:10" x14ac:dyDescent="0.2">
      <c r="A1400" s="3">
        <v>44308</v>
      </c>
      <c r="B1400" s="1">
        <f ca="1">IFERROR(__xludf.DUMMYFUNCTION("""COMPUTED_VALUE"""),247.17)</f>
        <v>247.17</v>
      </c>
      <c r="C1400" s="1">
        <f ca="1">IFERROR(__xludf.DUMMYFUNCTION("""COMPUTED_VALUE"""),251.26)</f>
        <v>251.26</v>
      </c>
      <c r="D1400" s="1">
        <f ca="1">IFERROR(__xludf.DUMMYFUNCTION("""COMPUTED_VALUE"""),239.35)</f>
        <v>239.35</v>
      </c>
      <c r="E1400" s="1">
        <f ca="1">IFERROR(__xludf.DUMMYFUNCTION("""COMPUTED_VALUE"""),239.9)</f>
        <v>239.9</v>
      </c>
      <c r="F1400" s="1">
        <f ca="1">IFERROR(__xludf.DUMMYFUNCTION("""COMPUTED_VALUE"""),35590255)</f>
        <v>35590255</v>
      </c>
      <c r="G1400" s="5">
        <f t="shared" ca="1" si="63"/>
        <v>1.3463943309712336E-2</v>
      </c>
      <c r="H1400" s="14">
        <f t="shared" si="64"/>
        <v>2021</v>
      </c>
      <c r="I1400" s="5">
        <f t="shared" ca="1" si="65"/>
        <v>-2.9412954646599435E-2</v>
      </c>
      <c r="J1400" s="16"/>
    </row>
    <row r="1401" spans="1:10" x14ac:dyDescent="0.2">
      <c r="A1401" s="3">
        <v>44309</v>
      </c>
      <c r="B1401" s="1">
        <f ca="1">IFERROR(__xludf.DUMMYFUNCTION("""COMPUTED_VALUE"""),239.93)</f>
        <v>239.93</v>
      </c>
      <c r="C1401" s="1">
        <f ca="1">IFERROR(__xludf.DUMMYFUNCTION("""COMPUTED_VALUE"""),245.79)</f>
        <v>245.79</v>
      </c>
      <c r="D1401" s="1">
        <f ca="1">IFERROR(__xludf.DUMMYFUNCTION("""COMPUTED_VALUE"""),238.49)</f>
        <v>238.49</v>
      </c>
      <c r="E1401" s="1">
        <f ca="1">IFERROR(__xludf.DUMMYFUNCTION("""COMPUTED_VALUE"""),243.13)</f>
        <v>243.13</v>
      </c>
      <c r="F1401" s="1">
        <f ca="1">IFERROR(__xludf.DUMMYFUNCTION("""COMPUTED_VALUE"""),28413889)</f>
        <v>28413889</v>
      </c>
      <c r="G1401" s="5">
        <f t="shared" ca="1" si="63"/>
        <v>1.2092296302389659E-2</v>
      </c>
      <c r="H1401" s="14">
        <f t="shared" si="64"/>
        <v>2021</v>
      </c>
      <c r="I1401" s="5">
        <f t="shared" ca="1" si="65"/>
        <v>1.3337223356812356E-2</v>
      </c>
      <c r="J1401" s="16"/>
    </row>
    <row r="1402" spans="1:10" x14ac:dyDescent="0.2">
      <c r="A1402" s="3">
        <v>44312</v>
      </c>
      <c r="B1402" s="1">
        <f ca="1">IFERROR(__xludf.DUMMYFUNCTION("""COMPUTED_VALUE"""),247)</f>
        <v>247</v>
      </c>
      <c r="C1402" s="1">
        <f ca="1">IFERROR(__xludf.DUMMYFUNCTION("""COMPUTED_VALUE"""),249.77)</f>
        <v>249.77</v>
      </c>
      <c r="D1402" s="1">
        <f ca="1">IFERROR(__xludf.DUMMYFUNCTION("""COMPUTED_VALUE"""),244.2)</f>
        <v>244.2</v>
      </c>
      <c r="E1402" s="1">
        <f ca="1">IFERROR(__xludf.DUMMYFUNCTION("""COMPUTED_VALUE"""),246.07)</f>
        <v>246.07</v>
      </c>
      <c r="F1402" s="1">
        <f ca="1">IFERROR(__xludf.DUMMYFUNCTION("""COMPUTED_VALUE"""),31038502)</f>
        <v>31038502</v>
      </c>
      <c r="G1402" s="5">
        <f t="shared" ca="1" si="63"/>
        <v>-4.5352948348031039E-2</v>
      </c>
      <c r="H1402" s="14">
        <f t="shared" si="64"/>
        <v>2021</v>
      </c>
      <c r="I1402" s="5">
        <f t="shared" ca="1" si="65"/>
        <v>-3.7651821862348454E-3</v>
      </c>
      <c r="J1402" s="16"/>
    </row>
    <row r="1403" spans="1:10" x14ac:dyDescent="0.2">
      <c r="A1403" s="3">
        <v>44313</v>
      </c>
      <c r="B1403" s="1">
        <f ca="1">IFERROR(__xludf.DUMMYFUNCTION("""COMPUTED_VALUE"""),239.32)</f>
        <v>239.32</v>
      </c>
      <c r="C1403" s="1">
        <f ca="1">IFERROR(__xludf.DUMMYFUNCTION("""COMPUTED_VALUE"""),241.33)</f>
        <v>241.33</v>
      </c>
      <c r="D1403" s="1">
        <f ca="1">IFERROR(__xludf.DUMMYFUNCTION("""COMPUTED_VALUE"""),234.45)</f>
        <v>234.45</v>
      </c>
      <c r="E1403" s="1">
        <f ca="1">IFERROR(__xludf.DUMMYFUNCTION("""COMPUTED_VALUE"""),234.91)</f>
        <v>234.91</v>
      </c>
      <c r="F1403" s="1">
        <f ca="1">IFERROR(__xludf.DUMMYFUNCTION("""COMPUTED_VALUE"""),29436995)</f>
        <v>29436995</v>
      </c>
      <c r="G1403" s="5">
        <f t="shared" ca="1" si="63"/>
        <v>-1.4643906176833671E-2</v>
      </c>
      <c r="H1403" s="14">
        <f t="shared" si="64"/>
        <v>2021</v>
      </c>
      <c r="I1403" s="5">
        <f t="shared" ca="1" si="65"/>
        <v>-1.8427210429550377E-2</v>
      </c>
      <c r="J1403" s="16"/>
    </row>
    <row r="1404" spans="1:10" x14ac:dyDescent="0.2">
      <c r="A1404" s="3">
        <v>44314</v>
      </c>
      <c r="B1404" s="1">
        <f ca="1">IFERROR(__xludf.DUMMYFUNCTION("""COMPUTED_VALUE"""),232.14)</f>
        <v>232.14</v>
      </c>
      <c r="C1404" s="1">
        <f ca="1">IFERROR(__xludf.DUMMYFUNCTION("""COMPUTED_VALUE"""),236.17)</f>
        <v>236.17</v>
      </c>
      <c r="D1404" s="1">
        <f ca="1">IFERROR(__xludf.DUMMYFUNCTION("""COMPUTED_VALUE"""),231.2)</f>
        <v>231.2</v>
      </c>
      <c r="E1404" s="1">
        <f ca="1">IFERROR(__xludf.DUMMYFUNCTION("""COMPUTED_VALUE"""),231.47)</f>
        <v>231.47</v>
      </c>
      <c r="F1404" s="1">
        <f ca="1">IFERROR(__xludf.DUMMYFUNCTION("""COMPUTED_VALUE"""),22271047)</f>
        <v>22271047</v>
      </c>
      <c r="G1404" s="5">
        <f t="shared" ca="1" si="63"/>
        <v>-2.5057242839244875E-2</v>
      </c>
      <c r="H1404" s="14">
        <f t="shared" si="64"/>
        <v>2021</v>
      </c>
      <c r="I1404" s="5">
        <f t="shared" ca="1" si="65"/>
        <v>-2.8861893684844816E-3</v>
      </c>
      <c r="J1404" s="16"/>
    </row>
    <row r="1405" spans="1:10" x14ac:dyDescent="0.2">
      <c r="A1405" s="3">
        <v>44315</v>
      </c>
      <c r="B1405" s="1">
        <f ca="1">IFERROR(__xludf.DUMMYFUNCTION("""COMPUTED_VALUE"""),233.17)</f>
        <v>233.17</v>
      </c>
      <c r="C1405" s="1">
        <f ca="1">IFERROR(__xludf.DUMMYFUNCTION("""COMPUTED_VALUE"""),234.08)</f>
        <v>234.08</v>
      </c>
      <c r="D1405" s="1">
        <f ca="1">IFERROR(__xludf.DUMMYFUNCTION("""COMPUTED_VALUE"""),222.83)</f>
        <v>222.83</v>
      </c>
      <c r="E1405" s="1">
        <f ca="1">IFERROR(__xludf.DUMMYFUNCTION("""COMPUTED_VALUE"""),225.67)</f>
        <v>225.67</v>
      </c>
      <c r="F1405" s="1">
        <f ca="1">IFERROR(__xludf.DUMMYFUNCTION("""COMPUTED_VALUE"""),28845449)</f>
        <v>28845449</v>
      </c>
      <c r="G1405" s="5">
        <f t="shared" ca="1" si="63"/>
        <v>4.7901803518411855E-2</v>
      </c>
      <c r="H1405" s="14">
        <f t="shared" si="64"/>
        <v>2021</v>
      </c>
      <c r="I1405" s="5">
        <f t="shared" ca="1" si="65"/>
        <v>-3.216537290388987E-2</v>
      </c>
      <c r="J1405" s="16"/>
    </row>
    <row r="1406" spans="1:10" x14ac:dyDescent="0.2">
      <c r="A1406" s="3">
        <v>44316</v>
      </c>
      <c r="B1406" s="1">
        <f ca="1">IFERROR(__xludf.DUMMYFUNCTION("""COMPUTED_VALUE"""),222.53)</f>
        <v>222.53</v>
      </c>
      <c r="C1406" s="1">
        <f ca="1">IFERROR(__xludf.DUMMYFUNCTION("""COMPUTED_VALUE"""),238.49)</f>
        <v>238.49</v>
      </c>
      <c r="D1406" s="1">
        <f ca="1">IFERROR(__xludf.DUMMYFUNCTION("""COMPUTED_VALUE"""),222.05)</f>
        <v>222.05</v>
      </c>
      <c r="E1406" s="1">
        <f ca="1">IFERROR(__xludf.DUMMYFUNCTION("""COMPUTED_VALUE"""),236.48)</f>
        <v>236.48</v>
      </c>
      <c r="F1406" s="1">
        <f ca="1">IFERROR(__xludf.DUMMYFUNCTION("""COMPUTED_VALUE"""),40758722)</f>
        <v>40758722</v>
      </c>
      <c r="G1406" s="5">
        <f t="shared" ca="1" si="63"/>
        <v>-3.4590663058186651E-2</v>
      </c>
      <c r="H1406" s="14">
        <f t="shared" si="64"/>
        <v>2021</v>
      </c>
      <c r="I1406" s="5">
        <f t="shared" ca="1" si="65"/>
        <v>6.2688176875028034E-2</v>
      </c>
      <c r="J1406" s="16"/>
    </row>
    <row r="1407" spans="1:10" x14ac:dyDescent="0.2">
      <c r="A1407" s="3">
        <v>44319</v>
      </c>
      <c r="B1407" s="1">
        <f ca="1">IFERROR(__xludf.DUMMYFUNCTION("""COMPUTED_VALUE"""),234.6)</f>
        <v>234.6</v>
      </c>
      <c r="C1407" s="1">
        <f ca="1">IFERROR(__xludf.DUMMYFUNCTION("""COMPUTED_VALUE"""),235.33)</f>
        <v>235.33</v>
      </c>
      <c r="D1407" s="1">
        <f ca="1">IFERROR(__xludf.DUMMYFUNCTION("""COMPUTED_VALUE"""),226.83)</f>
        <v>226.83</v>
      </c>
      <c r="E1407" s="1">
        <f ca="1">IFERROR(__xludf.DUMMYFUNCTION("""COMPUTED_VALUE"""),228.3)</f>
        <v>228.3</v>
      </c>
      <c r="F1407" s="1">
        <f ca="1">IFERROR(__xludf.DUMMYFUNCTION("""COMPUTED_VALUE"""),27043143)</f>
        <v>27043143</v>
      </c>
      <c r="G1407" s="5">
        <f t="shared" ca="1" si="63"/>
        <v>-1.6513359614542315E-2</v>
      </c>
      <c r="H1407" s="14">
        <f t="shared" si="64"/>
        <v>2021</v>
      </c>
      <c r="I1407" s="5">
        <f t="shared" ca="1" si="65"/>
        <v>-2.6854219948849033E-2</v>
      </c>
      <c r="J1407" s="16"/>
    </row>
    <row r="1408" spans="1:10" x14ac:dyDescent="0.2">
      <c r="A1408" s="3">
        <v>44320</v>
      </c>
      <c r="B1408" s="1">
        <f ca="1">IFERROR(__xludf.DUMMYFUNCTION("""COMPUTED_VALUE"""),226.31)</f>
        <v>226.31</v>
      </c>
      <c r="C1408" s="1">
        <f ca="1">IFERROR(__xludf.DUMMYFUNCTION("""COMPUTED_VALUE"""),227.82)</f>
        <v>227.82</v>
      </c>
      <c r="D1408" s="1">
        <f ca="1">IFERROR(__xludf.DUMMYFUNCTION("""COMPUTED_VALUE"""),219.23)</f>
        <v>219.23</v>
      </c>
      <c r="E1408" s="1">
        <f ca="1">IFERROR(__xludf.DUMMYFUNCTION("""COMPUTED_VALUE"""),224.53)</f>
        <v>224.53</v>
      </c>
      <c r="F1408" s="1">
        <f ca="1">IFERROR(__xludf.DUMMYFUNCTION("""COMPUTED_VALUE"""),29739319)</f>
        <v>29739319</v>
      </c>
      <c r="G1408" s="5">
        <f t="shared" ca="1" si="63"/>
        <v>-3.9192980893421612E-3</v>
      </c>
      <c r="H1408" s="14">
        <f t="shared" si="64"/>
        <v>2021</v>
      </c>
      <c r="I1408" s="5">
        <f t="shared" ca="1" si="65"/>
        <v>-7.8653174848658976E-3</v>
      </c>
      <c r="J1408" s="16"/>
    </row>
    <row r="1409" spans="1:10" x14ac:dyDescent="0.2">
      <c r="A1409" s="3">
        <v>44321</v>
      </c>
      <c r="B1409" s="1">
        <f ca="1">IFERROR(__xludf.DUMMYFUNCTION("""COMPUTED_VALUE"""),227.02)</f>
        <v>227.02</v>
      </c>
      <c r="C1409" s="1">
        <f ca="1">IFERROR(__xludf.DUMMYFUNCTION("""COMPUTED_VALUE"""),228.43)</f>
        <v>228.43</v>
      </c>
      <c r="D1409" s="1">
        <f ca="1">IFERROR(__xludf.DUMMYFUNCTION("""COMPUTED_VALUE"""),222.45)</f>
        <v>222.45</v>
      </c>
      <c r="E1409" s="1">
        <f ca="1">IFERROR(__xludf.DUMMYFUNCTION("""COMPUTED_VALUE"""),223.65)</f>
        <v>223.65</v>
      </c>
      <c r="F1409" s="1">
        <f ca="1">IFERROR(__xludf.DUMMYFUNCTION("""COMPUTED_VALUE"""),21901894)</f>
        <v>21901894</v>
      </c>
      <c r="G1409" s="5">
        <f t="shared" ca="1" si="63"/>
        <v>-1.1044042029957518E-2</v>
      </c>
      <c r="H1409" s="14">
        <f t="shared" si="64"/>
        <v>2021</v>
      </c>
      <c r="I1409" s="5">
        <f t="shared" ca="1" si="65"/>
        <v>-1.4844507091886196E-2</v>
      </c>
      <c r="J1409" s="16"/>
    </row>
    <row r="1410" spans="1:10" x14ac:dyDescent="0.2">
      <c r="A1410" s="3">
        <v>44322</v>
      </c>
      <c r="B1410" s="1">
        <f ca="1">IFERROR(__xludf.DUMMYFUNCTION("""COMPUTED_VALUE"""),226.92)</f>
        <v>226.92</v>
      </c>
      <c r="C1410" s="1">
        <f ca="1">IFERROR(__xludf.DUMMYFUNCTION("""COMPUTED_VALUE"""),227.01)</f>
        <v>227.01</v>
      </c>
      <c r="D1410" s="1">
        <f ca="1">IFERROR(__xludf.DUMMYFUNCTION("""COMPUTED_VALUE"""),216.67)</f>
        <v>216.67</v>
      </c>
      <c r="E1410" s="1">
        <f ca="1">IFERROR(__xludf.DUMMYFUNCTION("""COMPUTED_VALUE"""),221.18)</f>
        <v>221.18</v>
      </c>
      <c r="F1410" s="1">
        <f ca="1">IFERROR(__xludf.DUMMYFUNCTION("""COMPUTED_VALUE"""),27784619)</f>
        <v>27784619</v>
      </c>
      <c r="G1410" s="5">
        <f t="shared" ca="1" si="63"/>
        <v>1.3292341079663612E-2</v>
      </c>
      <c r="H1410" s="14">
        <f t="shared" si="64"/>
        <v>2021</v>
      </c>
      <c r="I1410" s="5">
        <f t="shared" ca="1" si="65"/>
        <v>-2.5295258240789622E-2</v>
      </c>
      <c r="J1410" s="16"/>
    </row>
    <row r="1411" spans="1:10" x14ac:dyDescent="0.2">
      <c r="A1411" s="3">
        <v>44323</v>
      </c>
      <c r="B1411" s="1">
        <f ca="1">IFERROR(__xludf.DUMMYFUNCTION("""COMPUTED_VALUE"""),221.93)</f>
        <v>221.93</v>
      </c>
      <c r="C1411" s="1">
        <f ca="1">IFERROR(__xludf.DUMMYFUNCTION("""COMPUTED_VALUE"""),230)</f>
        <v>230</v>
      </c>
      <c r="D1411" s="1">
        <f ca="1">IFERROR(__xludf.DUMMYFUNCTION("""COMPUTED_VALUE"""),220.07)</f>
        <v>220.07</v>
      </c>
      <c r="E1411" s="1">
        <f ca="1">IFERROR(__xludf.DUMMYFUNCTION("""COMPUTED_VALUE"""),224.12)</f>
        <v>224.12</v>
      </c>
      <c r="F1411" s="1">
        <f ca="1">IFERROR(__xludf.DUMMYFUNCTION("""COMPUTED_VALUE"""),23469172)</f>
        <v>23469172</v>
      </c>
      <c r="G1411" s="5">
        <f t="shared" ref="G1411:G1474" ca="1" si="66">(E1412-E1411)/E1411</f>
        <v>-6.4429769766196673E-2</v>
      </c>
      <c r="H1411" s="14">
        <f t="shared" ref="H1411:H1474" si="67">YEAR(A1411)</f>
        <v>2021</v>
      </c>
      <c r="I1411" s="5">
        <f t="shared" ref="I1411:I1474" ca="1" si="68">((E1411 - B1411) / B1411)</f>
        <v>9.8679763889514601E-3</v>
      </c>
      <c r="J1411" s="16"/>
    </row>
    <row r="1412" spans="1:10" x14ac:dyDescent="0.2">
      <c r="A1412" s="3">
        <v>44326</v>
      </c>
      <c r="B1412" s="1">
        <f ca="1">IFERROR(__xludf.DUMMYFUNCTION("""COMPUTED_VALUE"""),221.63)</f>
        <v>221.63</v>
      </c>
      <c r="C1412" s="1">
        <f ca="1">IFERROR(__xludf.DUMMYFUNCTION("""COMPUTED_VALUE"""),221.68)</f>
        <v>221.68</v>
      </c>
      <c r="D1412" s="1">
        <f ca="1">IFERROR(__xludf.DUMMYFUNCTION("""COMPUTED_VALUE"""),209.2)</f>
        <v>209.2</v>
      </c>
      <c r="E1412" s="1">
        <f ca="1">IFERROR(__xludf.DUMMYFUNCTION("""COMPUTED_VALUE"""),209.68)</f>
        <v>209.68</v>
      </c>
      <c r="F1412" s="1">
        <f ca="1">IFERROR(__xludf.DUMMYFUNCTION("""COMPUTED_VALUE"""),31392417)</f>
        <v>31392417</v>
      </c>
      <c r="G1412" s="5">
        <f t="shared" ca="1" si="66"/>
        <v>-1.8838229683327056E-2</v>
      </c>
      <c r="H1412" s="14">
        <f t="shared" si="67"/>
        <v>2021</v>
      </c>
      <c r="I1412" s="5">
        <f t="shared" ca="1" si="68"/>
        <v>-5.3918693317691599E-2</v>
      </c>
      <c r="J1412" s="16"/>
    </row>
    <row r="1413" spans="1:10" x14ac:dyDescent="0.2">
      <c r="A1413" s="3">
        <v>44327</v>
      </c>
      <c r="B1413" s="1">
        <f ca="1">IFERROR(__xludf.DUMMYFUNCTION("""COMPUTED_VALUE"""),199.75)</f>
        <v>199.75</v>
      </c>
      <c r="C1413" s="1">
        <f ca="1">IFERROR(__xludf.DUMMYFUNCTION("""COMPUTED_VALUE"""),209.03)</f>
        <v>209.03</v>
      </c>
      <c r="D1413" s="1">
        <f ca="1">IFERROR(__xludf.DUMMYFUNCTION("""COMPUTED_VALUE"""),198.53)</f>
        <v>198.53</v>
      </c>
      <c r="E1413" s="1">
        <f ca="1">IFERROR(__xludf.DUMMYFUNCTION("""COMPUTED_VALUE"""),205.73)</f>
        <v>205.73</v>
      </c>
      <c r="F1413" s="1">
        <f ca="1">IFERROR(__xludf.DUMMYFUNCTION("""COMPUTED_VALUE"""),46503896)</f>
        <v>46503896</v>
      </c>
      <c r="G1413" s="5">
        <f t="shared" ca="1" si="66"/>
        <v>-4.4232732221844137E-2</v>
      </c>
      <c r="H1413" s="14">
        <f t="shared" si="67"/>
        <v>2021</v>
      </c>
      <c r="I1413" s="5">
        <f t="shared" ca="1" si="68"/>
        <v>2.9937421777221477E-2</v>
      </c>
      <c r="J1413" s="16"/>
    </row>
    <row r="1414" spans="1:10" x14ac:dyDescent="0.2">
      <c r="A1414" s="3">
        <v>44328</v>
      </c>
      <c r="B1414" s="1">
        <f ca="1">IFERROR(__xludf.DUMMYFUNCTION("""COMPUTED_VALUE"""),200.83)</f>
        <v>200.83</v>
      </c>
      <c r="C1414" s="1">
        <f ca="1">IFERROR(__xludf.DUMMYFUNCTION("""COMPUTED_VALUE"""),206.8)</f>
        <v>206.8</v>
      </c>
      <c r="D1414" s="1">
        <f ca="1">IFERROR(__xludf.DUMMYFUNCTION("""COMPUTED_VALUE"""),195.59)</f>
        <v>195.59</v>
      </c>
      <c r="E1414" s="1">
        <f ca="1">IFERROR(__xludf.DUMMYFUNCTION("""COMPUTED_VALUE"""),196.63)</f>
        <v>196.63</v>
      </c>
      <c r="F1414" s="1">
        <f ca="1">IFERROR(__xludf.DUMMYFUNCTION("""COMPUTED_VALUE"""),33823646)</f>
        <v>33823646</v>
      </c>
      <c r="G1414" s="5">
        <f t="shared" ca="1" si="66"/>
        <v>-3.0870162233636745E-2</v>
      </c>
      <c r="H1414" s="14">
        <f t="shared" si="67"/>
        <v>2021</v>
      </c>
      <c r="I1414" s="5">
        <f t="shared" ca="1" si="68"/>
        <v>-2.0913210177762369E-2</v>
      </c>
      <c r="J1414" s="16"/>
    </row>
    <row r="1415" spans="1:10" x14ac:dyDescent="0.2">
      <c r="A1415" s="3">
        <v>44329</v>
      </c>
      <c r="B1415" s="1">
        <f ca="1">IFERROR(__xludf.DUMMYFUNCTION("""COMPUTED_VALUE"""),200.52)</f>
        <v>200.52</v>
      </c>
      <c r="C1415" s="1">
        <f ca="1">IFERROR(__xludf.DUMMYFUNCTION("""COMPUTED_VALUE"""),202.15)</f>
        <v>202.15</v>
      </c>
      <c r="D1415" s="1">
        <f ca="1">IFERROR(__xludf.DUMMYFUNCTION("""COMPUTED_VALUE"""),186.55)</f>
        <v>186.55</v>
      </c>
      <c r="E1415" s="1">
        <f ca="1">IFERROR(__xludf.DUMMYFUNCTION("""COMPUTED_VALUE"""),190.56)</f>
        <v>190.56</v>
      </c>
      <c r="F1415" s="1">
        <f ca="1">IFERROR(__xludf.DUMMYFUNCTION("""COMPUTED_VALUE"""),44184916)</f>
        <v>44184916</v>
      </c>
      <c r="G1415" s="5">
        <f t="shared" ca="1" si="66"/>
        <v>3.1591099916036994E-2</v>
      </c>
      <c r="H1415" s="14">
        <f t="shared" si="67"/>
        <v>2021</v>
      </c>
      <c r="I1415" s="5">
        <f t="shared" ca="1" si="68"/>
        <v>-4.9670855774985076E-2</v>
      </c>
      <c r="J1415" s="16"/>
    </row>
    <row r="1416" spans="1:10" x14ac:dyDescent="0.2">
      <c r="A1416" s="3">
        <v>44330</v>
      </c>
      <c r="B1416" s="1">
        <f ca="1">IFERROR(__xludf.DUMMYFUNCTION("""COMPUTED_VALUE"""),194.47)</f>
        <v>194.47</v>
      </c>
      <c r="C1416" s="1">
        <f ca="1">IFERROR(__xludf.DUMMYFUNCTION("""COMPUTED_VALUE"""),197.62)</f>
        <v>197.62</v>
      </c>
      <c r="D1416" s="1">
        <f ca="1">IFERROR(__xludf.DUMMYFUNCTION("""COMPUTED_VALUE"""),190.15)</f>
        <v>190.15</v>
      </c>
      <c r="E1416" s="1">
        <f ca="1">IFERROR(__xludf.DUMMYFUNCTION("""COMPUTED_VALUE"""),196.58)</f>
        <v>196.58</v>
      </c>
      <c r="F1416" s="1">
        <f ca="1">IFERROR(__xludf.DUMMYFUNCTION("""COMPUTED_VALUE"""),33370856)</f>
        <v>33370856</v>
      </c>
      <c r="G1416" s="5">
        <f t="shared" ca="1" si="66"/>
        <v>-2.1874046189846428E-2</v>
      </c>
      <c r="H1416" s="14">
        <f t="shared" si="67"/>
        <v>2021</v>
      </c>
      <c r="I1416" s="5">
        <f t="shared" ca="1" si="68"/>
        <v>1.0850002571090726E-2</v>
      </c>
      <c r="J1416" s="16"/>
    </row>
    <row r="1417" spans="1:10" x14ac:dyDescent="0.2">
      <c r="A1417" s="3">
        <v>44333</v>
      </c>
      <c r="B1417" s="1">
        <f ca="1">IFERROR(__xludf.DUMMYFUNCTION("""COMPUTED_VALUE"""),191.85)</f>
        <v>191.85</v>
      </c>
      <c r="C1417" s="1">
        <f ca="1">IFERROR(__xludf.DUMMYFUNCTION("""COMPUTED_VALUE"""),196.58)</f>
        <v>196.58</v>
      </c>
      <c r="D1417" s="1">
        <f ca="1">IFERROR(__xludf.DUMMYFUNCTION("""COMPUTED_VALUE"""),187.07)</f>
        <v>187.07</v>
      </c>
      <c r="E1417" s="1">
        <f ca="1">IFERROR(__xludf.DUMMYFUNCTION("""COMPUTED_VALUE"""),192.28)</f>
        <v>192.28</v>
      </c>
      <c r="F1417" s="1">
        <f ca="1">IFERROR(__xludf.DUMMYFUNCTION("""COMPUTED_VALUE"""),32390360)</f>
        <v>32390360</v>
      </c>
      <c r="G1417" s="5">
        <f t="shared" ca="1" si="66"/>
        <v>1.7682546286665456E-3</v>
      </c>
      <c r="H1417" s="14">
        <f t="shared" si="67"/>
        <v>2021</v>
      </c>
      <c r="I1417" s="5">
        <f t="shared" ca="1" si="68"/>
        <v>2.2413343758144739E-3</v>
      </c>
      <c r="J1417" s="16"/>
    </row>
    <row r="1418" spans="1:10" x14ac:dyDescent="0.2">
      <c r="A1418" s="3">
        <v>44334</v>
      </c>
      <c r="B1418" s="1">
        <f ca="1">IFERROR(__xludf.DUMMYFUNCTION("""COMPUTED_VALUE"""),189.33)</f>
        <v>189.33</v>
      </c>
      <c r="C1418" s="1">
        <f ca="1">IFERROR(__xludf.DUMMYFUNCTION("""COMPUTED_VALUE"""),198.75)</f>
        <v>198.75</v>
      </c>
      <c r="D1418" s="1">
        <f ca="1">IFERROR(__xludf.DUMMYFUNCTION("""COMPUTED_VALUE"""),187.79)</f>
        <v>187.79</v>
      </c>
      <c r="E1418" s="1">
        <f ca="1">IFERROR(__xludf.DUMMYFUNCTION("""COMPUTED_VALUE"""),192.62)</f>
        <v>192.62</v>
      </c>
      <c r="F1418" s="1">
        <f ca="1">IFERROR(__xludf.DUMMYFUNCTION("""COMPUTED_VALUE"""),36830567)</f>
        <v>36830567</v>
      </c>
      <c r="G1418" s="5">
        <f t="shared" ca="1" si="66"/>
        <v>-2.491953068217221E-2</v>
      </c>
      <c r="H1418" s="14">
        <f t="shared" si="67"/>
        <v>2021</v>
      </c>
      <c r="I1418" s="5">
        <f t="shared" ca="1" si="68"/>
        <v>1.7377066497649564E-2</v>
      </c>
      <c r="J1418" s="16"/>
    </row>
    <row r="1419" spans="1:10" x14ac:dyDescent="0.2">
      <c r="A1419" s="3">
        <v>44335</v>
      </c>
      <c r="B1419" s="1">
        <f ca="1">IFERROR(__xludf.DUMMYFUNCTION("""COMPUTED_VALUE"""),184.18)</f>
        <v>184.18</v>
      </c>
      <c r="C1419" s="1">
        <f ca="1">IFERROR(__xludf.DUMMYFUNCTION("""COMPUTED_VALUE"""),188.74)</f>
        <v>188.74</v>
      </c>
      <c r="D1419" s="1">
        <f ca="1">IFERROR(__xludf.DUMMYFUNCTION("""COMPUTED_VALUE"""),182.33)</f>
        <v>182.33</v>
      </c>
      <c r="E1419" s="1">
        <f ca="1">IFERROR(__xludf.DUMMYFUNCTION("""COMPUTED_VALUE"""),187.82)</f>
        <v>187.82</v>
      </c>
      <c r="F1419" s="1">
        <f ca="1">IFERROR(__xludf.DUMMYFUNCTION("""COMPUTED_VALUE"""),39578395)</f>
        <v>39578395</v>
      </c>
      <c r="G1419" s="5">
        <f t="shared" ca="1" si="66"/>
        <v>4.1369396230433453E-2</v>
      </c>
      <c r="H1419" s="14">
        <f t="shared" si="67"/>
        <v>2021</v>
      </c>
      <c r="I1419" s="5">
        <f t="shared" ca="1" si="68"/>
        <v>1.9763275057009373E-2</v>
      </c>
      <c r="J1419" s="16"/>
    </row>
    <row r="1420" spans="1:10" x14ac:dyDescent="0.2">
      <c r="A1420" s="3">
        <v>44336</v>
      </c>
      <c r="B1420" s="1">
        <f ca="1">IFERROR(__xludf.DUMMYFUNCTION("""COMPUTED_VALUE"""),191.67)</f>
        <v>191.67</v>
      </c>
      <c r="C1420" s="1">
        <f ca="1">IFERROR(__xludf.DUMMYFUNCTION("""COMPUTED_VALUE"""),196.28)</f>
        <v>196.28</v>
      </c>
      <c r="D1420" s="1">
        <f ca="1">IFERROR(__xludf.DUMMYFUNCTION("""COMPUTED_VALUE"""),190.36)</f>
        <v>190.36</v>
      </c>
      <c r="E1420" s="1">
        <f ca="1">IFERROR(__xludf.DUMMYFUNCTION("""COMPUTED_VALUE"""),195.59)</f>
        <v>195.59</v>
      </c>
      <c r="F1420" s="1">
        <f ca="1">IFERROR(__xludf.DUMMYFUNCTION("""COMPUTED_VALUE"""),30821119)</f>
        <v>30821119</v>
      </c>
      <c r="G1420" s="5">
        <f t="shared" ca="1" si="66"/>
        <v>-1.0020962216882295E-2</v>
      </c>
      <c r="H1420" s="14">
        <f t="shared" si="67"/>
        <v>2021</v>
      </c>
      <c r="I1420" s="5">
        <f t="shared" ca="1" si="68"/>
        <v>2.045181822924827E-2</v>
      </c>
      <c r="J1420" s="16"/>
    </row>
    <row r="1421" spans="1:10" x14ac:dyDescent="0.2">
      <c r="A1421" s="3">
        <v>44337</v>
      </c>
      <c r="B1421" s="1">
        <f ca="1">IFERROR(__xludf.DUMMYFUNCTION("""COMPUTED_VALUE"""),198.7)</f>
        <v>198.7</v>
      </c>
      <c r="C1421" s="1">
        <f ca="1">IFERROR(__xludf.DUMMYFUNCTION("""COMPUTED_VALUE"""),198.89)</f>
        <v>198.89</v>
      </c>
      <c r="D1421" s="1">
        <f ca="1">IFERROR(__xludf.DUMMYFUNCTION("""COMPUTED_VALUE"""),193.33)</f>
        <v>193.33</v>
      </c>
      <c r="E1421" s="1">
        <f ca="1">IFERROR(__xludf.DUMMYFUNCTION("""COMPUTED_VALUE"""),193.63)</f>
        <v>193.63</v>
      </c>
      <c r="F1421" s="1">
        <f ca="1">IFERROR(__xludf.DUMMYFUNCTION("""COMPUTED_VALUE"""),26030595)</f>
        <v>26030595</v>
      </c>
      <c r="G1421" s="5">
        <f t="shared" ca="1" si="66"/>
        <v>4.4001446056912724E-2</v>
      </c>
      <c r="H1421" s="14">
        <f t="shared" si="67"/>
        <v>2021</v>
      </c>
      <c r="I1421" s="5">
        <f t="shared" ca="1" si="68"/>
        <v>-2.551585304479111E-2</v>
      </c>
      <c r="J1421" s="16"/>
    </row>
    <row r="1422" spans="1:10" x14ac:dyDescent="0.2">
      <c r="A1422" s="3">
        <v>44340</v>
      </c>
      <c r="B1422" s="1">
        <f ca="1">IFERROR(__xludf.DUMMYFUNCTION("""COMPUTED_VALUE"""),193.87)</f>
        <v>193.87</v>
      </c>
      <c r="C1422" s="1">
        <f ca="1">IFERROR(__xludf.DUMMYFUNCTION("""COMPUTED_VALUE"""),204.83)</f>
        <v>204.83</v>
      </c>
      <c r="D1422" s="1">
        <f ca="1">IFERROR(__xludf.DUMMYFUNCTION("""COMPUTED_VALUE"""),191.22)</f>
        <v>191.22</v>
      </c>
      <c r="E1422" s="1">
        <f ca="1">IFERROR(__xludf.DUMMYFUNCTION("""COMPUTED_VALUE"""),202.15)</f>
        <v>202.15</v>
      </c>
      <c r="F1422" s="1">
        <f ca="1">IFERROR(__xludf.DUMMYFUNCTION("""COMPUTED_VALUE"""),34558089)</f>
        <v>34558089</v>
      </c>
      <c r="G1422" s="5">
        <f t="shared" ca="1" si="66"/>
        <v>-2.918624783576569E-3</v>
      </c>
      <c r="H1422" s="14">
        <f t="shared" si="67"/>
        <v>2021</v>
      </c>
      <c r="I1422" s="5">
        <f t="shared" ca="1" si="68"/>
        <v>4.270903182545005E-2</v>
      </c>
      <c r="J1422" s="16"/>
    </row>
    <row r="1423" spans="1:10" x14ac:dyDescent="0.2">
      <c r="A1423" s="3">
        <v>44341</v>
      </c>
      <c r="B1423" s="1">
        <f ca="1">IFERROR(__xludf.DUMMYFUNCTION("""COMPUTED_VALUE"""),202.44)</f>
        <v>202.44</v>
      </c>
      <c r="C1423" s="1">
        <f ca="1">IFERROR(__xludf.DUMMYFUNCTION("""COMPUTED_VALUE"""),204.66)</f>
        <v>204.66</v>
      </c>
      <c r="D1423" s="1">
        <f ca="1">IFERROR(__xludf.DUMMYFUNCTION("""COMPUTED_VALUE"""),198.57)</f>
        <v>198.57</v>
      </c>
      <c r="E1423" s="1">
        <f ca="1">IFERROR(__xludf.DUMMYFUNCTION("""COMPUTED_VALUE"""),201.56)</f>
        <v>201.56</v>
      </c>
      <c r="F1423" s="1">
        <f ca="1">IFERROR(__xludf.DUMMYFUNCTION("""COMPUTED_VALUE"""),28005933)</f>
        <v>28005933</v>
      </c>
      <c r="G1423" s="5">
        <f t="shared" ca="1" si="66"/>
        <v>2.3913474895812626E-2</v>
      </c>
      <c r="H1423" s="14">
        <f t="shared" si="67"/>
        <v>2021</v>
      </c>
      <c r="I1423" s="5">
        <f t="shared" ca="1" si="68"/>
        <v>-4.3469670025686399E-3</v>
      </c>
      <c r="J1423" s="16"/>
    </row>
    <row r="1424" spans="1:10" x14ac:dyDescent="0.2">
      <c r="A1424" s="3">
        <v>44342</v>
      </c>
      <c r="B1424" s="1">
        <f ca="1">IFERROR(__xludf.DUMMYFUNCTION("""COMPUTED_VALUE"""),202.52)</f>
        <v>202.52</v>
      </c>
      <c r="C1424" s="1">
        <f ca="1">IFERROR(__xludf.DUMMYFUNCTION("""COMPUTED_VALUE"""),208.72)</f>
        <v>208.72</v>
      </c>
      <c r="D1424" s="1">
        <f ca="1">IFERROR(__xludf.DUMMYFUNCTION("""COMPUTED_VALUE"""),200.5)</f>
        <v>200.5</v>
      </c>
      <c r="E1424" s="1">
        <f ca="1">IFERROR(__xludf.DUMMYFUNCTION("""COMPUTED_VALUE"""),206.38)</f>
        <v>206.38</v>
      </c>
      <c r="F1424" s="1">
        <f ca="1">IFERROR(__xludf.DUMMYFUNCTION("""COMPUTED_VALUE"""),28639305)</f>
        <v>28639305</v>
      </c>
      <c r="G1424" s="5">
        <f t="shared" ca="1" si="66"/>
        <v>1.8897179959298408E-2</v>
      </c>
      <c r="H1424" s="14">
        <f t="shared" si="67"/>
        <v>2021</v>
      </c>
      <c r="I1424" s="5">
        <f t="shared" ca="1" si="68"/>
        <v>1.9059845941141542E-2</v>
      </c>
      <c r="J1424" s="16"/>
    </row>
    <row r="1425" spans="1:10" x14ac:dyDescent="0.2">
      <c r="A1425" s="3">
        <v>44343</v>
      </c>
      <c r="B1425" s="1">
        <f ca="1">IFERROR(__xludf.DUMMYFUNCTION("""COMPUTED_VALUE"""),206.75)</f>
        <v>206.75</v>
      </c>
      <c r="C1425" s="1">
        <f ca="1">IFERROR(__xludf.DUMMYFUNCTION("""COMPUTED_VALUE"""),210.38)</f>
        <v>210.38</v>
      </c>
      <c r="D1425" s="1">
        <f ca="1">IFERROR(__xludf.DUMMYFUNCTION("""COMPUTED_VALUE"""),205.4)</f>
        <v>205.4</v>
      </c>
      <c r="E1425" s="1">
        <f ca="1">IFERROR(__xludf.DUMMYFUNCTION("""COMPUTED_VALUE"""),210.28)</f>
        <v>210.28</v>
      </c>
      <c r="F1425" s="1">
        <f ca="1">IFERROR(__xludf.DUMMYFUNCTION("""COMPUTED_VALUE"""),26370593)</f>
        <v>26370593</v>
      </c>
      <c r="G1425" s="5">
        <f t="shared" ca="1" si="66"/>
        <v>-8.8929046984972636E-3</v>
      </c>
      <c r="H1425" s="14">
        <f t="shared" si="67"/>
        <v>2021</v>
      </c>
      <c r="I1425" s="5">
        <f t="shared" ca="1" si="68"/>
        <v>1.7073760580411129E-2</v>
      </c>
      <c r="J1425" s="16"/>
    </row>
    <row r="1426" spans="1:10" x14ac:dyDescent="0.2">
      <c r="A1426" s="3">
        <v>44344</v>
      </c>
      <c r="B1426" s="1">
        <f ca="1">IFERROR(__xludf.DUMMYFUNCTION("""COMPUTED_VALUE"""),209.5)</f>
        <v>209.5</v>
      </c>
      <c r="C1426" s="1">
        <f ca="1">IFERROR(__xludf.DUMMYFUNCTION("""COMPUTED_VALUE"""),211.86)</f>
        <v>211.86</v>
      </c>
      <c r="D1426" s="1">
        <f ca="1">IFERROR(__xludf.DUMMYFUNCTION("""COMPUTED_VALUE"""),207.46)</f>
        <v>207.46</v>
      </c>
      <c r="E1426" s="1">
        <f ca="1">IFERROR(__xludf.DUMMYFUNCTION("""COMPUTED_VALUE"""),208.41)</f>
        <v>208.41</v>
      </c>
      <c r="F1426" s="1">
        <f ca="1">IFERROR(__xludf.DUMMYFUNCTION("""COMPUTED_VALUE"""),22737038)</f>
        <v>22737038</v>
      </c>
      <c r="G1426" s="5">
        <f t="shared" ca="1" si="66"/>
        <v>-2.1112230699102622E-3</v>
      </c>
      <c r="H1426" s="14">
        <f t="shared" si="67"/>
        <v>2021</v>
      </c>
      <c r="I1426" s="5">
        <f t="shared" ca="1" si="68"/>
        <v>-5.2028639618138589E-3</v>
      </c>
      <c r="J1426" s="16"/>
    </row>
    <row r="1427" spans="1:10" x14ac:dyDescent="0.2">
      <c r="A1427" s="3">
        <v>44348</v>
      </c>
      <c r="B1427" s="1">
        <f ca="1">IFERROR(__xludf.DUMMYFUNCTION("""COMPUTED_VALUE"""),209.27)</f>
        <v>209.27</v>
      </c>
      <c r="C1427" s="1">
        <f ca="1">IFERROR(__xludf.DUMMYFUNCTION("""COMPUTED_VALUE"""),211.27)</f>
        <v>211.27</v>
      </c>
      <c r="D1427" s="1">
        <f ca="1">IFERROR(__xludf.DUMMYFUNCTION("""COMPUTED_VALUE"""),206.85)</f>
        <v>206.85</v>
      </c>
      <c r="E1427" s="1">
        <f ca="1">IFERROR(__xludf.DUMMYFUNCTION("""COMPUTED_VALUE"""),207.97)</f>
        <v>207.97</v>
      </c>
      <c r="F1427" s="1">
        <f ca="1">IFERROR(__xludf.DUMMYFUNCTION("""COMPUTED_VALUE"""),18084890)</f>
        <v>18084890</v>
      </c>
      <c r="G1427" s="5">
        <f t="shared" ca="1" si="66"/>
        <v>-3.010049526373992E-2</v>
      </c>
      <c r="H1427" s="14">
        <f t="shared" si="67"/>
        <v>2021</v>
      </c>
      <c r="I1427" s="5">
        <f t="shared" ca="1" si="68"/>
        <v>-6.2120705308931585E-3</v>
      </c>
      <c r="J1427" s="16"/>
    </row>
    <row r="1428" spans="1:10" x14ac:dyDescent="0.2">
      <c r="A1428" s="3">
        <v>44349</v>
      </c>
      <c r="B1428" s="1">
        <f ca="1">IFERROR(__xludf.DUMMYFUNCTION("""COMPUTED_VALUE"""),206.71)</f>
        <v>206.71</v>
      </c>
      <c r="C1428" s="1">
        <f ca="1">IFERROR(__xludf.DUMMYFUNCTION("""COMPUTED_VALUE"""),207.79)</f>
        <v>207.79</v>
      </c>
      <c r="D1428" s="1">
        <f ca="1">IFERROR(__xludf.DUMMYFUNCTION("""COMPUTED_VALUE"""),199.71)</f>
        <v>199.71</v>
      </c>
      <c r="E1428" s="1">
        <f ca="1">IFERROR(__xludf.DUMMYFUNCTION("""COMPUTED_VALUE"""),201.71)</f>
        <v>201.71</v>
      </c>
      <c r="F1428" s="1">
        <f ca="1">IFERROR(__xludf.DUMMYFUNCTION("""COMPUTED_VALUE"""),23302779)</f>
        <v>23302779</v>
      </c>
      <c r="G1428" s="5">
        <f t="shared" ca="1" si="66"/>
        <v>-5.3343909573149662E-2</v>
      </c>
      <c r="H1428" s="14">
        <f t="shared" si="67"/>
        <v>2021</v>
      </c>
      <c r="I1428" s="5">
        <f t="shared" ca="1" si="68"/>
        <v>-2.4188476609743118E-2</v>
      </c>
      <c r="J1428" s="16"/>
    </row>
    <row r="1429" spans="1:10" x14ac:dyDescent="0.2">
      <c r="A1429" s="3">
        <v>44350</v>
      </c>
      <c r="B1429" s="1">
        <f ca="1">IFERROR(__xludf.DUMMYFUNCTION("""COMPUTED_VALUE"""),200.6)</f>
        <v>200.6</v>
      </c>
      <c r="C1429" s="1">
        <f ca="1">IFERROR(__xludf.DUMMYFUNCTION("""COMPUTED_VALUE"""),201.52)</f>
        <v>201.52</v>
      </c>
      <c r="D1429" s="1">
        <f ca="1">IFERROR(__xludf.DUMMYFUNCTION("""COMPUTED_VALUE"""),190.41)</f>
        <v>190.41</v>
      </c>
      <c r="E1429" s="1">
        <f ca="1">IFERROR(__xludf.DUMMYFUNCTION("""COMPUTED_VALUE"""),190.95)</f>
        <v>190.95</v>
      </c>
      <c r="F1429" s="1">
        <f ca="1">IFERROR(__xludf.DUMMYFUNCTION("""COMPUTED_VALUE"""),30111893)</f>
        <v>30111893</v>
      </c>
      <c r="G1429" s="5">
        <f t="shared" ca="1" si="66"/>
        <v>4.5718774548311171E-2</v>
      </c>
      <c r="H1429" s="14">
        <f t="shared" si="67"/>
        <v>2021</v>
      </c>
      <c r="I1429" s="5">
        <f t="shared" ca="1" si="68"/>
        <v>-4.8105682951146589E-2</v>
      </c>
      <c r="J1429" s="16"/>
    </row>
    <row r="1430" spans="1:10" x14ac:dyDescent="0.2">
      <c r="A1430" s="3">
        <v>44351</v>
      </c>
      <c r="B1430" s="1">
        <f ca="1">IFERROR(__xludf.DUMMYFUNCTION("""COMPUTED_VALUE"""),193.24)</f>
        <v>193.24</v>
      </c>
      <c r="C1430" s="1">
        <f ca="1">IFERROR(__xludf.DUMMYFUNCTION("""COMPUTED_VALUE"""),200.2)</f>
        <v>200.2</v>
      </c>
      <c r="D1430" s="1">
        <f ca="1">IFERROR(__xludf.DUMMYFUNCTION("""COMPUTED_VALUE"""),192.4)</f>
        <v>192.4</v>
      </c>
      <c r="E1430" s="1">
        <f ca="1">IFERROR(__xludf.DUMMYFUNCTION("""COMPUTED_VALUE"""),199.68)</f>
        <v>199.68</v>
      </c>
      <c r="F1430" s="1">
        <f ca="1">IFERROR(__xludf.DUMMYFUNCTION("""COMPUTED_VALUE"""),24036896)</f>
        <v>24036896</v>
      </c>
      <c r="G1430" s="5">
        <f t="shared" ca="1" si="66"/>
        <v>1.0166266025641031E-2</v>
      </c>
      <c r="H1430" s="14">
        <f t="shared" si="67"/>
        <v>2021</v>
      </c>
      <c r="I1430" s="5">
        <f t="shared" ca="1" si="68"/>
        <v>3.3326433450631326E-2</v>
      </c>
      <c r="J1430" s="16"/>
    </row>
    <row r="1431" spans="1:10" x14ac:dyDescent="0.2">
      <c r="A1431" s="3">
        <v>44354</v>
      </c>
      <c r="B1431" s="1">
        <f ca="1">IFERROR(__xludf.DUMMYFUNCTION("""COMPUTED_VALUE"""),197.28)</f>
        <v>197.28</v>
      </c>
      <c r="C1431" s="1">
        <f ca="1">IFERROR(__xludf.DUMMYFUNCTION("""COMPUTED_VALUE"""),203.33)</f>
        <v>203.33</v>
      </c>
      <c r="D1431" s="1">
        <f ca="1">IFERROR(__xludf.DUMMYFUNCTION("""COMPUTED_VALUE"""),194.29)</f>
        <v>194.29</v>
      </c>
      <c r="E1431" s="1">
        <f ca="1">IFERROR(__xludf.DUMMYFUNCTION("""COMPUTED_VALUE"""),201.71)</f>
        <v>201.71</v>
      </c>
      <c r="F1431" s="1">
        <f ca="1">IFERROR(__xludf.DUMMYFUNCTION("""COMPUTED_VALUE"""),22543682)</f>
        <v>22543682</v>
      </c>
      <c r="G1431" s="5">
        <f t="shared" ca="1" si="66"/>
        <v>-2.5283823310694527E-3</v>
      </c>
      <c r="H1431" s="14">
        <f t="shared" si="67"/>
        <v>2021</v>
      </c>
      <c r="I1431" s="5">
        <f t="shared" ca="1" si="68"/>
        <v>2.2455393349553966E-2</v>
      </c>
      <c r="J1431" s="16"/>
    </row>
    <row r="1432" spans="1:10" x14ac:dyDescent="0.2">
      <c r="A1432" s="3">
        <v>44355</v>
      </c>
      <c r="B1432" s="1">
        <f ca="1">IFERROR(__xludf.DUMMYFUNCTION("""COMPUTED_VALUE"""),207.67)</f>
        <v>207.67</v>
      </c>
      <c r="C1432" s="1">
        <f ca="1">IFERROR(__xludf.DUMMYFUNCTION("""COMPUTED_VALUE"""),207.7)</f>
        <v>207.7</v>
      </c>
      <c r="D1432" s="1">
        <f ca="1">IFERROR(__xludf.DUMMYFUNCTION("""COMPUTED_VALUE"""),198.5)</f>
        <v>198.5</v>
      </c>
      <c r="E1432" s="1">
        <f ca="1">IFERROR(__xludf.DUMMYFUNCTION("""COMPUTED_VALUE"""),201.2)</f>
        <v>201.2</v>
      </c>
      <c r="F1432" s="1">
        <f ca="1">IFERROR(__xludf.DUMMYFUNCTION("""COMPUTED_VALUE"""),26053405)</f>
        <v>26053405</v>
      </c>
      <c r="G1432" s="5">
        <f t="shared" ca="1" si="66"/>
        <v>-8.0019880715705028E-3</v>
      </c>
      <c r="H1432" s="14">
        <f t="shared" si="67"/>
        <v>2021</v>
      </c>
      <c r="I1432" s="5">
        <f t="shared" ca="1" si="68"/>
        <v>-3.1155198150912503E-2</v>
      </c>
      <c r="J1432" s="16"/>
    </row>
    <row r="1433" spans="1:10" x14ac:dyDescent="0.2">
      <c r="A1433" s="3">
        <v>44356</v>
      </c>
      <c r="B1433" s="1">
        <f ca="1">IFERROR(__xludf.DUMMYFUNCTION("""COMPUTED_VALUE"""),200.72)</f>
        <v>200.72</v>
      </c>
      <c r="C1433" s="1">
        <f ca="1">IFERROR(__xludf.DUMMYFUNCTION("""COMPUTED_VALUE"""),203.93)</f>
        <v>203.93</v>
      </c>
      <c r="D1433" s="1">
        <f ca="1">IFERROR(__xludf.DUMMYFUNCTION("""COMPUTED_VALUE"""),199.21)</f>
        <v>199.21</v>
      </c>
      <c r="E1433" s="1">
        <f ca="1">IFERROR(__xludf.DUMMYFUNCTION("""COMPUTED_VALUE"""),199.59)</f>
        <v>199.59</v>
      </c>
      <c r="F1433" s="1">
        <f ca="1">IFERROR(__xludf.DUMMYFUNCTION("""COMPUTED_VALUE"""),16584566)</f>
        <v>16584566</v>
      </c>
      <c r="G1433" s="5">
        <f t="shared" ca="1" si="66"/>
        <v>1.8938824590410346E-2</v>
      </c>
      <c r="H1433" s="14">
        <f t="shared" si="67"/>
        <v>2021</v>
      </c>
      <c r="I1433" s="5">
        <f t="shared" ca="1" si="68"/>
        <v>-5.629732961339156E-3</v>
      </c>
      <c r="J1433" s="16"/>
    </row>
    <row r="1434" spans="1:10" x14ac:dyDescent="0.2">
      <c r="A1434" s="3">
        <v>44357</v>
      </c>
      <c r="B1434" s="1">
        <f ca="1">IFERROR(__xludf.DUMMYFUNCTION("""COMPUTED_VALUE"""),201.29)</f>
        <v>201.29</v>
      </c>
      <c r="C1434" s="1">
        <f ca="1">IFERROR(__xludf.DUMMYFUNCTION("""COMPUTED_VALUE"""),205.53)</f>
        <v>205.53</v>
      </c>
      <c r="D1434" s="1">
        <f ca="1">IFERROR(__xludf.DUMMYFUNCTION("""COMPUTED_VALUE"""),200.17)</f>
        <v>200.17</v>
      </c>
      <c r="E1434" s="1">
        <f ca="1">IFERROR(__xludf.DUMMYFUNCTION("""COMPUTED_VALUE"""),203.37)</f>
        <v>203.37</v>
      </c>
      <c r="F1434" s="1">
        <f ca="1">IFERROR(__xludf.DUMMYFUNCTION("""COMPUTED_VALUE"""),23919606)</f>
        <v>23919606</v>
      </c>
      <c r="G1434" s="5">
        <f t="shared" ca="1" si="66"/>
        <v>-3.4420022618868651E-4</v>
      </c>
      <c r="H1434" s="14">
        <f t="shared" si="67"/>
        <v>2021</v>
      </c>
      <c r="I1434" s="5">
        <f t="shared" ca="1" si="68"/>
        <v>1.0333349893188994E-2</v>
      </c>
      <c r="J1434" s="16"/>
    </row>
    <row r="1435" spans="1:10" x14ac:dyDescent="0.2">
      <c r="A1435" s="3">
        <v>44358</v>
      </c>
      <c r="B1435" s="1">
        <f ca="1">IFERROR(__xludf.DUMMYFUNCTION("""COMPUTED_VALUE"""),203.41)</f>
        <v>203.41</v>
      </c>
      <c r="C1435" s="1">
        <f ca="1">IFERROR(__xludf.DUMMYFUNCTION("""COMPUTED_VALUE"""),204.19)</f>
        <v>204.19</v>
      </c>
      <c r="D1435" s="1">
        <f ca="1">IFERROR(__xludf.DUMMYFUNCTION("""COMPUTED_VALUE"""),200.51)</f>
        <v>200.51</v>
      </c>
      <c r="E1435" s="1">
        <f ca="1">IFERROR(__xludf.DUMMYFUNCTION("""COMPUTED_VALUE"""),203.3)</f>
        <v>203.3</v>
      </c>
      <c r="F1435" s="1">
        <f ca="1">IFERROR(__xludf.DUMMYFUNCTION("""COMPUTED_VALUE"""),16205303)</f>
        <v>16205303</v>
      </c>
      <c r="G1435" s="5">
        <f t="shared" ca="1" si="66"/>
        <v>1.2788981800295102E-2</v>
      </c>
      <c r="H1435" s="14">
        <f t="shared" si="67"/>
        <v>2021</v>
      </c>
      <c r="I1435" s="5">
        <f t="shared" ca="1" si="68"/>
        <v>-5.4077970601241446E-4</v>
      </c>
      <c r="J1435" s="16"/>
    </row>
    <row r="1436" spans="1:10" x14ac:dyDescent="0.2">
      <c r="A1436" s="3">
        <v>44361</v>
      </c>
      <c r="B1436" s="1">
        <f ca="1">IFERROR(__xludf.DUMMYFUNCTION("""COMPUTED_VALUE"""),204.08)</f>
        <v>204.08</v>
      </c>
      <c r="C1436" s="1">
        <f ca="1">IFERROR(__xludf.DUMMYFUNCTION("""COMPUTED_VALUE"""),208.5)</f>
        <v>208.5</v>
      </c>
      <c r="D1436" s="1">
        <f ca="1">IFERROR(__xludf.DUMMYFUNCTION("""COMPUTED_VALUE"""),203.06)</f>
        <v>203.06</v>
      </c>
      <c r="E1436" s="1">
        <f ca="1">IFERROR(__xludf.DUMMYFUNCTION("""COMPUTED_VALUE"""),205.9)</f>
        <v>205.9</v>
      </c>
      <c r="F1436" s="1">
        <f ca="1">IFERROR(__xludf.DUMMYFUNCTION("""COMPUTED_VALUE"""),20423983)</f>
        <v>20423983</v>
      </c>
      <c r="G1436" s="5">
        <f t="shared" ca="1" si="66"/>
        <v>-2.9674599320058347E-2</v>
      </c>
      <c r="H1436" s="14">
        <f t="shared" si="67"/>
        <v>2021</v>
      </c>
      <c r="I1436" s="5">
        <f t="shared" ca="1" si="68"/>
        <v>8.9180713445707223E-3</v>
      </c>
      <c r="J1436" s="16"/>
    </row>
    <row r="1437" spans="1:10" x14ac:dyDescent="0.2">
      <c r="A1437" s="3">
        <v>44362</v>
      </c>
      <c r="B1437" s="1">
        <f ca="1">IFERROR(__xludf.DUMMYFUNCTION("""COMPUTED_VALUE"""),205.56)</f>
        <v>205.56</v>
      </c>
      <c r="C1437" s="1">
        <f ca="1">IFERROR(__xludf.DUMMYFUNCTION("""COMPUTED_VALUE"""),205.6)</f>
        <v>205.6</v>
      </c>
      <c r="D1437" s="1">
        <f ca="1">IFERROR(__xludf.DUMMYFUNCTION("""COMPUTED_VALUE"""),199.41)</f>
        <v>199.41</v>
      </c>
      <c r="E1437" s="1">
        <f ca="1">IFERROR(__xludf.DUMMYFUNCTION("""COMPUTED_VALUE"""),199.79)</f>
        <v>199.79</v>
      </c>
      <c r="F1437" s="1">
        <f ca="1">IFERROR(__xludf.DUMMYFUNCTION("""COMPUTED_VALUE"""),17764145)</f>
        <v>17764145</v>
      </c>
      <c r="G1437" s="5">
        <f t="shared" ca="1" si="66"/>
        <v>9.1596175984784648E-3</v>
      </c>
      <c r="H1437" s="14">
        <f t="shared" si="67"/>
        <v>2021</v>
      </c>
      <c r="I1437" s="5">
        <f t="shared" ca="1" si="68"/>
        <v>-2.8069663358630134E-2</v>
      </c>
      <c r="J1437" s="16"/>
    </row>
    <row r="1438" spans="1:10" x14ac:dyDescent="0.2">
      <c r="A1438" s="3">
        <v>44363</v>
      </c>
      <c r="B1438" s="1">
        <f ca="1">IFERROR(__xludf.DUMMYFUNCTION("""COMPUTED_VALUE"""),199.18)</f>
        <v>199.18</v>
      </c>
      <c r="C1438" s="1">
        <f ca="1">IFERROR(__xludf.DUMMYFUNCTION("""COMPUTED_VALUE"""),202.83)</f>
        <v>202.83</v>
      </c>
      <c r="D1438" s="1">
        <f ca="1">IFERROR(__xludf.DUMMYFUNCTION("""COMPUTED_VALUE"""),197.83)</f>
        <v>197.83</v>
      </c>
      <c r="E1438" s="1">
        <f ca="1">IFERROR(__xludf.DUMMYFUNCTION("""COMPUTED_VALUE"""),201.62)</f>
        <v>201.62</v>
      </c>
      <c r="F1438" s="1">
        <f ca="1">IFERROR(__xludf.DUMMYFUNCTION("""COMPUTED_VALUE"""),22144127)</f>
        <v>22144127</v>
      </c>
      <c r="G1438" s="5">
        <f t="shared" ca="1" si="66"/>
        <v>1.9392917369308583E-2</v>
      </c>
      <c r="H1438" s="14">
        <f t="shared" si="67"/>
        <v>2021</v>
      </c>
      <c r="I1438" s="5">
        <f t="shared" ca="1" si="68"/>
        <v>1.2250225926297809E-2</v>
      </c>
      <c r="J1438" s="16"/>
    </row>
    <row r="1439" spans="1:10" x14ac:dyDescent="0.2">
      <c r="A1439" s="3">
        <v>44364</v>
      </c>
      <c r="B1439" s="1">
        <f ca="1">IFERROR(__xludf.DUMMYFUNCTION("""COMPUTED_VALUE"""),200.63)</f>
        <v>200.63</v>
      </c>
      <c r="C1439" s="1">
        <f ca="1">IFERROR(__xludf.DUMMYFUNCTION("""COMPUTED_VALUE"""),207.16)</f>
        <v>207.16</v>
      </c>
      <c r="D1439" s="1">
        <f ca="1">IFERROR(__xludf.DUMMYFUNCTION("""COMPUTED_VALUE"""),200.45)</f>
        <v>200.45</v>
      </c>
      <c r="E1439" s="1">
        <f ca="1">IFERROR(__xludf.DUMMYFUNCTION("""COMPUTED_VALUE"""),205.53)</f>
        <v>205.53</v>
      </c>
      <c r="F1439" s="1">
        <f ca="1">IFERROR(__xludf.DUMMYFUNCTION("""COMPUTED_VALUE"""),22701350)</f>
        <v>22701350</v>
      </c>
      <c r="G1439" s="5">
        <f t="shared" ca="1" si="66"/>
        <v>1.0898652264876218E-2</v>
      </c>
      <c r="H1439" s="14">
        <f t="shared" si="67"/>
        <v>2021</v>
      </c>
      <c r="I1439" s="5">
        <f t="shared" ca="1" si="68"/>
        <v>2.4423067337885688E-2</v>
      </c>
      <c r="J1439" s="16"/>
    </row>
    <row r="1440" spans="1:10" x14ac:dyDescent="0.2">
      <c r="A1440" s="3">
        <v>44365</v>
      </c>
      <c r="B1440" s="1">
        <f ca="1">IFERROR(__xludf.DUMMYFUNCTION("""COMPUTED_VALUE"""),204.46)</f>
        <v>204.46</v>
      </c>
      <c r="C1440" s="1">
        <f ca="1">IFERROR(__xludf.DUMMYFUNCTION("""COMPUTED_VALUE"""),209.45)</f>
        <v>209.45</v>
      </c>
      <c r="D1440" s="1">
        <f ca="1">IFERROR(__xludf.DUMMYFUNCTION("""COMPUTED_VALUE"""),203.93)</f>
        <v>203.93</v>
      </c>
      <c r="E1440" s="1">
        <f ca="1">IFERROR(__xludf.DUMMYFUNCTION("""COMPUTED_VALUE"""),207.77)</f>
        <v>207.77</v>
      </c>
      <c r="F1440" s="1">
        <f ca="1">IFERROR(__xludf.DUMMYFUNCTION("""COMPUTED_VALUE"""),24560905)</f>
        <v>24560905</v>
      </c>
      <c r="G1440" s="5">
        <f t="shared" ca="1" si="66"/>
        <v>-3.994801944457874E-3</v>
      </c>
      <c r="H1440" s="14">
        <f t="shared" si="67"/>
        <v>2021</v>
      </c>
      <c r="I1440" s="5">
        <f t="shared" ca="1" si="68"/>
        <v>1.6188985620659308E-2</v>
      </c>
      <c r="J1440" s="16"/>
    </row>
    <row r="1441" spans="1:10" x14ac:dyDescent="0.2">
      <c r="A1441" s="3">
        <v>44368</v>
      </c>
      <c r="B1441" s="1">
        <f ca="1">IFERROR(__xludf.DUMMYFUNCTION("""COMPUTED_VALUE"""),208.16)</f>
        <v>208.16</v>
      </c>
      <c r="C1441" s="1">
        <f ca="1">IFERROR(__xludf.DUMMYFUNCTION("""COMPUTED_VALUE"""),210.46)</f>
        <v>210.46</v>
      </c>
      <c r="D1441" s="1">
        <f ca="1">IFERROR(__xludf.DUMMYFUNCTION("""COMPUTED_VALUE"""),202.96)</f>
        <v>202.96</v>
      </c>
      <c r="E1441" s="1">
        <f ca="1">IFERROR(__xludf.DUMMYFUNCTION("""COMPUTED_VALUE"""),206.94)</f>
        <v>206.94</v>
      </c>
      <c r="F1441" s="1">
        <f ca="1">IFERROR(__xludf.DUMMYFUNCTION("""COMPUTED_VALUE"""),24812741)</f>
        <v>24812741</v>
      </c>
      <c r="G1441" s="5">
        <f t="shared" ca="1" si="66"/>
        <v>4.6390258045810769E-3</v>
      </c>
      <c r="H1441" s="14">
        <f t="shared" si="67"/>
        <v>2021</v>
      </c>
      <c r="I1441" s="5">
        <f t="shared" ca="1" si="68"/>
        <v>-5.8608762490391956E-3</v>
      </c>
      <c r="J1441" s="16"/>
    </row>
    <row r="1442" spans="1:10" x14ac:dyDescent="0.2">
      <c r="A1442" s="3">
        <v>44369</v>
      </c>
      <c r="B1442" s="1">
        <f ca="1">IFERROR(__xludf.DUMMYFUNCTION("""COMPUTED_VALUE"""),206.08)</f>
        <v>206.08</v>
      </c>
      <c r="C1442" s="1">
        <f ca="1">IFERROR(__xludf.DUMMYFUNCTION("""COMPUTED_VALUE"""),209.52)</f>
        <v>209.52</v>
      </c>
      <c r="D1442" s="1">
        <f ca="1">IFERROR(__xludf.DUMMYFUNCTION("""COMPUTED_VALUE"""),205.17)</f>
        <v>205.17</v>
      </c>
      <c r="E1442" s="1">
        <f ca="1">IFERROR(__xludf.DUMMYFUNCTION("""COMPUTED_VALUE"""),207.9)</f>
        <v>207.9</v>
      </c>
      <c r="F1442" s="1">
        <f ca="1">IFERROR(__xludf.DUMMYFUNCTION("""COMPUTED_VALUE"""),19158892)</f>
        <v>19158892</v>
      </c>
      <c r="G1442" s="5">
        <f t="shared" ca="1" si="66"/>
        <v>5.2717652717652753E-2</v>
      </c>
      <c r="H1442" s="14">
        <f t="shared" si="67"/>
        <v>2021</v>
      </c>
      <c r="I1442" s="5">
        <f t="shared" ca="1" si="68"/>
        <v>8.8315217391304011E-3</v>
      </c>
      <c r="J1442" s="16"/>
    </row>
    <row r="1443" spans="1:10" x14ac:dyDescent="0.2">
      <c r="A1443" s="3">
        <v>44370</v>
      </c>
      <c r="B1443" s="1">
        <f ca="1">IFERROR(__xludf.DUMMYFUNCTION("""COMPUTED_VALUE"""),210.67)</f>
        <v>210.67</v>
      </c>
      <c r="C1443" s="1">
        <f ca="1">IFERROR(__xludf.DUMMYFUNCTION("""COMPUTED_VALUE"""),219.07)</f>
        <v>219.07</v>
      </c>
      <c r="D1443" s="1">
        <f ca="1">IFERROR(__xludf.DUMMYFUNCTION("""COMPUTED_VALUE"""),210.01)</f>
        <v>210.01</v>
      </c>
      <c r="E1443" s="1">
        <f ca="1">IFERROR(__xludf.DUMMYFUNCTION("""COMPUTED_VALUE"""),218.86)</f>
        <v>218.86</v>
      </c>
      <c r="F1443" s="1">
        <f ca="1">IFERROR(__xludf.DUMMYFUNCTION("""COMPUTED_VALUE"""),31099228)</f>
        <v>31099228</v>
      </c>
      <c r="G1443" s="5">
        <f t="shared" ca="1" si="66"/>
        <v>3.5410764872521247E-2</v>
      </c>
      <c r="H1443" s="14">
        <f t="shared" si="67"/>
        <v>2021</v>
      </c>
      <c r="I1443" s="5">
        <f t="shared" ca="1" si="68"/>
        <v>3.8875967152418603E-2</v>
      </c>
      <c r="J1443" s="16"/>
    </row>
    <row r="1444" spans="1:10" x14ac:dyDescent="0.2">
      <c r="A1444" s="3">
        <v>44371</v>
      </c>
      <c r="B1444" s="1">
        <f ca="1">IFERROR(__xludf.DUMMYFUNCTION("""COMPUTED_VALUE"""),225)</f>
        <v>225</v>
      </c>
      <c r="C1444" s="1">
        <f ca="1">IFERROR(__xludf.DUMMYFUNCTION("""COMPUTED_VALUE"""),232.54)</f>
        <v>232.54</v>
      </c>
      <c r="D1444" s="1">
        <f ca="1">IFERROR(__xludf.DUMMYFUNCTION("""COMPUTED_VALUE"""),222.54)</f>
        <v>222.54</v>
      </c>
      <c r="E1444" s="1">
        <f ca="1">IFERROR(__xludf.DUMMYFUNCTION("""COMPUTED_VALUE"""),226.61)</f>
        <v>226.61</v>
      </c>
      <c r="F1444" s="1">
        <f ca="1">IFERROR(__xludf.DUMMYFUNCTION("""COMPUTED_VALUE"""),45982386)</f>
        <v>45982386</v>
      </c>
      <c r="G1444" s="5">
        <f t="shared" ca="1" si="66"/>
        <v>-1.1694099995587157E-2</v>
      </c>
      <c r="H1444" s="14">
        <f t="shared" si="67"/>
        <v>2021</v>
      </c>
      <c r="I1444" s="5">
        <f t="shared" ca="1" si="68"/>
        <v>7.1555555555556163E-3</v>
      </c>
      <c r="J1444" s="16"/>
    </row>
    <row r="1445" spans="1:10" x14ac:dyDescent="0.2">
      <c r="A1445" s="3">
        <v>44372</v>
      </c>
      <c r="B1445" s="1">
        <f ca="1">IFERROR(__xludf.DUMMYFUNCTION("""COMPUTED_VALUE"""),229.86)</f>
        <v>229.86</v>
      </c>
      <c r="C1445" s="1">
        <f ca="1">IFERROR(__xludf.DUMMYFUNCTION("""COMPUTED_VALUE"""),231.27)</f>
        <v>231.27</v>
      </c>
      <c r="D1445" s="1">
        <f ca="1">IFERROR(__xludf.DUMMYFUNCTION("""COMPUTED_VALUE"""),222.9)</f>
        <v>222.9</v>
      </c>
      <c r="E1445" s="1">
        <f ca="1">IFERROR(__xludf.DUMMYFUNCTION("""COMPUTED_VALUE"""),223.96)</f>
        <v>223.96</v>
      </c>
      <c r="F1445" s="1">
        <f ca="1">IFERROR(__xludf.DUMMYFUNCTION("""COMPUTED_VALUE"""),32496707)</f>
        <v>32496707</v>
      </c>
      <c r="G1445" s="5">
        <f t="shared" ca="1" si="66"/>
        <v>2.5049115913555926E-2</v>
      </c>
      <c r="H1445" s="14">
        <f t="shared" si="67"/>
        <v>2021</v>
      </c>
      <c r="I1445" s="5">
        <f t="shared" ca="1" si="68"/>
        <v>-2.5667797789959129E-2</v>
      </c>
      <c r="J1445" s="16"/>
    </row>
    <row r="1446" spans="1:10" x14ac:dyDescent="0.2">
      <c r="A1446" s="3">
        <v>44375</v>
      </c>
      <c r="B1446" s="1">
        <f ca="1">IFERROR(__xludf.DUMMYFUNCTION("""COMPUTED_VALUE"""),223.88)</f>
        <v>223.88</v>
      </c>
      <c r="C1446" s="1">
        <f ca="1">IFERROR(__xludf.DUMMYFUNCTION("""COMPUTED_VALUE"""),231.57)</f>
        <v>231.57</v>
      </c>
      <c r="D1446" s="1">
        <f ca="1">IFERROR(__xludf.DUMMYFUNCTION("""COMPUTED_VALUE"""),223.44)</f>
        <v>223.44</v>
      </c>
      <c r="E1446" s="1">
        <f ca="1">IFERROR(__xludf.DUMMYFUNCTION("""COMPUTED_VALUE"""),229.57)</f>
        <v>229.57</v>
      </c>
      <c r="F1446" s="1">
        <f ca="1">IFERROR(__xludf.DUMMYFUNCTION("""COMPUTED_VALUE"""),21628159)</f>
        <v>21628159</v>
      </c>
      <c r="G1446" s="5">
        <f t="shared" ca="1" si="66"/>
        <v>-1.1543320120224793E-2</v>
      </c>
      <c r="H1446" s="14">
        <f t="shared" si="67"/>
        <v>2021</v>
      </c>
      <c r="I1446" s="5">
        <f t="shared" ca="1" si="68"/>
        <v>2.5415401107736279E-2</v>
      </c>
      <c r="J1446" s="16"/>
    </row>
    <row r="1447" spans="1:10" x14ac:dyDescent="0.2">
      <c r="A1447" s="3">
        <v>44376</v>
      </c>
      <c r="B1447" s="1">
        <f ca="1">IFERROR(__xludf.DUMMYFUNCTION("""COMPUTED_VALUE"""),228.22)</f>
        <v>228.22</v>
      </c>
      <c r="C1447" s="1">
        <f ca="1">IFERROR(__xludf.DUMMYFUNCTION("""COMPUTED_VALUE"""),229.17)</f>
        <v>229.17</v>
      </c>
      <c r="D1447" s="1">
        <f ca="1">IFERROR(__xludf.DUMMYFUNCTION("""COMPUTED_VALUE"""),225.3)</f>
        <v>225.3</v>
      </c>
      <c r="E1447" s="1">
        <f ca="1">IFERROR(__xludf.DUMMYFUNCTION("""COMPUTED_VALUE"""),226.92)</f>
        <v>226.92</v>
      </c>
      <c r="F1447" s="1">
        <f ca="1">IFERROR(__xludf.DUMMYFUNCTION("""COMPUTED_VALUE"""),17381313)</f>
        <v>17381313</v>
      </c>
      <c r="G1447" s="5">
        <f t="shared" ca="1" si="66"/>
        <v>-1.5423937951700791E-3</v>
      </c>
      <c r="H1447" s="14">
        <f t="shared" si="67"/>
        <v>2021</v>
      </c>
      <c r="I1447" s="5">
        <f t="shared" ca="1" si="68"/>
        <v>-5.6962579966699295E-3</v>
      </c>
      <c r="J1447" s="16"/>
    </row>
    <row r="1448" spans="1:10" x14ac:dyDescent="0.2">
      <c r="A1448" s="3">
        <v>44377</v>
      </c>
      <c r="B1448" s="1">
        <f ca="1">IFERROR(__xludf.DUMMYFUNCTION("""COMPUTED_VALUE"""),226.59)</f>
        <v>226.59</v>
      </c>
      <c r="C1448" s="1">
        <f ca="1">IFERROR(__xludf.DUMMYFUNCTION("""COMPUTED_VALUE"""),230.94)</f>
        <v>230.94</v>
      </c>
      <c r="D1448" s="1">
        <f ca="1">IFERROR(__xludf.DUMMYFUNCTION("""COMPUTED_VALUE"""),226.05)</f>
        <v>226.05</v>
      </c>
      <c r="E1448" s="1">
        <f ca="1">IFERROR(__xludf.DUMMYFUNCTION("""COMPUTED_VALUE"""),226.57)</f>
        <v>226.57</v>
      </c>
      <c r="F1448" s="1">
        <f ca="1">IFERROR(__xludf.DUMMYFUNCTION("""COMPUTED_VALUE"""),18924862)</f>
        <v>18924862</v>
      </c>
      <c r="G1448" s="5">
        <f t="shared" ca="1" si="66"/>
        <v>-2.6481881979079063E-3</v>
      </c>
      <c r="H1448" s="14">
        <f t="shared" si="67"/>
        <v>2021</v>
      </c>
      <c r="I1448" s="5">
        <f t="shared" ca="1" si="68"/>
        <v>-8.8265148506157522E-5</v>
      </c>
      <c r="J1448" s="16"/>
    </row>
    <row r="1449" spans="1:10" x14ac:dyDescent="0.2">
      <c r="A1449" s="3">
        <v>44378</v>
      </c>
      <c r="B1449" s="1">
        <f ca="1">IFERROR(__xludf.DUMMYFUNCTION("""COMPUTED_VALUE"""),227.97)</f>
        <v>227.97</v>
      </c>
      <c r="C1449" s="1">
        <f ca="1">IFERROR(__xludf.DUMMYFUNCTION("""COMPUTED_VALUE"""),229.33)</f>
        <v>229.33</v>
      </c>
      <c r="D1449" s="1">
        <f ca="1">IFERROR(__xludf.DUMMYFUNCTION("""COMPUTED_VALUE"""),224.27)</f>
        <v>224.27</v>
      </c>
      <c r="E1449" s="1">
        <f ca="1">IFERROR(__xludf.DUMMYFUNCTION("""COMPUTED_VALUE"""),225.97)</f>
        <v>225.97</v>
      </c>
      <c r="F1449" s="1">
        <f ca="1">IFERROR(__xludf.DUMMYFUNCTION("""COMPUTED_VALUE"""),18634522)</f>
        <v>18634522</v>
      </c>
      <c r="G1449" s="5">
        <f t="shared" ca="1" si="66"/>
        <v>1.460370845687536E-3</v>
      </c>
      <c r="H1449" s="14">
        <f t="shared" si="67"/>
        <v>2021</v>
      </c>
      <c r="I1449" s="5">
        <f t="shared" ca="1" si="68"/>
        <v>-8.7730841777426856E-3</v>
      </c>
      <c r="J1449" s="16"/>
    </row>
    <row r="1450" spans="1:10" x14ac:dyDescent="0.2">
      <c r="A1450" s="3">
        <v>44379</v>
      </c>
      <c r="B1450" s="1">
        <f ca="1">IFERROR(__xludf.DUMMYFUNCTION("""COMPUTED_VALUE"""),226.33)</f>
        <v>226.33</v>
      </c>
      <c r="C1450" s="1">
        <f ca="1">IFERROR(__xludf.DUMMYFUNCTION("""COMPUTED_VALUE"""),233.33)</f>
        <v>233.33</v>
      </c>
      <c r="D1450" s="1">
        <f ca="1">IFERROR(__xludf.DUMMYFUNCTION("""COMPUTED_VALUE"""),224.42)</f>
        <v>224.42</v>
      </c>
      <c r="E1450" s="1">
        <f ca="1">IFERROR(__xludf.DUMMYFUNCTION("""COMPUTED_VALUE"""),226.3)</f>
        <v>226.3</v>
      </c>
      <c r="F1450" s="1">
        <f ca="1">IFERROR(__xludf.DUMMYFUNCTION("""COMPUTED_VALUE"""),27097374)</f>
        <v>27097374</v>
      </c>
      <c r="G1450" s="5">
        <f t="shared" ca="1" si="66"/>
        <v>-2.8457799381352174E-2</v>
      </c>
      <c r="H1450" s="14">
        <f t="shared" si="67"/>
        <v>2021</v>
      </c>
      <c r="I1450" s="5">
        <f t="shared" ca="1" si="68"/>
        <v>-1.3254981663942533E-4</v>
      </c>
      <c r="J1450" s="16"/>
    </row>
    <row r="1451" spans="1:10" x14ac:dyDescent="0.2">
      <c r="A1451" s="3">
        <v>44383</v>
      </c>
      <c r="B1451" s="1">
        <f ca="1">IFERROR(__xludf.DUMMYFUNCTION("""COMPUTED_VALUE"""),227.24)</f>
        <v>227.24</v>
      </c>
      <c r="C1451" s="1">
        <f ca="1">IFERROR(__xludf.DUMMYFUNCTION("""COMPUTED_VALUE"""),228)</f>
        <v>228</v>
      </c>
      <c r="D1451" s="1">
        <f ca="1">IFERROR(__xludf.DUMMYFUNCTION("""COMPUTED_VALUE"""),217.13)</f>
        <v>217.13</v>
      </c>
      <c r="E1451" s="1">
        <f ca="1">IFERROR(__xludf.DUMMYFUNCTION("""COMPUTED_VALUE"""),219.86)</f>
        <v>219.86</v>
      </c>
      <c r="F1451" s="1">
        <f ca="1">IFERROR(__xludf.DUMMYFUNCTION("""COMPUTED_VALUE"""),23284450)</f>
        <v>23284450</v>
      </c>
      <c r="G1451" s="5">
        <f t="shared" ca="1" si="66"/>
        <v>-2.2650777767670417E-2</v>
      </c>
      <c r="H1451" s="14">
        <f t="shared" si="67"/>
        <v>2021</v>
      </c>
      <c r="I1451" s="5">
        <f t="shared" ca="1" si="68"/>
        <v>-3.2476676641436344E-2</v>
      </c>
      <c r="J1451" s="16"/>
    </row>
    <row r="1452" spans="1:10" x14ac:dyDescent="0.2">
      <c r="A1452" s="3">
        <v>44384</v>
      </c>
      <c r="B1452" s="1">
        <f ca="1">IFERROR(__xludf.DUMMYFUNCTION("""COMPUTED_VALUE"""),221.42)</f>
        <v>221.42</v>
      </c>
      <c r="C1452" s="1">
        <f ca="1">IFERROR(__xludf.DUMMYFUNCTION("""COMPUTED_VALUE"""),221.9)</f>
        <v>221.9</v>
      </c>
      <c r="D1452" s="1">
        <f ca="1">IFERROR(__xludf.DUMMYFUNCTION("""COMPUTED_VALUE"""),212.77)</f>
        <v>212.77</v>
      </c>
      <c r="E1452" s="1">
        <f ca="1">IFERROR(__xludf.DUMMYFUNCTION("""COMPUTED_VALUE"""),214.88)</f>
        <v>214.88</v>
      </c>
      <c r="F1452" s="1">
        <f ca="1">IFERROR(__xludf.DUMMYFUNCTION("""COMPUTED_VALUE"""),18791960)</f>
        <v>18791960</v>
      </c>
      <c r="G1452" s="5">
        <f t="shared" ca="1" si="66"/>
        <v>1.265822784810126E-2</v>
      </c>
      <c r="H1452" s="14">
        <f t="shared" si="67"/>
        <v>2021</v>
      </c>
      <c r="I1452" s="5">
        <f t="shared" ca="1" si="68"/>
        <v>-2.9536627224279615E-2</v>
      </c>
      <c r="J1452" s="16"/>
    </row>
    <row r="1453" spans="1:10" x14ac:dyDescent="0.2">
      <c r="A1453" s="3">
        <v>44385</v>
      </c>
      <c r="B1453" s="1">
        <f ca="1">IFERROR(__xludf.DUMMYFUNCTION("""COMPUTED_VALUE"""),209.46)</f>
        <v>209.46</v>
      </c>
      <c r="C1453" s="1">
        <f ca="1">IFERROR(__xludf.DUMMYFUNCTION("""COMPUTED_VALUE"""),218.14)</f>
        <v>218.14</v>
      </c>
      <c r="D1453" s="1">
        <f ca="1">IFERROR(__xludf.DUMMYFUNCTION("""COMPUTED_VALUE"""),206.82)</f>
        <v>206.82</v>
      </c>
      <c r="E1453" s="1">
        <f ca="1">IFERROR(__xludf.DUMMYFUNCTION("""COMPUTED_VALUE"""),217.6)</f>
        <v>217.6</v>
      </c>
      <c r="F1453" s="1">
        <f ca="1">IFERROR(__xludf.DUMMYFUNCTION("""COMPUTED_VALUE"""),22773316)</f>
        <v>22773316</v>
      </c>
      <c r="G1453" s="5">
        <f t="shared" ca="1" si="66"/>
        <v>6.3419117647058616E-3</v>
      </c>
      <c r="H1453" s="14">
        <f t="shared" si="67"/>
        <v>2021</v>
      </c>
      <c r="I1453" s="5">
        <f t="shared" ca="1" si="68"/>
        <v>3.8861835195263948E-2</v>
      </c>
      <c r="J1453" s="16"/>
    </row>
    <row r="1454" spans="1:10" x14ac:dyDescent="0.2">
      <c r="A1454" s="3">
        <v>44386</v>
      </c>
      <c r="B1454" s="1">
        <f ca="1">IFERROR(__xludf.DUMMYFUNCTION("""COMPUTED_VALUE"""),217.73)</f>
        <v>217.73</v>
      </c>
      <c r="C1454" s="1">
        <f ca="1">IFERROR(__xludf.DUMMYFUNCTION("""COMPUTED_VALUE"""),219.64)</f>
        <v>219.64</v>
      </c>
      <c r="D1454" s="1">
        <f ca="1">IFERROR(__xludf.DUMMYFUNCTION("""COMPUTED_VALUE"""),214.9)</f>
        <v>214.9</v>
      </c>
      <c r="E1454" s="1">
        <f ca="1">IFERROR(__xludf.DUMMYFUNCTION("""COMPUTED_VALUE"""),218.98)</f>
        <v>218.98</v>
      </c>
      <c r="F1454" s="1">
        <f ca="1">IFERROR(__xludf.DUMMYFUNCTION("""COMPUTED_VALUE"""),18140548)</f>
        <v>18140548</v>
      </c>
      <c r="G1454" s="5">
        <f t="shared" ca="1" si="66"/>
        <v>4.3793953785733877E-2</v>
      </c>
      <c r="H1454" s="14">
        <f t="shared" si="67"/>
        <v>2021</v>
      </c>
      <c r="I1454" s="5">
        <f t="shared" ca="1" si="68"/>
        <v>5.7410554356312864E-3</v>
      </c>
      <c r="J1454" s="16"/>
    </row>
    <row r="1455" spans="1:10" x14ac:dyDescent="0.2">
      <c r="A1455" s="3">
        <v>44389</v>
      </c>
      <c r="B1455" s="1">
        <f ca="1">IFERROR(__xludf.DUMMYFUNCTION("""COMPUTED_VALUE"""),220.73)</f>
        <v>220.73</v>
      </c>
      <c r="C1455" s="1">
        <f ca="1">IFERROR(__xludf.DUMMYFUNCTION("""COMPUTED_VALUE"""),229.08)</f>
        <v>229.08</v>
      </c>
      <c r="D1455" s="1">
        <f ca="1">IFERROR(__xludf.DUMMYFUNCTION("""COMPUTED_VALUE"""),220.72)</f>
        <v>220.72</v>
      </c>
      <c r="E1455" s="1">
        <f ca="1">IFERROR(__xludf.DUMMYFUNCTION("""COMPUTED_VALUE"""),228.57)</f>
        <v>228.57</v>
      </c>
      <c r="F1455" s="1">
        <f ca="1">IFERROR(__xludf.DUMMYFUNCTION("""COMPUTED_VALUE"""),25927042)</f>
        <v>25927042</v>
      </c>
      <c r="G1455" s="5">
        <f t="shared" ca="1" si="66"/>
        <v>-2.502515640722754E-2</v>
      </c>
      <c r="H1455" s="14">
        <f t="shared" si="67"/>
        <v>2021</v>
      </c>
      <c r="I1455" s="5">
        <f t="shared" ca="1" si="68"/>
        <v>3.5518506772980581E-2</v>
      </c>
      <c r="J1455" s="16"/>
    </row>
    <row r="1456" spans="1:10" x14ac:dyDescent="0.2">
      <c r="A1456" s="3">
        <v>44390</v>
      </c>
      <c r="B1456" s="1">
        <f ca="1">IFERROR(__xludf.DUMMYFUNCTION("""COMPUTED_VALUE"""),228.77)</f>
        <v>228.77</v>
      </c>
      <c r="C1456" s="1">
        <f ca="1">IFERROR(__xludf.DUMMYFUNCTION("""COMPUTED_VALUE"""),231.09)</f>
        <v>231.09</v>
      </c>
      <c r="D1456" s="1">
        <f ca="1">IFERROR(__xludf.DUMMYFUNCTION("""COMPUTED_VALUE"""),222.1)</f>
        <v>222.1</v>
      </c>
      <c r="E1456" s="1">
        <f ca="1">IFERROR(__xludf.DUMMYFUNCTION("""COMPUTED_VALUE"""),222.85)</f>
        <v>222.85</v>
      </c>
      <c r="F1456" s="1">
        <f ca="1">IFERROR(__xludf.DUMMYFUNCTION("""COMPUTED_VALUE"""),20966092)</f>
        <v>20966092</v>
      </c>
      <c r="G1456" s="5">
        <f t="shared" ca="1" si="66"/>
        <v>-2.2705855956921706E-2</v>
      </c>
      <c r="H1456" s="14">
        <f t="shared" si="67"/>
        <v>2021</v>
      </c>
      <c r="I1456" s="5">
        <f t="shared" ca="1" si="68"/>
        <v>-2.5877518905450959E-2</v>
      </c>
      <c r="J1456" s="16"/>
    </row>
    <row r="1457" spans="1:10" x14ac:dyDescent="0.2">
      <c r="A1457" s="3">
        <v>44391</v>
      </c>
      <c r="B1457" s="1">
        <f ca="1">IFERROR(__xludf.DUMMYFUNCTION("""COMPUTED_VALUE"""),223.58)</f>
        <v>223.58</v>
      </c>
      <c r="C1457" s="1">
        <f ca="1">IFERROR(__xludf.DUMMYFUNCTION("""COMPUTED_VALUE"""),226.2)</f>
        <v>226.2</v>
      </c>
      <c r="D1457" s="1">
        <f ca="1">IFERROR(__xludf.DUMMYFUNCTION("""COMPUTED_VALUE"""),217.61)</f>
        <v>217.61</v>
      </c>
      <c r="E1457" s="1">
        <f ca="1">IFERROR(__xludf.DUMMYFUNCTION("""COMPUTED_VALUE"""),217.79)</f>
        <v>217.79</v>
      </c>
      <c r="F1457" s="1">
        <f ca="1">IFERROR(__xludf.DUMMYFUNCTION("""COMPUTED_VALUE"""),21641190)</f>
        <v>21641190</v>
      </c>
      <c r="G1457" s="5">
        <f t="shared" ca="1" si="66"/>
        <v>-4.2242527205105266E-3</v>
      </c>
      <c r="H1457" s="14">
        <f t="shared" si="67"/>
        <v>2021</v>
      </c>
      <c r="I1457" s="5">
        <f t="shared" ca="1" si="68"/>
        <v>-2.5896770730834691E-2</v>
      </c>
      <c r="J1457" s="16"/>
    </row>
    <row r="1458" spans="1:10" x14ac:dyDescent="0.2">
      <c r="A1458" s="3">
        <v>44392</v>
      </c>
      <c r="B1458" s="1">
        <f ca="1">IFERROR(__xludf.DUMMYFUNCTION("""COMPUTED_VALUE"""),219.46)</f>
        <v>219.46</v>
      </c>
      <c r="C1458" s="1">
        <f ca="1">IFERROR(__xludf.DUMMYFUNCTION("""COMPUTED_VALUE"""),222.05)</f>
        <v>222.05</v>
      </c>
      <c r="D1458" s="1">
        <f ca="1">IFERROR(__xludf.DUMMYFUNCTION("""COMPUTED_VALUE"""),212.63)</f>
        <v>212.63</v>
      </c>
      <c r="E1458" s="1">
        <f ca="1">IFERROR(__xludf.DUMMYFUNCTION("""COMPUTED_VALUE"""),216.87)</f>
        <v>216.87</v>
      </c>
      <c r="F1458" s="1">
        <f ca="1">IFERROR(__xludf.DUMMYFUNCTION("""COMPUTED_VALUE"""),20209571)</f>
        <v>20209571</v>
      </c>
      <c r="G1458" s="5">
        <f t="shared" ca="1" si="66"/>
        <v>-9.8215520818923565E-3</v>
      </c>
      <c r="H1458" s="14">
        <f t="shared" si="67"/>
        <v>2021</v>
      </c>
      <c r="I1458" s="5">
        <f t="shared" ca="1" si="68"/>
        <v>-1.1801695069716593E-2</v>
      </c>
      <c r="J1458" s="16"/>
    </row>
    <row r="1459" spans="1:10" x14ac:dyDescent="0.2">
      <c r="A1459" s="3">
        <v>44393</v>
      </c>
      <c r="B1459" s="1">
        <f ca="1">IFERROR(__xludf.DUMMYFUNCTION("""COMPUTED_VALUE"""),218.23)</f>
        <v>218.23</v>
      </c>
      <c r="C1459" s="1">
        <f ca="1">IFERROR(__xludf.DUMMYFUNCTION("""COMPUTED_VALUE"""),218.9)</f>
        <v>218.9</v>
      </c>
      <c r="D1459" s="1">
        <f ca="1">IFERROR(__xludf.DUMMYFUNCTION("""COMPUTED_VALUE"""),214.07)</f>
        <v>214.07</v>
      </c>
      <c r="E1459" s="1">
        <f ca="1">IFERROR(__xludf.DUMMYFUNCTION("""COMPUTED_VALUE"""),214.74)</f>
        <v>214.74</v>
      </c>
      <c r="F1459" s="1">
        <f ca="1">IFERROR(__xludf.DUMMYFUNCTION("""COMPUTED_VALUE"""),16370970)</f>
        <v>16370970</v>
      </c>
      <c r="G1459" s="5">
        <f t="shared" ca="1" si="66"/>
        <v>3.1200521560956853E-3</v>
      </c>
      <c r="H1459" s="14">
        <f t="shared" si="67"/>
        <v>2021</v>
      </c>
      <c r="I1459" s="5">
        <f t="shared" ca="1" si="68"/>
        <v>-1.5992301700041154E-2</v>
      </c>
      <c r="J1459" s="16"/>
    </row>
    <row r="1460" spans="1:10" x14ac:dyDescent="0.2">
      <c r="A1460" s="3">
        <v>44396</v>
      </c>
      <c r="B1460" s="1">
        <f ca="1">IFERROR(__xludf.DUMMYFUNCTION("""COMPUTED_VALUE"""),209.96)</f>
        <v>209.96</v>
      </c>
      <c r="C1460" s="1">
        <f ca="1">IFERROR(__xludf.DUMMYFUNCTION("""COMPUTED_VALUE"""),215.73)</f>
        <v>215.73</v>
      </c>
      <c r="D1460" s="1">
        <f ca="1">IFERROR(__xludf.DUMMYFUNCTION("""COMPUTED_VALUE"""),207.1)</f>
        <v>207.1</v>
      </c>
      <c r="E1460" s="1">
        <f ca="1">IFERROR(__xludf.DUMMYFUNCTION("""COMPUTED_VALUE"""),215.41)</f>
        <v>215.41</v>
      </c>
      <c r="F1460" s="1">
        <f ca="1">IFERROR(__xludf.DUMMYFUNCTION("""COMPUTED_VALUE"""),21297090)</f>
        <v>21297090</v>
      </c>
      <c r="G1460" s="5">
        <f t="shared" ca="1" si="66"/>
        <v>2.2097395664082406E-2</v>
      </c>
      <c r="H1460" s="14">
        <f t="shared" si="67"/>
        <v>2021</v>
      </c>
      <c r="I1460" s="5">
        <f t="shared" ca="1" si="68"/>
        <v>2.595732520480086E-2</v>
      </c>
      <c r="J1460" s="16"/>
    </row>
    <row r="1461" spans="1:10" x14ac:dyDescent="0.2">
      <c r="A1461" s="3">
        <v>44397</v>
      </c>
      <c r="B1461" s="1">
        <f ca="1">IFERROR(__xludf.DUMMYFUNCTION("""COMPUTED_VALUE"""),217.33)</f>
        <v>217.33</v>
      </c>
      <c r="C1461" s="1">
        <f ca="1">IFERROR(__xludf.DUMMYFUNCTION("""COMPUTED_VALUE"""),220.8)</f>
        <v>220.8</v>
      </c>
      <c r="D1461" s="1">
        <f ca="1">IFERROR(__xludf.DUMMYFUNCTION("""COMPUTED_VALUE"""),213.5)</f>
        <v>213.5</v>
      </c>
      <c r="E1461" s="1">
        <f ca="1">IFERROR(__xludf.DUMMYFUNCTION("""COMPUTED_VALUE"""),220.17)</f>
        <v>220.17</v>
      </c>
      <c r="F1461" s="1">
        <f ca="1">IFERROR(__xludf.DUMMYFUNCTION("""COMPUTED_VALUE"""),15487127)</f>
        <v>15487127</v>
      </c>
      <c r="G1461" s="5">
        <f t="shared" ca="1" si="66"/>
        <v>-7.902984057773451E-3</v>
      </c>
      <c r="H1461" s="14">
        <f t="shared" si="67"/>
        <v>2021</v>
      </c>
      <c r="I1461" s="5">
        <f t="shared" ca="1" si="68"/>
        <v>1.3067685087194473E-2</v>
      </c>
      <c r="J1461" s="16"/>
    </row>
    <row r="1462" spans="1:10" x14ac:dyDescent="0.2">
      <c r="A1462" s="3">
        <v>44398</v>
      </c>
      <c r="B1462" s="1">
        <f ca="1">IFERROR(__xludf.DUMMYFUNCTION("""COMPUTED_VALUE"""),219.87)</f>
        <v>219.87</v>
      </c>
      <c r="C1462" s="1">
        <f ca="1">IFERROR(__xludf.DUMMYFUNCTION("""COMPUTED_VALUE"""),221.62)</f>
        <v>221.62</v>
      </c>
      <c r="D1462" s="1">
        <f ca="1">IFERROR(__xludf.DUMMYFUNCTION("""COMPUTED_VALUE"""),216.76)</f>
        <v>216.76</v>
      </c>
      <c r="E1462" s="1">
        <f ca="1">IFERROR(__xludf.DUMMYFUNCTION("""COMPUTED_VALUE"""),218.43)</f>
        <v>218.43</v>
      </c>
      <c r="F1462" s="1">
        <f ca="1">IFERROR(__xludf.DUMMYFUNCTION("""COMPUTED_VALUE"""),13953338)</f>
        <v>13953338</v>
      </c>
      <c r="G1462" s="5">
        <f t="shared" ca="1" si="66"/>
        <v>-9.2020326878176958E-3</v>
      </c>
      <c r="H1462" s="14">
        <f t="shared" si="67"/>
        <v>2021</v>
      </c>
      <c r="I1462" s="5">
        <f t="shared" ca="1" si="68"/>
        <v>-6.5493246009005216E-3</v>
      </c>
      <c r="J1462" s="16"/>
    </row>
    <row r="1463" spans="1:10" x14ac:dyDescent="0.2">
      <c r="A1463" s="3">
        <v>44399</v>
      </c>
      <c r="B1463" s="1">
        <f ca="1">IFERROR(__xludf.DUMMYFUNCTION("""COMPUTED_VALUE"""),218.81)</f>
        <v>218.81</v>
      </c>
      <c r="C1463" s="1">
        <f ca="1">IFERROR(__xludf.DUMMYFUNCTION("""COMPUTED_VALUE"""),220.72)</f>
        <v>220.72</v>
      </c>
      <c r="D1463" s="1">
        <f ca="1">IFERROR(__xludf.DUMMYFUNCTION("""COMPUTED_VALUE"""),214.87)</f>
        <v>214.87</v>
      </c>
      <c r="E1463" s="1">
        <f ca="1">IFERROR(__xludf.DUMMYFUNCTION("""COMPUTED_VALUE"""),216.42)</f>
        <v>216.42</v>
      </c>
      <c r="F1463" s="1">
        <f ca="1">IFERROR(__xludf.DUMMYFUNCTION("""COMPUTED_VALUE"""),15105727)</f>
        <v>15105727</v>
      </c>
      <c r="G1463" s="5">
        <f t="shared" ca="1" si="66"/>
        <v>-9.0564642824137315E-3</v>
      </c>
      <c r="H1463" s="14">
        <f t="shared" si="67"/>
        <v>2021</v>
      </c>
      <c r="I1463" s="5">
        <f t="shared" ca="1" si="68"/>
        <v>-1.0922718340112493E-2</v>
      </c>
      <c r="J1463" s="16"/>
    </row>
    <row r="1464" spans="1:10" x14ac:dyDescent="0.2">
      <c r="A1464" s="3">
        <v>44400</v>
      </c>
      <c r="B1464" s="1">
        <f ca="1">IFERROR(__xludf.DUMMYFUNCTION("""COMPUTED_VALUE"""),215.45)</f>
        <v>215.45</v>
      </c>
      <c r="C1464" s="1">
        <f ca="1">IFERROR(__xludf.DUMMYFUNCTION("""COMPUTED_VALUE"""),216.27)</f>
        <v>216.27</v>
      </c>
      <c r="D1464" s="1">
        <f ca="1">IFERROR(__xludf.DUMMYFUNCTION("""COMPUTED_VALUE"""),212.43)</f>
        <v>212.43</v>
      </c>
      <c r="E1464" s="1">
        <f ca="1">IFERROR(__xludf.DUMMYFUNCTION("""COMPUTED_VALUE"""),214.46)</f>
        <v>214.46</v>
      </c>
      <c r="F1464" s="1">
        <f ca="1">IFERROR(__xludf.DUMMYFUNCTION("""COMPUTED_VALUE"""),14604944)</f>
        <v>14604944</v>
      </c>
      <c r="G1464" s="5">
        <f t="shared" ca="1" si="66"/>
        <v>2.2148652429357454E-2</v>
      </c>
      <c r="H1464" s="14">
        <f t="shared" si="67"/>
        <v>2021</v>
      </c>
      <c r="I1464" s="5">
        <f t="shared" ca="1" si="68"/>
        <v>-4.5950336504988658E-3</v>
      </c>
      <c r="J1464" s="16"/>
    </row>
    <row r="1465" spans="1:10" x14ac:dyDescent="0.2">
      <c r="A1465" s="3">
        <v>44403</v>
      </c>
      <c r="B1465" s="1">
        <f ca="1">IFERROR(__xludf.DUMMYFUNCTION("""COMPUTED_VALUE"""),216.99)</f>
        <v>216.99</v>
      </c>
      <c r="C1465" s="1">
        <f ca="1">IFERROR(__xludf.DUMMYFUNCTION("""COMPUTED_VALUE"""),222.73)</f>
        <v>222.73</v>
      </c>
      <c r="D1465" s="1">
        <f ca="1">IFERROR(__xludf.DUMMYFUNCTION("""COMPUTED_VALUE"""),215.7)</f>
        <v>215.7</v>
      </c>
      <c r="E1465" s="1">
        <f ca="1">IFERROR(__xludf.DUMMYFUNCTION("""COMPUTED_VALUE"""),219.21)</f>
        <v>219.21</v>
      </c>
      <c r="F1465" s="1">
        <f ca="1">IFERROR(__xludf.DUMMYFUNCTION("""COMPUTED_VALUE"""),25336556)</f>
        <v>25336556</v>
      </c>
      <c r="G1465" s="5">
        <f t="shared" ca="1" si="66"/>
        <v>-1.9524656721864882E-2</v>
      </c>
      <c r="H1465" s="14">
        <f t="shared" si="67"/>
        <v>2021</v>
      </c>
      <c r="I1465" s="5">
        <f t="shared" ca="1" si="68"/>
        <v>1.0230886215954646E-2</v>
      </c>
      <c r="J1465" s="16"/>
    </row>
    <row r="1466" spans="1:10" x14ac:dyDescent="0.2">
      <c r="A1466" s="3">
        <v>44404</v>
      </c>
      <c r="B1466" s="1">
        <f ca="1">IFERROR(__xludf.DUMMYFUNCTION("""COMPUTED_VALUE"""),221.13)</f>
        <v>221.13</v>
      </c>
      <c r="C1466" s="1">
        <f ca="1">IFERROR(__xludf.DUMMYFUNCTION("""COMPUTED_VALUE"""),222.17)</f>
        <v>222.17</v>
      </c>
      <c r="D1466" s="1">
        <f ca="1">IFERROR(__xludf.DUMMYFUNCTION("""COMPUTED_VALUE"""),209.08)</f>
        <v>209.08</v>
      </c>
      <c r="E1466" s="1">
        <f ca="1">IFERROR(__xludf.DUMMYFUNCTION("""COMPUTED_VALUE"""),214.93)</f>
        <v>214.93</v>
      </c>
      <c r="F1466" s="1">
        <f ca="1">IFERROR(__xludf.DUMMYFUNCTION("""COMPUTED_VALUE"""),32813290)</f>
        <v>32813290</v>
      </c>
      <c r="G1466" s="5">
        <f t="shared" ca="1" si="66"/>
        <v>3.3964546596565847E-3</v>
      </c>
      <c r="H1466" s="14">
        <f t="shared" si="67"/>
        <v>2021</v>
      </c>
      <c r="I1466" s="5">
        <f t="shared" ca="1" si="68"/>
        <v>-2.8037805815583544E-2</v>
      </c>
      <c r="J1466" s="16"/>
    </row>
    <row r="1467" spans="1:10" x14ac:dyDescent="0.2">
      <c r="A1467" s="3">
        <v>44405</v>
      </c>
      <c r="B1467" s="1">
        <f ca="1">IFERROR(__xludf.DUMMYFUNCTION("""COMPUTED_VALUE"""),215.67)</f>
        <v>215.67</v>
      </c>
      <c r="C1467" s="1">
        <f ca="1">IFERROR(__xludf.DUMMYFUNCTION("""COMPUTED_VALUE"""),218.32)</f>
        <v>218.32</v>
      </c>
      <c r="D1467" s="1">
        <f ca="1">IFERROR(__xludf.DUMMYFUNCTION("""COMPUTED_VALUE"""),213.13)</f>
        <v>213.13</v>
      </c>
      <c r="E1467" s="1">
        <f ca="1">IFERROR(__xludf.DUMMYFUNCTION("""COMPUTED_VALUE"""),215.66)</f>
        <v>215.66</v>
      </c>
      <c r="F1467" s="1">
        <f ca="1">IFERROR(__xludf.DUMMYFUNCTION("""COMPUTED_VALUE"""),16006596)</f>
        <v>16006596</v>
      </c>
      <c r="G1467" s="5">
        <f t="shared" ca="1" si="66"/>
        <v>4.6925716405453052E-2</v>
      </c>
      <c r="H1467" s="14">
        <f t="shared" si="67"/>
        <v>2021</v>
      </c>
      <c r="I1467" s="5">
        <f t="shared" ca="1" si="68"/>
        <v>-4.6367134974687743E-5</v>
      </c>
      <c r="J1467" s="16"/>
    </row>
    <row r="1468" spans="1:10" x14ac:dyDescent="0.2">
      <c r="A1468" s="3">
        <v>44406</v>
      </c>
      <c r="B1468" s="1">
        <f ca="1">IFERROR(__xludf.DUMMYFUNCTION("""COMPUTED_VALUE"""),216.6)</f>
        <v>216.6</v>
      </c>
      <c r="C1468" s="1">
        <f ca="1">IFERROR(__xludf.DUMMYFUNCTION("""COMPUTED_VALUE"""),227.9)</f>
        <v>227.9</v>
      </c>
      <c r="D1468" s="1">
        <f ca="1">IFERROR(__xludf.DUMMYFUNCTION("""COMPUTED_VALUE"""),216.27)</f>
        <v>216.27</v>
      </c>
      <c r="E1468" s="1">
        <f ca="1">IFERROR(__xludf.DUMMYFUNCTION("""COMPUTED_VALUE"""),225.78)</f>
        <v>225.78</v>
      </c>
      <c r="F1468" s="1">
        <f ca="1">IFERROR(__xludf.DUMMYFUNCTION("""COMPUTED_VALUE"""),30394637)</f>
        <v>30394637</v>
      </c>
      <c r="G1468" s="5">
        <f t="shared" ca="1" si="66"/>
        <v>1.4571706971388041E-2</v>
      </c>
      <c r="H1468" s="14">
        <f t="shared" si="67"/>
        <v>2021</v>
      </c>
      <c r="I1468" s="5">
        <f t="shared" ca="1" si="68"/>
        <v>4.2382271468144078E-2</v>
      </c>
      <c r="J1468" s="16"/>
    </row>
    <row r="1469" spans="1:10" x14ac:dyDescent="0.2">
      <c r="A1469" s="3">
        <v>44407</v>
      </c>
      <c r="B1469" s="1">
        <f ca="1">IFERROR(__xludf.DUMMYFUNCTION("""COMPUTED_VALUE"""),223.92)</f>
        <v>223.92</v>
      </c>
      <c r="C1469" s="1">
        <f ca="1">IFERROR(__xludf.DUMMYFUNCTION("""COMPUTED_VALUE"""),232.51)</f>
        <v>232.51</v>
      </c>
      <c r="D1469" s="1">
        <f ca="1">IFERROR(__xludf.DUMMYFUNCTION("""COMPUTED_VALUE"""),223)</f>
        <v>223</v>
      </c>
      <c r="E1469" s="1">
        <f ca="1">IFERROR(__xludf.DUMMYFUNCTION("""COMPUTED_VALUE"""),229.07)</f>
        <v>229.07</v>
      </c>
      <c r="F1469" s="1">
        <f ca="1">IFERROR(__xludf.DUMMYFUNCTION("""COMPUTED_VALUE"""),29656411)</f>
        <v>29656411</v>
      </c>
      <c r="G1469" s="5">
        <f t="shared" ca="1" si="66"/>
        <v>3.2697428733574931E-2</v>
      </c>
      <c r="H1469" s="14">
        <f t="shared" si="67"/>
        <v>2021</v>
      </c>
      <c r="I1469" s="5">
        <f t="shared" ca="1" si="68"/>
        <v>2.299928545909256E-2</v>
      </c>
      <c r="J1469" s="16"/>
    </row>
    <row r="1470" spans="1:10" x14ac:dyDescent="0.2">
      <c r="A1470" s="3">
        <v>44410</v>
      </c>
      <c r="B1470" s="1">
        <f ca="1">IFERROR(__xludf.DUMMYFUNCTION("""COMPUTED_VALUE"""),233.33)</f>
        <v>233.33</v>
      </c>
      <c r="C1470" s="1">
        <f ca="1">IFERROR(__xludf.DUMMYFUNCTION("""COMPUTED_VALUE"""),242.31)</f>
        <v>242.31</v>
      </c>
      <c r="D1470" s="1">
        <f ca="1">IFERROR(__xludf.DUMMYFUNCTION("""COMPUTED_VALUE"""),232.8)</f>
        <v>232.8</v>
      </c>
      <c r="E1470" s="1">
        <f ca="1">IFERROR(__xludf.DUMMYFUNCTION("""COMPUTED_VALUE"""),236.56)</f>
        <v>236.56</v>
      </c>
      <c r="F1470" s="1">
        <f ca="1">IFERROR(__xludf.DUMMYFUNCTION("""COMPUTED_VALUE"""),33615765)</f>
        <v>33615765</v>
      </c>
      <c r="G1470" s="5">
        <f t="shared" ca="1" si="66"/>
        <v>8.4545147108599226E-5</v>
      </c>
      <c r="H1470" s="14">
        <f t="shared" si="67"/>
        <v>2021</v>
      </c>
      <c r="I1470" s="5">
        <f t="shared" ca="1" si="68"/>
        <v>1.3843054900784251E-2</v>
      </c>
      <c r="J1470" s="16"/>
    </row>
    <row r="1471" spans="1:10" x14ac:dyDescent="0.2">
      <c r="A1471" s="3">
        <v>44411</v>
      </c>
      <c r="B1471" s="1">
        <f ca="1">IFERROR(__xludf.DUMMYFUNCTION("""COMPUTED_VALUE"""),239.67)</f>
        <v>239.67</v>
      </c>
      <c r="C1471" s="1">
        <f ca="1">IFERROR(__xludf.DUMMYFUNCTION("""COMPUTED_VALUE"""),240.88)</f>
        <v>240.88</v>
      </c>
      <c r="D1471" s="1">
        <f ca="1">IFERROR(__xludf.DUMMYFUNCTION("""COMPUTED_VALUE"""),233.67)</f>
        <v>233.67</v>
      </c>
      <c r="E1471" s="1">
        <f ca="1">IFERROR(__xludf.DUMMYFUNCTION("""COMPUTED_VALUE"""),236.58)</f>
        <v>236.58</v>
      </c>
      <c r="F1471" s="1">
        <f ca="1">IFERROR(__xludf.DUMMYFUNCTION("""COMPUTED_VALUE"""),21620253)</f>
        <v>21620253</v>
      </c>
      <c r="G1471" s="5">
        <f t="shared" ca="1" si="66"/>
        <v>1.6484909967029603E-3</v>
      </c>
      <c r="H1471" s="14">
        <f t="shared" si="67"/>
        <v>2021</v>
      </c>
      <c r="I1471" s="5">
        <f t="shared" ca="1" si="68"/>
        <v>-1.2892727500312827E-2</v>
      </c>
      <c r="J1471" s="16"/>
    </row>
    <row r="1472" spans="1:10" x14ac:dyDescent="0.2">
      <c r="A1472" s="3">
        <v>44412</v>
      </c>
      <c r="B1472" s="1">
        <f ca="1">IFERROR(__xludf.DUMMYFUNCTION("""COMPUTED_VALUE"""),237)</f>
        <v>237</v>
      </c>
      <c r="C1472" s="1">
        <f ca="1">IFERROR(__xludf.DUMMYFUNCTION("""COMPUTED_VALUE"""),241.63)</f>
        <v>241.63</v>
      </c>
      <c r="D1472" s="1">
        <f ca="1">IFERROR(__xludf.DUMMYFUNCTION("""COMPUTED_VALUE"""),236.31)</f>
        <v>236.31</v>
      </c>
      <c r="E1472" s="1">
        <f ca="1">IFERROR(__xludf.DUMMYFUNCTION("""COMPUTED_VALUE"""),236.97)</f>
        <v>236.97</v>
      </c>
      <c r="F1472" s="1">
        <f ca="1">IFERROR(__xludf.DUMMYFUNCTION("""COMPUTED_VALUE"""),17002647)</f>
        <v>17002647</v>
      </c>
      <c r="G1472" s="5">
        <f t="shared" ca="1" si="66"/>
        <v>5.2327298814196276E-3</v>
      </c>
      <c r="H1472" s="14">
        <f t="shared" si="67"/>
        <v>2021</v>
      </c>
      <c r="I1472" s="5">
        <f t="shared" ca="1" si="68"/>
        <v>-1.2658227848101746E-4</v>
      </c>
      <c r="J1472" s="16"/>
    </row>
    <row r="1473" spans="1:10" x14ac:dyDescent="0.2">
      <c r="A1473" s="3">
        <v>44413</v>
      </c>
      <c r="B1473" s="1">
        <f ca="1">IFERROR(__xludf.DUMMYFUNCTION("""COMPUTED_VALUE"""),238.67)</f>
        <v>238.67</v>
      </c>
      <c r="C1473" s="1">
        <f ca="1">IFERROR(__xludf.DUMMYFUNCTION("""COMPUTED_VALUE"""),240.32)</f>
        <v>240.32</v>
      </c>
      <c r="D1473" s="1">
        <f ca="1">IFERROR(__xludf.DUMMYFUNCTION("""COMPUTED_VALUE"""),237.14)</f>
        <v>237.14</v>
      </c>
      <c r="E1473" s="1">
        <f ca="1">IFERROR(__xludf.DUMMYFUNCTION("""COMPUTED_VALUE"""),238.21)</f>
        <v>238.21</v>
      </c>
      <c r="F1473" s="1">
        <f ca="1">IFERROR(__xludf.DUMMYFUNCTION("""COMPUTED_VALUE"""),12919637)</f>
        <v>12919637</v>
      </c>
      <c r="G1473" s="5">
        <f t="shared" ca="1" si="66"/>
        <v>-2.1745518660005906E-2</v>
      </c>
      <c r="H1473" s="14">
        <f t="shared" si="67"/>
        <v>2021</v>
      </c>
      <c r="I1473" s="5">
        <f t="shared" ca="1" si="68"/>
        <v>-1.9273473834163471E-3</v>
      </c>
      <c r="J1473" s="16"/>
    </row>
    <row r="1474" spans="1:10" x14ac:dyDescent="0.2">
      <c r="A1474" s="3">
        <v>44414</v>
      </c>
      <c r="B1474" s="1">
        <f ca="1">IFERROR(__xludf.DUMMYFUNCTION("""COMPUTED_VALUE"""),237.3)</f>
        <v>237.3</v>
      </c>
      <c r="C1474" s="1">
        <f ca="1">IFERROR(__xludf.DUMMYFUNCTION("""COMPUTED_VALUE"""),238.78)</f>
        <v>238.78</v>
      </c>
      <c r="D1474" s="1">
        <f ca="1">IFERROR(__xludf.DUMMYFUNCTION("""COMPUTED_VALUE"""),232.54)</f>
        <v>232.54</v>
      </c>
      <c r="E1474" s="1">
        <f ca="1">IFERROR(__xludf.DUMMYFUNCTION("""COMPUTED_VALUE"""),233.03)</f>
        <v>233.03</v>
      </c>
      <c r="F1474" s="1">
        <f ca="1">IFERROR(__xludf.DUMMYFUNCTION("""COMPUTED_VALUE"""),15623049)</f>
        <v>15623049</v>
      </c>
      <c r="G1474" s="5">
        <f t="shared" ca="1" si="66"/>
        <v>2.098442260653129E-2</v>
      </c>
      <c r="H1474" s="14">
        <f t="shared" si="67"/>
        <v>2021</v>
      </c>
      <c r="I1474" s="5">
        <f t="shared" ca="1" si="68"/>
        <v>-1.7994100294985292E-2</v>
      </c>
      <c r="J1474" s="16"/>
    </row>
    <row r="1475" spans="1:10" x14ac:dyDescent="0.2">
      <c r="A1475" s="3">
        <v>44417</v>
      </c>
      <c r="B1475" s="1">
        <f ca="1">IFERROR(__xludf.DUMMYFUNCTION("""COMPUTED_VALUE"""),236.72)</f>
        <v>236.72</v>
      </c>
      <c r="C1475" s="1">
        <f ca="1">IFERROR(__xludf.DUMMYFUNCTION("""COMPUTED_VALUE"""),239.68)</f>
        <v>239.68</v>
      </c>
      <c r="D1475" s="1">
        <f ca="1">IFERROR(__xludf.DUMMYFUNCTION("""COMPUTED_VALUE"""),235.04)</f>
        <v>235.04</v>
      </c>
      <c r="E1475" s="1">
        <f ca="1">IFERROR(__xludf.DUMMYFUNCTION("""COMPUTED_VALUE"""),237.92)</f>
        <v>237.92</v>
      </c>
      <c r="F1475" s="1">
        <f ca="1">IFERROR(__xludf.DUMMYFUNCTION("""COMPUTED_VALUE"""),14715349)</f>
        <v>14715349</v>
      </c>
      <c r="G1475" s="5">
        <f t="shared" ref="G1475:G1538" ca="1" si="69">(E1476-E1475)/E1475</f>
        <v>-5.2958977807666067E-3</v>
      </c>
      <c r="H1475" s="14">
        <f t="shared" ref="H1475:H1538" si="70">YEAR(A1475)</f>
        <v>2021</v>
      </c>
      <c r="I1475" s="5">
        <f t="shared" ref="I1475:I1538" ca="1" si="71">((E1475 - B1475) / B1475)</f>
        <v>5.0692801622169168E-3</v>
      </c>
      <c r="J1475" s="16"/>
    </row>
    <row r="1476" spans="1:10" x14ac:dyDescent="0.2">
      <c r="A1476" s="3">
        <v>44418</v>
      </c>
      <c r="B1476" s="1">
        <f ca="1">IFERROR(__xludf.DUMMYFUNCTION("""COMPUTED_VALUE"""),238)</f>
        <v>238</v>
      </c>
      <c r="C1476" s="1">
        <f ca="1">IFERROR(__xludf.DUMMYFUNCTION("""COMPUTED_VALUE"""),238.86)</f>
        <v>238.86</v>
      </c>
      <c r="D1476" s="1">
        <f ca="1">IFERROR(__xludf.DUMMYFUNCTION("""COMPUTED_VALUE"""),233.96)</f>
        <v>233.96</v>
      </c>
      <c r="E1476" s="1">
        <f ca="1">IFERROR(__xludf.DUMMYFUNCTION("""COMPUTED_VALUE"""),236.66)</f>
        <v>236.66</v>
      </c>
      <c r="F1476" s="1">
        <f ca="1">IFERROR(__xludf.DUMMYFUNCTION("""COMPUTED_VALUE"""),13432305)</f>
        <v>13432305</v>
      </c>
      <c r="G1476" s="5">
        <f t="shared" ca="1" si="69"/>
        <v>-3.042339220823117E-3</v>
      </c>
      <c r="H1476" s="14">
        <f t="shared" si="70"/>
        <v>2021</v>
      </c>
      <c r="I1476" s="5">
        <f t="shared" ca="1" si="71"/>
        <v>-5.6302521008403505E-3</v>
      </c>
      <c r="J1476" s="16"/>
    </row>
    <row r="1477" spans="1:10" x14ac:dyDescent="0.2">
      <c r="A1477" s="3">
        <v>44419</v>
      </c>
      <c r="B1477" s="1">
        <f ca="1">IFERROR(__xludf.DUMMYFUNCTION("""COMPUTED_VALUE"""),237.57)</f>
        <v>237.57</v>
      </c>
      <c r="C1477" s="1">
        <f ca="1">IFERROR(__xludf.DUMMYFUNCTION("""COMPUTED_VALUE"""),238.39)</f>
        <v>238.39</v>
      </c>
      <c r="D1477" s="1">
        <f ca="1">IFERROR(__xludf.DUMMYFUNCTION("""COMPUTED_VALUE"""),234.74)</f>
        <v>234.74</v>
      </c>
      <c r="E1477" s="1">
        <f ca="1">IFERROR(__xludf.DUMMYFUNCTION("""COMPUTED_VALUE"""),235.94)</f>
        <v>235.94</v>
      </c>
      <c r="F1477" s="1">
        <f ca="1">IFERROR(__xludf.DUMMYFUNCTION("""COMPUTED_VALUE"""),9800558)</f>
        <v>9800558</v>
      </c>
      <c r="G1477" s="5">
        <f t="shared" ca="1" si="69"/>
        <v>2.0386538950580665E-2</v>
      </c>
      <c r="H1477" s="14">
        <f t="shared" si="70"/>
        <v>2021</v>
      </c>
      <c r="I1477" s="5">
        <f t="shared" ca="1" si="71"/>
        <v>-6.8611356652775839E-3</v>
      </c>
      <c r="J1477" s="16"/>
    </row>
    <row r="1478" spans="1:10" x14ac:dyDescent="0.2">
      <c r="A1478" s="3">
        <v>44420</v>
      </c>
      <c r="B1478" s="1">
        <f ca="1">IFERROR(__xludf.DUMMYFUNCTION("""COMPUTED_VALUE"""),235.45)</f>
        <v>235.45</v>
      </c>
      <c r="C1478" s="1">
        <f ca="1">IFERROR(__xludf.DUMMYFUNCTION("""COMPUTED_VALUE"""),240.93)</f>
        <v>240.93</v>
      </c>
      <c r="D1478" s="1">
        <f ca="1">IFERROR(__xludf.DUMMYFUNCTION("""COMPUTED_VALUE"""),233.13)</f>
        <v>233.13</v>
      </c>
      <c r="E1478" s="1">
        <f ca="1">IFERROR(__xludf.DUMMYFUNCTION("""COMPUTED_VALUE"""),240.75)</f>
        <v>240.75</v>
      </c>
      <c r="F1478" s="1">
        <f ca="1">IFERROR(__xludf.DUMMYFUNCTION("""COMPUTED_VALUE"""),17681686)</f>
        <v>17681686</v>
      </c>
      <c r="G1478" s="5">
        <f t="shared" ca="1" si="69"/>
        <v>-7.0197300103842066E-3</v>
      </c>
      <c r="H1478" s="14">
        <f t="shared" si="70"/>
        <v>2021</v>
      </c>
      <c r="I1478" s="5">
        <f t="shared" ca="1" si="71"/>
        <v>2.2510087067317951E-2</v>
      </c>
      <c r="J1478" s="16"/>
    </row>
    <row r="1479" spans="1:10" x14ac:dyDescent="0.2">
      <c r="A1479" s="3">
        <v>44421</v>
      </c>
      <c r="B1479" s="1">
        <f ca="1">IFERROR(__xludf.DUMMYFUNCTION("""COMPUTED_VALUE"""),241.24)</f>
        <v>241.24</v>
      </c>
      <c r="C1479" s="1">
        <f ca="1">IFERROR(__xludf.DUMMYFUNCTION("""COMPUTED_VALUE"""),243.3)</f>
        <v>243.3</v>
      </c>
      <c r="D1479" s="1">
        <f ca="1">IFERROR(__xludf.DUMMYFUNCTION("""COMPUTED_VALUE"""),238.11)</f>
        <v>238.11</v>
      </c>
      <c r="E1479" s="1">
        <f ca="1">IFERROR(__xludf.DUMMYFUNCTION("""COMPUTED_VALUE"""),239.06)</f>
        <v>239.06</v>
      </c>
      <c r="F1479" s="1">
        <f ca="1">IFERROR(__xludf.DUMMYFUNCTION("""COMPUTED_VALUE"""),16731467)</f>
        <v>16731467</v>
      </c>
      <c r="G1479" s="5">
        <f t="shared" ca="1" si="69"/>
        <v>-4.3252739897933587E-2</v>
      </c>
      <c r="H1479" s="14">
        <f t="shared" si="70"/>
        <v>2021</v>
      </c>
      <c r="I1479" s="5">
        <f t="shared" ca="1" si="71"/>
        <v>-9.0366440059691869E-3</v>
      </c>
      <c r="J1479" s="16"/>
    </row>
    <row r="1480" spans="1:10" x14ac:dyDescent="0.2">
      <c r="A1480" s="3">
        <v>44424</v>
      </c>
      <c r="B1480" s="1">
        <f ca="1">IFERROR(__xludf.DUMMYFUNCTION("""COMPUTED_VALUE"""),235.02)</f>
        <v>235.02</v>
      </c>
      <c r="C1480" s="1">
        <f ca="1">IFERROR(__xludf.DUMMYFUNCTION("""COMPUTED_VALUE"""),236.5)</f>
        <v>236.5</v>
      </c>
      <c r="D1480" s="1">
        <f ca="1">IFERROR(__xludf.DUMMYFUNCTION("""COMPUTED_VALUE"""),225.47)</f>
        <v>225.47</v>
      </c>
      <c r="E1480" s="1">
        <f ca="1">IFERROR(__xludf.DUMMYFUNCTION("""COMPUTED_VALUE"""),228.72)</f>
        <v>228.72</v>
      </c>
      <c r="F1480" s="1">
        <f ca="1">IFERROR(__xludf.DUMMYFUNCTION("""COMPUTED_VALUE"""),23103303)</f>
        <v>23103303</v>
      </c>
      <c r="G1480" s="5">
        <f t="shared" ca="1" si="69"/>
        <v>-2.9818118223154919E-2</v>
      </c>
      <c r="H1480" s="14">
        <f t="shared" si="70"/>
        <v>2021</v>
      </c>
      <c r="I1480" s="5">
        <f t="shared" ca="1" si="71"/>
        <v>-2.6806229257084549E-2</v>
      </c>
      <c r="J1480" s="16"/>
    </row>
    <row r="1481" spans="1:10" x14ac:dyDescent="0.2">
      <c r="A1481" s="3">
        <v>44425</v>
      </c>
      <c r="B1481" s="1">
        <f ca="1">IFERROR(__xludf.DUMMYFUNCTION("""COMPUTED_VALUE"""),224.22)</f>
        <v>224.22</v>
      </c>
      <c r="C1481" s="1">
        <f ca="1">IFERROR(__xludf.DUMMYFUNCTION("""COMPUTED_VALUE"""),224.86)</f>
        <v>224.86</v>
      </c>
      <c r="D1481" s="1">
        <f ca="1">IFERROR(__xludf.DUMMYFUNCTION("""COMPUTED_VALUE"""),216.28)</f>
        <v>216.28</v>
      </c>
      <c r="E1481" s="1">
        <f ca="1">IFERROR(__xludf.DUMMYFUNCTION("""COMPUTED_VALUE"""),221.9)</f>
        <v>221.9</v>
      </c>
      <c r="F1481" s="1">
        <f ca="1">IFERROR(__xludf.DUMMYFUNCTION("""COMPUTED_VALUE"""),23721279)</f>
        <v>23721279</v>
      </c>
      <c r="G1481" s="5">
        <f t="shared" ca="1" si="69"/>
        <v>3.4970707525912532E-2</v>
      </c>
      <c r="H1481" s="14">
        <f t="shared" si="70"/>
        <v>2021</v>
      </c>
      <c r="I1481" s="5">
        <f t="shared" ca="1" si="71"/>
        <v>-1.0346980644010316E-2</v>
      </c>
      <c r="J1481" s="16"/>
    </row>
    <row r="1482" spans="1:10" x14ac:dyDescent="0.2">
      <c r="A1482" s="3">
        <v>44426</v>
      </c>
      <c r="B1482" s="1">
        <f ca="1">IFERROR(__xludf.DUMMYFUNCTION("""COMPUTED_VALUE"""),223.25)</f>
        <v>223.25</v>
      </c>
      <c r="C1482" s="1">
        <f ca="1">IFERROR(__xludf.DUMMYFUNCTION("""COMPUTED_VALUE"""),231.92)</f>
        <v>231.92</v>
      </c>
      <c r="D1482" s="1">
        <f ca="1">IFERROR(__xludf.DUMMYFUNCTION("""COMPUTED_VALUE"""),223.12)</f>
        <v>223.12</v>
      </c>
      <c r="E1482" s="1">
        <f ca="1">IFERROR(__xludf.DUMMYFUNCTION("""COMPUTED_VALUE"""),229.66)</f>
        <v>229.66</v>
      </c>
      <c r="F1482" s="1">
        <f ca="1">IFERROR(__xludf.DUMMYFUNCTION("""COMPUTED_VALUE"""),20349375)</f>
        <v>20349375</v>
      </c>
      <c r="G1482" s="5">
        <f t="shared" ca="1" si="69"/>
        <v>-2.2511538796481701E-2</v>
      </c>
      <c r="H1482" s="14">
        <f t="shared" si="70"/>
        <v>2021</v>
      </c>
      <c r="I1482" s="5">
        <f t="shared" ca="1" si="71"/>
        <v>2.8712206047032458E-2</v>
      </c>
      <c r="J1482" s="16"/>
    </row>
    <row r="1483" spans="1:10" x14ac:dyDescent="0.2">
      <c r="A1483" s="3">
        <v>44427</v>
      </c>
      <c r="B1483" s="1">
        <f ca="1">IFERROR(__xludf.DUMMYFUNCTION("""COMPUTED_VALUE"""),226.07)</f>
        <v>226.07</v>
      </c>
      <c r="C1483" s="1">
        <f ca="1">IFERROR(__xludf.DUMMYFUNCTION("""COMPUTED_VALUE"""),228.85)</f>
        <v>228.85</v>
      </c>
      <c r="D1483" s="1">
        <f ca="1">IFERROR(__xludf.DUMMYFUNCTION("""COMPUTED_VALUE"""),222.53)</f>
        <v>222.53</v>
      </c>
      <c r="E1483" s="1">
        <f ca="1">IFERROR(__xludf.DUMMYFUNCTION("""COMPUTED_VALUE"""),224.49)</f>
        <v>224.49</v>
      </c>
      <c r="F1483" s="1">
        <f ca="1">IFERROR(__xludf.DUMMYFUNCTION("""COMPUTED_VALUE"""),14313486)</f>
        <v>14313486</v>
      </c>
      <c r="G1483" s="5">
        <f t="shared" ca="1" si="69"/>
        <v>1.0067263575214891E-2</v>
      </c>
      <c r="H1483" s="14">
        <f t="shared" si="70"/>
        <v>2021</v>
      </c>
      <c r="I1483" s="5">
        <f t="shared" ca="1" si="71"/>
        <v>-6.9889857123898976E-3</v>
      </c>
      <c r="J1483" s="16"/>
    </row>
    <row r="1484" spans="1:10" x14ac:dyDescent="0.2">
      <c r="A1484" s="3">
        <v>44428</v>
      </c>
      <c r="B1484" s="1">
        <f ca="1">IFERROR(__xludf.DUMMYFUNCTION("""COMPUTED_VALUE"""),227.62)</f>
        <v>227.62</v>
      </c>
      <c r="C1484" s="1">
        <f ca="1">IFERROR(__xludf.DUMMYFUNCTION("""COMPUTED_VALUE"""),230.71)</f>
        <v>230.71</v>
      </c>
      <c r="D1484" s="1">
        <f ca="1">IFERROR(__xludf.DUMMYFUNCTION("""COMPUTED_VALUE"""),224.57)</f>
        <v>224.57</v>
      </c>
      <c r="E1484" s="1">
        <f ca="1">IFERROR(__xludf.DUMMYFUNCTION("""COMPUTED_VALUE"""),226.75)</f>
        <v>226.75</v>
      </c>
      <c r="F1484" s="1">
        <f ca="1">IFERROR(__xludf.DUMMYFUNCTION("""COMPUTED_VALUE"""),14841865)</f>
        <v>14841865</v>
      </c>
      <c r="G1484" s="5">
        <f t="shared" ca="1" si="69"/>
        <v>3.8280044101433326E-2</v>
      </c>
      <c r="H1484" s="14">
        <f t="shared" si="70"/>
        <v>2021</v>
      </c>
      <c r="I1484" s="5">
        <f t="shared" ca="1" si="71"/>
        <v>-3.8221597399174263E-3</v>
      </c>
      <c r="J1484" s="16"/>
    </row>
    <row r="1485" spans="1:10" x14ac:dyDescent="0.2">
      <c r="A1485" s="3">
        <v>44431</v>
      </c>
      <c r="B1485" s="1">
        <f ca="1">IFERROR(__xludf.DUMMYFUNCTION("""COMPUTED_VALUE"""),228.48)</f>
        <v>228.48</v>
      </c>
      <c r="C1485" s="1">
        <f ca="1">IFERROR(__xludf.DUMMYFUNCTION("""COMPUTED_VALUE"""),237.38)</f>
        <v>237.38</v>
      </c>
      <c r="D1485" s="1">
        <f ca="1">IFERROR(__xludf.DUMMYFUNCTION("""COMPUTED_VALUE"""),226.92)</f>
        <v>226.92</v>
      </c>
      <c r="E1485" s="1">
        <f ca="1">IFERROR(__xludf.DUMMYFUNCTION("""COMPUTED_VALUE"""),235.43)</f>
        <v>235.43</v>
      </c>
      <c r="F1485" s="1">
        <f ca="1">IFERROR(__xludf.DUMMYFUNCTION("""COMPUTED_VALUE"""),20264859)</f>
        <v>20264859</v>
      </c>
      <c r="G1485" s="5">
        <f t="shared" ca="1" si="69"/>
        <v>3.1007093403559007E-3</v>
      </c>
      <c r="H1485" s="14">
        <f t="shared" si="70"/>
        <v>2021</v>
      </c>
      <c r="I1485" s="5">
        <f t="shared" ca="1" si="71"/>
        <v>3.0418417366946855E-2</v>
      </c>
      <c r="J1485" s="16"/>
    </row>
    <row r="1486" spans="1:10" x14ac:dyDescent="0.2">
      <c r="A1486" s="3">
        <v>44432</v>
      </c>
      <c r="B1486" s="1">
        <f ca="1">IFERROR(__xludf.DUMMYFUNCTION("""COMPUTED_VALUE"""),236.89)</f>
        <v>236.89</v>
      </c>
      <c r="C1486" s="1">
        <f ca="1">IFERROR(__xludf.DUMMYFUNCTION("""COMPUTED_VALUE"""),238.41)</f>
        <v>238.41</v>
      </c>
      <c r="D1486" s="1">
        <f ca="1">IFERROR(__xludf.DUMMYFUNCTION("""COMPUTED_VALUE"""),234.21)</f>
        <v>234.21</v>
      </c>
      <c r="E1486" s="1">
        <f ca="1">IFERROR(__xludf.DUMMYFUNCTION("""COMPUTED_VALUE"""),236.16)</f>
        <v>236.16</v>
      </c>
      <c r="F1486" s="1">
        <f ca="1">IFERROR(__xludf.DUMMYFUNCTION("""COMPUTED_VALUE"""),13083071)</f>
        <v>13083071</v>
      </c>
      <c r="G1486" s="5">
        <f t="shared" ca="1" si="69"/>
        <v>3.8533197831978174E-3</v>
      </c>
      <c r="H1486" s="14">
        <f t="shared" si="70"/>
        <v>2021</v>
      </c>
      <c r="I1486" s="5">
        <f t="shared" ca="1" si="71"/>
        <v>-3.0815990544133978E-3</v>
      </c>
      <c r="J1486" s="16"/>
    </row>
    <row r="1487" spans="1:10" x14ac:dyDescent="0.2">
      <c r="A1487" s="3">
        <v>44433</v>
      </c>
      <c r="B1487" s="1">
        <f ca="1">IFERROR(__xludf.DUMMYFUNCTION("""COMPUTED_VALUE"""),235.68)</f>
        <v>235.68</v>
      </c>
      <c r="C1487" s="1">
        <f ca="1">IFERROR(__xludf.DUMMYFUNCTION("""COMPUTED_VALUE"""),238.99)</f>
        <v>238.99</v>
      </c>
      <c r="D1487" s="1">
        <f ca="1">IFERROR(__xludf.DUMMYFUNCTION("""COMPUTED_VALUE"""),234.67)</f>
        <v>234.67</v>
      </c>
      <c r="E1487" s="1">
        <f ca="1">IFERROR(__xludf.DUMMYFUNCTION("""COMPUTED_VALUE"""),237.07)</f>
        <v>237.07</v>
      </c>
      <c r="F1487" s="1">
        <f ca="1">IFERROR(__xludf.DUMMYFUNCTION("""COMPUTED_VALUE"""),12645562)</f>
        <v>12645562</v>
      </c>
      <c r="G1487" s="5">
        <f t="shared" ca="1" si="69"/>
        <v>-1.4130847429029376E-2</v>
      </c>
      <c r="H1487" s="14">
        <f t="shared" si="70"/>
        <v>2021</v>
      </c>
      <c r="I1487" s="5">
        <f t="shared" ca="1" si="71"/>
        <v>5.8978275627969545E-3</v>
      </c>
      <c r="J1487" s="16"/>
    </row>
    <row r="1488" spans="1:10" x14ac:dyDescent="0.2">
      <c r="A1488" s="3">
        <v>44434</v>
      </c>
      <c r="B1488" s="1">
        <f ca="1">IFERROR(__xludf.DUMMYFUNCTION("""COMPUTED_VALUE"""),236.1)</f>
        <v>236.1</v>
      </c>
      <c r="C1488" s="1">
        <f ca="1">IFERROR(__xludf.DUMMYFUNCTION("""COMPUTED_VALUE"""),238.47)</f>
        <v>238.47</v>
      </c>
      <c r="D1488" s="1">
        <f ca="1">IFERROR(__xludf.DUMMYFUNCTION("""COMPUTED_VALUE"""),232.54)</f>
        <v>232.54</v>
      </c>
      <c r="E1488" s="1">
        <f ca="1">IFERROR(__xludf.DUMMYFUNCTION("""COMPUTED_VALUE"""),233.72)</f>
        <v>233.72</v>
      </c>
      <c r="F1488" s="1">
        <f ca="1">IFERROR(__xludf.DUMMYFUNCTION("""COMPUTED_VALUE"""),13214292)</f>
        <v>13214292</v>
      </c>
      <c r="G1488" s="5">
        <f t="shared" ca="1" si="69"/>
        <v>1.5360260140338882E-2</v>
      </c>
      <c r="H1488" s="14">
        <f t="shared" si="70"/>
        <v>2021</v>
      </c>
      <c r="I1488" s="5">
        <f t="shared" ca="1" si="71"/>
        <v>-1.0080474375264699E-2</v>
      </c>
      <c r="J1488" s="16"/>
    </row>
    <row r="1489" spans="1:10" x14ac:dyDescent="0.2">
      <c r="A1489" s="3">
        <v>44435</v>
      </c>
      <c r="B1489" s="1">
        <f ca="1">IFERROR(__xludf.DUMMYFUNCTION("""COMPUTED_VALUE"""),235)</f>
        <v>235</v>
      </c>
      <c r="C1489" s="1">
        <f ca="1">IFERROR(__xludf.DUMMYFUNCTION("""COMPUTED_VALUE"""),238.33)</f>
        <v>238.33</v>
      </c>
      <c r="D1489" s="1">
        <f ca="1">IFERROR(__xludf.DUMMYFUNCTION("""COMPUTED_VALUE"""),234.03)</f>
        <v>234.03</v>
      </c>
      <c r="E1489" s="1">
        <f ca="1">IFERROR(__xludf.DUMMYFUNCTION("""COMPUTED_VALUE"""),237.31)</f>
        <v>237.31</v>
      </c>
      <c r="F1489" s="1">
        <f ca="1">IFERROR(__xludf.DUMMYFUNCTION("""COMPUTED_VALUE"""),13833763)</f>
        <v>13833763</v>
      </c>
      <c r="G1489" s="5">
        <f t="shared" ca="1" si="69"/>
        <v>2.6673970755551741E-2</v>
      </c>
      <c r="H1489" s="14">
        <f t="shared" si="70"/>
        <v>2021</v>
      </c>
      <c r="I1489" s="5">
        <f t="shared" ca="1" si="71"/>
        <v>9.8297872340425627E-3</v>
      </c>
      <c r="J1489" s="16"/>
    </row>
    <row r="1490" spans="1:10" x14ac:dyDescent="0.2">
      <c r="A1490" s="3">
        <v>44438</v>
      </c>
      <c r="B1490" s="1">
        <f ca="1">IFERROR(__xludf.DUMMYFUNCTION("""COMPUTED_VALUE"""),238.24)</f>
        <v>238.24</v>
      </c>
      <c r="C1490" s="1">
        <f ca="1">IFERROR(__xludf.DUMMYFUNCTION("""COMPUTED_VALUE"""),243.67)</f>
        <v>243.67</v>
      </c>
      <c r="D1490" s="1">
        <f ca="1">IFERROR(__xludf.DUMMYFUNCTION("""COMPUTED_VALUE"""),237.58)</f>
        <v>237.58</v>
      </c>
      <c r="E1490" s="1">
        <f ca="1">IFERROR(__xludf.DUMMYFUNCTION("""COMPUTED_VALUE"""),243.64)</f>
        <v>243.64</v>
      </c>
      <c r="F1490" s="1">
        <f ca="1">IFERROR(__xludf.DUMMYFUNCTION("""COMPUTED_VALUE"""),18604220)</f>
        <v>18604220</v>
      </c>
      <c r="G1490" s="5">
        <f t="shared" ca="1" si="69"/>
        <v>6.5670661631916875E-3</v>
      </c>
      <c r="H1490" s="14">
        <f t="shared" si="70"/>
        <v>2021</v>
      </c>
      <c r="I1490" s="5">
        <f t="shared" ca="1" si="71"/>
        <v>2.2666218938885062E-2</v>
      </c>
      <c r="J1490" s="16"/>
    </row>
    <row r="1491" spans="1:10" x14ac:dyDescent="0.2">
      <c r="A1491" s="3">
        <v>44439</v>
      </c>
      <c r="B1491" s="1">
        <f ca="1">IFERROR(__xludf.DUMMYFUNCTION("""COMPUTED_VALUE"""),244.33)</f>
        <v>244.33</v>
      </c>
      <c r="C1491" s="1">
        <f ca="1">IFERROR(__xludf.DUMMYFUNCTION("""COMPUTED_VALUE"""),246.8)</f>
        <v>246.8</v>
      </c>
      <c r="D1491" s="1">
        <f ca="1">IFERROR(__xludf.DUMMYFUNCTION("""COMPUTED_VALUE"""),242.15)</f>
        <v>242.15</v>
      </c>
      <c r="E1491" s="1">
        <f ca="1">IFERROR(__xludf.DUMMYFUNCTION("""COMPUTED_VALUE"""),245.24)</f>
        <v>245.24</v>
      </c>
      <c r="F1491" s="1">
        <f ca="1">IFERROR(__xludf.DUMMYFUNCTION("""COMPUTED_VALUE"""),20855436)</f>
        <v>20855436</v>
      </c>
      <c r="G1491" s="5">
        <f t="shared" ca="1" si="69"/>
        <v>-2.2019246452455571E-3</v>
      </c>
      <c r="H1491" s="14">
        <f t="shared" si="70"/>
        <v>2021</v>
      </c>
      <c r="I1491" s="5">
        <f t="shared" ca="1" si="71"/>
        <v>3.7244710023328961E-3</v>
      </c>
      <c r="J1491" s="16"/>
    </row>
    <row r="1492" spans="1:10" x14ac:dyDescent="0.2">
      <c r="A1492" s="3">
        <v>44440</v>
      </c>
      <c r="B1492" s="1">
        <f ca="1">IFERROR(__xludf.DUMMYFUNCTION("""COMPUTED_VALUE"""),244.69)</f>
        <v>244.69</v>
      </c>
      <c r="C1492" s="1">
        <f ca="1">IFERROR(__xludf.DUMMYFUNCTION("""COMPUTED_VALUE"""),247.33)</f>
        <v>247.33</v>
      </c>
      <c r="D1492" s="1">
        <f ca="1">IFERROR(__xludf.DUMMYFUNCTION("""COMPUTED_VALUE"""),243.76)</f>
        <v>243.76</v>
      </c>
      <c r="E1492" s="1">
        <f ca="1">IFERROR(__xludf.DUMMYFUNCTION("""COMPUTED_VALUE"""),244.7)</f>
        <v>244.7</v>
      </c>
      <c r="F1492" s="1">
        <f ca="1">IFERROR(__xludf.DUMMYFUNCTION("""COMPUTED_VALUE"""),13204335)</f>
        <v>13204335</v>
      </c>
      <c r="G1492" s="5">
        <f t="shared" ca="1" si="69"/>
        <v>-2.3293829178585748E-3</v>
      </c>
      <c r="H1492" s="14">
        <f t="shared" si="70"/>
        <v>2021</v>
      </c>
      <c r="I1492" s="5">
        <f t="shared" ca="1" si="71"/>
        <v>4.0868037108140524E-5</v>
      </c>
      <c r="J1492" s="16"/>
    </row>
    <row r="1493" spans="1:10" x14ac:dyDescent="0.2">
      <c r="A1493" s="3">
        <v>44441</v>
      </c>
      <c r="B1493" s="1">
        <f ca="1">IFERROR(__xludf.DUMMYFUNCTION("""COMPUTED_VALUE"""),244.83)</f>
        <v>244.83</v>
      </c>
      <c r="C1493" s="1">
        <f ca="1">IFERROR(__xludf.DUMMYFUNCTION("""COMPUTED_VALUE"""),246.99)</f>
        <v>246.99</v>
      </c>
      <c r="D1493" s="1">
        <f ca="1">IFERROR(__xludf.DUMMYFUNCTION("""COMPUTED_VALUE"""),243.51)</f>
        <v>243.51</v>
      </c>
      <c r="E1493" s="1">
        <f ca="1">IFERROR(__xludf.DUMMYFUNCTION("""COMPUTED_VALUE"""),244.13)</f>
        <v>244.13</v>
      </c>
      <c r="F1493" s="1">
        <f ca="1">IFERROR(__xludf.DUMMYFUNCTION("""COMPUTED_VALUE"""),12796739)</f>
        <v>12796739</v>
      </c>
      <c r="G1493" s="5">
        <f t="shared" ca="1" si="69"/>
        <v>1.5975095236145283E-3</v>
      </c>
      <c r="H1493" s="14">
        <f t="shared" si="70"/>
        <v>2021</v>
      </c>
      <c r="I1493" s="5">
        <f t="shared" ca="1" si="71"/>
        <v>-2.8591267410040316E-3</v>
      </c>
      <c r="J1493" s="16"/>
    </row>
    <row r="1494" spans="1:10" x14ac:dyDescent="0.2">
      <c r="A1494" s="3">
        <v>44442</v>
      </c>
      <c r="B1494" s="1">
        <f ca="1">IFERROR(__xludf.DUMMYFUNCTION("""COMPUTED_VALUE"""),244.08)</f>
        <v>244.08</v>
      </c>
      <c r="C1494" s="1">
        <f ca="1">IFERROR(__xludf.DUMMYFUNCTION("""COMPUTED_VALUE"""),244.67)</f>
        <v>244.67</v>
      </c>
      <c r="D1494" s="1">
        <f ca="1">IFERROR(__xludf.DUMMYFUNCTION("""COMPUTED_VALUE"""),241.4)</f>
        <v>241.4</v>
      </c>
      <c r="E1494" s="1">
        <f ca="1">IFERROR(__xludf.DUMMYFUNCTION("""COMPUTED_VALUE"""),244.52)</f>
        <v>244.52</v>
      </c>
      <c r="F1494" s="1">
        <f ca="1">IFERROR(__xludf.DUMMYFUNCTION("""COMPUTED_VALUE"""),15271045)</f>
        <v>15271045</v>
      </c>
      <c r="G1494" s="5">
        <f t="shared" ca="1" si="69"/>
        <v>2.6378210371339719E-2</v>
      </c>
      <c r="H1494" s="14">
        <f t="shared" si="70"/>
        <v>2021</v>
      </c>
      <c r="I1494" s="5">
        <f t="shared" ca="1" si="71"/>
        <v>1.8026876433955986E-3</v>
      </c>
      <c r="J1494" s="16"/>
    </row>
    <row r="1495" spans="1:10" x14ac:dyDescent="0.2">
      <c r="A1495" s="3">
        <v>44446</v>
      </c>
      <c r="B1495" s="1">
        <f ca="1">IFERROR(__xludf.DUMMYFUNCTION("""COMPUTED_VALUE"""),246.67)</f>
        <v>246.67</v>
      </c>
      <c r="C1495" s="1">
        <f ca="1">IFERROR(__xludf.DUMMYFUNCTION("""COMPUTED_VALUE"""),253.4)</f>
        <v>253.4</v>
      </c>
      <c r="D1495" s="1">
        <f ca="1">IFERROR(__xludf.DUMMYFUNCTION("""COMPUTED_VALUE"""),246.42)</f>
        <v>246.42</v>
      </c>
      <c r="E1495" s="1">
        <f ca="1">IFERROR(__xludf.DUMMYFUNCTION("""COMPUTED_VALUE"""),250.97)</f>
        <v>250.97</v>
      </c>
      <c r="F1495" s="1">
        <f ca="1">IFERROR(__xludf.DUMMYFUNCTION("""COMPUTED_VALUE"""),20039825)</f>
        <v>20039825</v>
      </c>
      <c r="G1495" s="5">
        <f t="shared" ca="1" si="69"/>
        <v>1.2750527951547721E-3</v>
      </c>
      <c r="H1495" s="14">
        <f t="shared" si="70"/>
        <v>2021</v>
      </c>
      <c r="I1495" s="5">
        <f t="shared" ca="1" si="71"/>
        <v>1.743219686220461E-2</v>
      </c>
      <c r="J1495" s="16"/>
    </row>
    <row r="1496" spans="1:10" x14ac:dyDescent="0.2">
      <c r="A1496" s="3">
        <v>44447</v>
      </c>
      <c r="B1496" s="1">
        <f ca="1">IFERROR(__xludf.DUMMYFUNCTION("""COMPUTED_VALUE"""),253.86)</f>
        <v>253.86</v>
      </c>
      <c r="C1496" s="1">
        <f ca="1">IFERROR(__xludf.DUMMYFUNCTION("""COMPUTED_VALUE"""),254.82)</f>
        <v>254.82</v>
      </c>
      <c r="D1496" s="1">
        <f ca="1">IFERROR(__xludf.DUMMYFUNCTION("""COMPUTED_VALUE"""),246.92)</f>
        <v>246.92</v>
      </c>
      <c r="E1496" s="1">
        <f ca="1">IFERROR(__xludf.DUMMYFUNCTION("""COMPUTED_VALUE"""),251.29)</f>
        <v>251.29</v>
      </c>
      <c r="F1496" s="1">
        <f ca="1">IFERROR(__xludf.DUMMYFUNCTION("""COMPUTED_VALUE"""),18793036)</f>
        <v>18793036</v>
      </c>
      <c r="G1496" s="5">
        <f t="shared" ca="1" si="69"/>
        <v>1.3132237653707371E-3</v>
      </c>
      <c r="H1496" s="14">
        <f t="shared" si="70"/>
        <v>2021</v>
      </c>
      <c r="I1496" s="5">
        <f t="shared" ca="1" si="71"/>
        <v>-1.0123690222957621E-2</v>
      </c>
      <c r="J1496" s="16"/>
    </row>
    <row r="1497" spans="1:10" x14ac:dyDescent="0.2">
      <c r="A1497" s="3">
        <v>44448</v>
      </c>
      <c r="B1497" s="1">
        <f ca="1">IFERROR(__xludf.DUMMYFUNCTION("""COMPUTED_VALUE"""),251.14)</f>
        <v>251.14</v>
      </c>
      <c r="C1497" s="1">
        <f ca="1">IFERROR(__xludf.DUMMYFUNCTION("""COMPUTED_VALUE"""),254.03)</f>
        <v>254.03</v>
      </c>
      <c r="D1497" s="1">
        <f ca="1">IFERROR(__xludf.DUMMYFUNCTION("""COMPUTED_VALUE"""),250.54)</f>
        <v>250.54</v>
      </c>
      <c r="E1497" s="1">
        <f ca="1">IFERROR(__xludf.DUMMYFUNCTION("""COMPUTED_VALUE"""),251.62)</f>
        <v>251.62</v>
      </c>
      <c r="F1497" s="1">
        <f ca="1">IFERROR(__xludf.DUMMYFUNCTION("""COMPUTED_VALUE"""),14077731)</f>
        <v>14077731</v>
      </c>
      <c r="G1497" s="5">
        <f t="shared" ca="1" si="69"/>
        <v>-2.46403306573405E-2</v>
      </c>
      <c r="H1497" s="14">
        <f t="shared" si="70"/>
        <v>2021</v>
      </c>
      <c r="I1497" s="5">
        <f t="shared" ca="1" si="71"/>
        <v>1.9112845424863352E-3</v>
      </c>
      <c r="J1497" s="16"/>
    </row>
    <row r="1498" spans="1:10" x14ac:dyDescent="0.2">
      <c r="A1498" s="3">
        <v>44449</v>
      </c>
      <c r="B1498" s="1">
        <f ca="1">IFERROR(__xludf.DUMMYFUNCTION("""COMPUTED_VALUE"""),253.2)</f>
        <v>253.2</v>
      </c>
      <c r="C1498" s="1">
        <f ca="1">IFERROR(__xludf.DUMMYFUNCTION("""COMPUTED_VALUE"""),254.2)</f>
        <v>254.2</v>
      </c>
      <c r="D1498" s="1">
        <f ca="1">IFERROR(__xludf.DUMMYFUNCTION("""COMPUTED_VALUE"""),244.84)</f>
        <v>244.84</v>
      </c>
      <c r="E1498" s="1">
        <f ca="1">IFERROR(__xludf.DUMMYFUNCTION("""COMPUTED_VALUE"""),245.42)</f>
        <v>245.42</v>
      </c>
      <c r="F1498" s="1">
        <f ca="1">IFERROR(__xludf.DUMMYFUNCTION("""COMPUTED_VALUE"""),15184170)</f>
        <v>15184170</v>
      </c>
      <c r="G1498" s="5">
        <f t="shared" ca="1" si="69"/>
        <v>9.1679569717219474E-3</v>
      </c>
      <c r="H1498" s="14">
        <f t="shared" si="70"/>
        <v>2021</v>
      </c>
      <c r="I1498" s="5">
        <f t="shared" ca="1" si="71"/>
        <v>-3.0726698262243293E-2</v>
      </c>
      <c r="J1498" s="16"/>
    </row>
    <row r="1499" spans="1:10" x14ac:dyDescent="0.2">
      <c r="A1499" s="3">
        <v>44452</v>
      </c>
      <c r="B1499" s="1">
        <f ca="1">IFERROR(__xludf.DUMMYFUNCTION("""COMPUTED_VALUE"""),246.74)</f>
        <v>246.74</v>
      </c>
      <c r="C1499" s="1">
        <f ca="1">IFERROR(__xludf.DUMMYFUNCTION("""COMPUTED_VALUE"""),248.26)</f>
        <v>248.26</v>
      </c>
      <c r="D1499" s="1">
        <f ca="1">IFERROR(__xludf.DUMMYFUNCTION("""COMPUTED_VALUE"""),236.28)</f>
        <v>236.28</v>
      </c>
      <c r="E1499" s="1">
        <f ca="1">IFERROR(__xludf.DUMMYFUNCTION("""COMPUTED_VALUE"""),247.67)</f>
        <v>247.67</v>
      </c>
      <c r="F1499" s="1">
        <f ca="1">IFERROR(__xludf.DUMMYFUNCTION("""COMPUTED_VALUE"""),22952482)</f>
        <v>22952482</v>
      </c>
      <c r="G1499" s="5">
        <f t="shared" ca="1" si="69"/>
        <v>1.9784390519643441E-3</v>
      </c>
      <c r="H1499" s="14">
        <f t="shared" si="70"/>
        <v>2021</v>
      </c>
      <c r="I1499" s="5">
        <f t="shared" ca="1" si="71"/>
        <v>3.7691497122476223E-3</v>
      </c>
      <c r="J1499" s="16"/>
    </row>
    <row r="1500" spans="1:10" x14ac:dyDescent="0.2">
      <c r="A1500" s="3">
        <v>44453</v>
      </c>
      <c r="B1500" s="1">
        <f ca="1">IFERROR(__xludf.DUMMYFUNCTION("""COMPUTED_VALUE"""),247.52)</f>
        <v>247.52</v>
      </c>
      <c r="C1500" s="1">
        <f ca="1">IFERROR(__xludf.DUMMYFUNCTION("""COMPUTED_VALUE"""),251.49)</f>
        <v>251.49</v>
      </c>
      <c r="D1500" s="1">
        <f ca="1">IFERROR(__xludf.DUMMYFUNCTION("""COMPUTED_VALUE"""),245.47)</f>
        <v>245.47</v>
      </c>
      <c r="E1500" s="1">
        <f ca="1">IFERROR(__xludf.DUMMYFUNCTION("""COMPUTED_VALUE"""),248.16)</f>
        <v>248.16</v>
      </c>
      <c r="F1500" s="1">
        <f ca="1">IFERROR(__xludf.DUMMYFUNCTION("""COMPUTED_VALUE"""),18524881)</f>
        <v>18524881</v>
      </c>
      <c r="G1500" s="5">
        <f t="shared" ca="1" si="69"/>
        <v>1.5232108317214705E-2</v>
      </c>
      <c r="H1500" s="14">
        <f t="shared" si="70"/>
        <v>2021</v>
      </c>
      <c r="I1500" s="5">
        <f t="shared" ca="1" si="71"/>
        <v>2.5856496444731187E-3</v>
      </c>
      <c r="J1500" s="16"/>
    </row>
    <row r="1501" spans="1:10" x14ac:dyDescent="0.2">
      <c r="A1501" s="3">
        <v>44454</v>
      </c>
      <c r="B1501" s="1">
        <f ca="1">IFERROR(__xludf.DUMMYFUNCTION("""COMPUTED_VALUE"""),248.33)</f>
        <v>248.33</v>
      </c>
      <c r="C1501" s="1">
        <f ca="1">IFERROR(__xludf.DUMMYFUNCTION("""COMPUTED_VALUE"""),252.29)</f>
        <v>252.29</v>
      </c>
      <c r="D1501" s="1">
        <f ca="1">IFERROR(__xludf.DUMMYFUNCTION("""COMPUTED_VALUE"""),246.12)</f>
        <v>246.12</v>
      </c>
      <c r="E1501" s="1">
        <f ca="1">IFERROR(__xludf.DUMMYFUNCTION("""COMPUTED_VALUE"""),251.94)</f>
        <v>251.94</v>
      </c>
      <c r="F1501" s="1">
        <f ca="1">IFERROR(__xludf.DUMMYFUNCTION("""COMPUTED_VALUE"""),15357685)</f>
        <v>15357685</v>
      </c>
      <c r="G1501" s="5">
        <f t="shared" ca="1" si="69"/>
        <v>1.5479876160991298E-3</v>
      </c>
      <c r="H1501" s="14">
        <f t="shared" si="70"/>
        <v>2021</v>
      </c>
      <c r="I1501" s="5">
        <f t="shared" ca="1" si="71"/>
        <v>1.4537107880642632E-2</v>
      </c>
      <c r="J1501" s="16"/>
    </row>
    <row r="1502" spans="1:10" x14ac:dyDescent="0.2">
      <c r="A1502" s="3">
        <v>44455</v>
      </c>
      <c r="B1502" s="1">
        <f ca="1">IFERROR(__xludf.DUMMYFUNCTION("""COMPUTED_VALUE"""),250.94)</f>
        <v>250.94</v>
      </c>
      <c r="C1502" s="1">
        <f ca="1">IFERROR(__xludf.DUMMYFUNCTION("""COMPUTED_VALUE"""),252.97)</f>
        <v>252.97</v>
      </c>
      <c r="D1502" s="1">
        <f ca="1">IFERROR(__xludf.DUMMYFUNCTION("""COMPUTED_VALUE"""),249.2)</f>
        <v>249.2</v>
      </c>
      <c r="E1502" s="1">
        <f ca="1">IFERROR(__xludf.DUMMYFUNCTION("""COMPUTED_VALUE"""),252.33)</f>
        <v>252.33</v>
      </c>
      <c r="F1502" s="1">
        <f ca="1">IFERROR(__xludf.DUMMYFUNCTION("""COMPUTED_VALUE"""),13923393)</f>
        <v>13923393</v>
      </c>
      <c r="G1502" s="5">
        <f t="shared" ca="1" si="69"/>
        <v>3.289343320255158E-3</v>
      </c>
      <c r="H1502" s="14">
        <f t="shared" si="70"/>
        <v>2021</v>
      </c>
      <c r="I1502" s="5">
        <f t="shared" ca="1" si="71"/>
        <v>5.5391727106081723E-3</v>
      </c>
      <c r="J1502" s="16"/>
    </row>
    <row r="1503" spans="1:10" x14ac:dyDescent="0.2">
      <c r="A1503" s="3">
        <v>44456</v>
      </c>
      <c r="B1503" s="1">
        <f ca="1">IFERROR(__xludf.DUMMYFUNCTION("""COMPUTED_VALUE"""),252.38)</f>
        <v>252.38</v>
      </c>
      <c r="C1503" s="1">
        <f ca="1">IFERROR(__xludf.DUMMYFUNCTION("""COMPUTED_VALUE"""),253.68)</f>
        <v>253.68</v>
      </c>
      <c r="D1503" s="1">
        <f ca="1">IFERROR(__xludf.DUMMYFUNCTION("""COMPUTED_VALUE"""),250)</f>
        <v>250</v>
      </c>
      <c r="E1503" s="1">
        <f ca="1">IFERROR(__xludf.DUMMYFUNCTION("""COMPUTED_VALUE"""),253.16)</f>
        <v>253.16</v>
      </c>
      <c r="F1503" s="1">
        <f ca="1">IFERROR(__xludf.DUMMYFUNCTION("""COMPUTED_VALUE"""),28204176)</f>
        <v>28204176</v>
      </c>
      <c r="G1503" s="5">
        <f t="shared" ca="1" si="69"/>
        <v>-3.8592194659503913E-2</v>
      </c>
      <c r="H1503" s="14">
        <f t="shared" si="70"/>
        <v>2021</v>
      </c>
      <c r="I1503" s="5">
        <f t="shared" ca="1" si="71"/>
        <v>3.0905777002932133E-3</v>
      </c>
      <c r="J1503" s="16"/>
    </row>
    <row r="1504" spans="1:10" x14ac:dyDescent="0.2">
      <c r="A1504" s="3">
        <v>44459</v>
      </c>
      <c r="B1504" s="1">
        <f ca="1">IFERROR(__xludf.DUMMYFUNCTION("""COMPUTED_VALUE"""),244.85)</f>
        <v>244.85</v>
      </c>
      <c r="C1504" s="1">
        <f ca="1">IFERROR(__xludf.DUMMYFUNCTION("""COMPUTED_VALUE"""),247.33)</f>
        <v>247.33</v>
      </c>
      <c r="D1504" s="1">
        <f ca="1">IFERROR(__xludf.DUMMYFUNCTION("""COMPUTED_VALUE"""),239.54)</f>
        <v>239.54</v>
      </c>
      <c r="E1504" s="1">
        <f ca="1">IFERROR(__xludf.DUMMYFUNCTION("""COMPUTED_VALUE"""),243.39)</f>
        <v>243.39</v>
      </c>
      <c r="F1504" s="1">
        <f ca="1">IFERROR(__xludf.DUMMYFUNCTION("""COMPUTED_VALUE"""),24757652)</f>
        <v>24757652</v>
      </c>
      <c r="G1504" s="5">
        <f t="shared" ca="1" si="69"/>
        <v>1.2613500965528665E-2</v>
      </c>
      <c r="H1504" s="14">
        <f t="shared" si="70"/>
        <v>2021</v>
      </c>
      <c r="I1504" s="5">
        <f t="shared" ca="1" si="71"/>
        <v>-5.9628343884010945E-3</v>
      </c>
      <c r="J1504" s="16"/>
    </row>
    <row r="1505" spans="1:10" x14ac:dyDescent="0.2">
      <c r="A1505" s="3">
        <v>44460</v>
      </c>
      <c r="B1505" s="1">
        <f ca="1">IFERROR(__xludf.DUMMYFUNCTION("""COMPUTED_VALUE"""),244.93)</f>
        <v>244.93</v>
      </c>
      <c r="C1505" s="1">
        <f ca="1">IFERROR(__xludf.DUMMYFUNCTION("""COMPUTED_VALUE"""),248.25)</f>
        <v>248.25</v>
      </c>
      <c r="D1505" s="1">
        <f ca="1">IFERROR(__xludf.DUMMYFUNCTION("""COMPUTED_VALUE"""),243.48)</f>
        <v>243.48</v>
      </c>
      <c r="E1505" s="1">
        <f ca="1">IFERROR(__xludf.DUMMYFUNCTION("""COMPUTED_VALUE"""),246.46)</f>
        <v>246.46</v>
      </c>
      <c r="F1505" s="1">
        <f ca="1">IFERROR(__xludf.DUMMYFUNCTION("""COMPUTED_VALUE"""),16330723)</f>
        <v>16330723</v>
      </c>
      <c r="G1505" s="5">
        <f t="shared" ca="1" si="69"/>
        <v>1.7000730341637578E-2</v>
      </c>
      <c r="H1505" s="14">
        <f t="shared" si="70"/>
        <v>2021</v>
      </c>
      <c r="I1505" s="5">
        <f t="shared" ca="1" si="71"/>
        <v>6.2466827256767287E-3</v>
      </c>
      <c r="J1505" s="16"/>
    </row>
    <row r="1506" spans="1:10" x14ac:dyDescent="0.2">
      <c r="A1506" s="3">
        <v>44461</v>
      </c>
      <c r="B1506" s="1">
        <f ca="1">IFERROR(__xludf.DUMMYFUNCTION("""COMPUTED_VALUE"""),247.84)</f>
        <v>247.84</v>
      </c>
      <c r="C1506" s="1">
        <f ca="1">IFERROR(__xludf.DUMMYFUNCTION("""COMPUTED_VALUE"""),251.22)</f>
        <v>251.22</v>
      </c>
      <c r="D1506" s="1">
        <f ca="1">IFERROR(__xludf.DUMMYFUNCTION("""COMPUTED_VALUE"""),246.37)</f>
        <v>246.37</v>
      </c>
      <c r="E1506" s="1">
        <f ca="1">IFERROR(__xludf.DUMMYFUNCTION("""COMPUTED_VALUE"""),250.65)</f>
        <v>250.65</v>
      </c>
      <c r="F1506" s="1">
        <f ca="1">IFERROR(__xludf.DUMMYFUNCTION("""COMPUTED_VALUE"""),15126272)</f>
        <v>15126272</v>
      </c>
      <c r="G1506" s="5">
        <f t="shared" ca="1" si="69"/>
        <v>2.2341911031318663E-3</v>
      </c>
      <c r="H1506" s="14">
        <f t="shared" si="70"/>
        <v>2021</v>
      </c>
      <c r="I1506" s="5">
        <f t="shared" ca="1" si="71"/>
        <v>1.1337959974176897E-2</v>
      </c>
      <c r="J1506" s="16"/>
    </row>
    <row r="1507" spans="1:10" x14ac:dyDescent="0.2">
      <c r="A1507" s="3">
        <v>44462</v>
      </c>
      <c r="B1507" s="1">
        <f ca="1">IFERROR(__xludf.DUMMYFUNCTION("""COMPUTED_VALUE"""),251.67)</f>
        <v>251.67</v>
      </c>
      <c r="C1507" s="1">
        <f ca="1">IFERROR(__xludf.DUMMYFUNCTION("""COMPUTED_VALUE"""),252.73)</f>
        <v>252.73</v>
      </c>
      <c r="D1507" s="1">
        <f ca="1">IFERROR(__xludf.DUMMYFUNCTION("""COMPUTED_VALUE"""),249.31)</f>
        <v>249.31</v>
      </c>
      <c r="E1507" s="1">
        <f ca="1">IFERROR(__xludf.DUMMYFUNCTION("""COMPUTED_VALUE"""),251.21)</f>
        <v>251.21</v>
      </c>
      <c r="F1507" s="1">
        <f ca="1">IFERROR(__xludf.DUMMYFUNCTION("""COMPUTED_VALUE"""),11947527)</f>
        <v>11947527</v>
      </c>
      <c r="G1507" s="5">
        <f t="shared" ca="1" si="69"/>
        <v>2.7546674097368686E-2</v>
      </c>
      <c r="H1507" s="14">
        <f t="shared" si="70"/>
        <v>2021</v>
      </c>
      <c r="I1507" s="5">
        <f t="shared" ca="1" si="71"/>
        <v>-1.8277903603924964E-3</v>
      </c>
      <c r="J1507" s="16"/>
    </row>
    <row r="1508" spans="1:10" x14ac:dyDescent="0.2">
      <c r="A1508" s="3">
        <v>44463</v>
      </c>
      <c r="B1508" s="1">
        <f ca="1">IFERROR(__xludf.DUMMYFUNCTION("""COMPUTED_VALUE"""),248.63)</f>
        <v>248.63</v>
      </c>
      <c r="C1508" s="1">
        <f ca="1">IFERROR(__xludf.DUMMYFUNCTION("""COMPUTED_VALUE"""),258.27)</f>
        <v>258.27</v>
      </c>
      <c r="D1508" s="1">
        <f ca="1">IFERROR(__xludf.DUMMYFUNCTION("""COMPUTED_VALUE"""),248.19)</f>
        <v>248.19</v>
      </c>
      <c r="E1508" s="1">
        <f ca="1">IFERROR(__xludf.DUMMYFUNCTION("""COMPUTED_VALUE"""),258.13)</f>
        <v>258.13</v>
      </c>
      <c r="F1508" s="1">
        <f ca="1">IFERROR(__xludf.DUMMYFUNCTION("""COMPUTED_VALUE"""),21373022)</f>
        <v>21373022</v>
      </c>
      <c r="G1508" s="5">
        <f t="shared" ca="1" si="69"/>
        <v>2.1926936039979951E-2</v>
      </c>
      <c r="H1508" s="14">
        <f t="shared" si="70"/>
        <v>2021</v>
      </c>
      <c r="I1508" s="5">
        <f t="shared" ca="1" si="71"/>
        <v>3.8209387443188678E-2</v>
      </c>
      <c r="J1508" s="16"/>
    </row>
    <row r="1509" spans="1:10" x14ac:dyDescent="0.2">
      <c r="A1509" s="3">
        <v>44466</v>
      </c>
      <c r="B1509" s="1">
        <f ca="1">IFERROR(__xludf.DUMMYFUNCTION("""COMPUTED_VALUE"""),257.71)</f>
        <v>257.70999999999998</v>
      </c>
      <c r="C1509" s="1">
        <f ca="1">IFERROR(__xludf.DUMMYFUNCTION("""COMPUTED_VALUE"""),266.33)</f>
        <v>266.33</v>
      </c>
      <c r="D1509" s="1">
        <f ca="1">IFERROR(__xludf.DUMMYFUNCTION("""COMPUTED_VALUE"""),256.44)</f>
        <v>256.44</v>
      </c>
      <c r="E1509" s="1">
        <f ca="1">IFERROR(__xludf.DUMMYFUNCTION("""COMPUTED_VALUE"""),263.79)</f>
        <v>263.79000000000002</v>
      </c>
      <c r="F1509" s="1">
        <f ca="1">IFERROR(__xludf.DUMMYFUNCTION("""COMPUTED_VALUE"""),28070657)</f>
        <v>28070657</v>
      </c>
      <c r="G1509" s="5">
        <f t="shared" ca="1" si="69"/>
        <v>-1.7438113651010358E-2</v>
      </c>
      <c r="H1509" s="14">
        <f t="shared" si="70"/>
        <v>2021</v>
      </c>
      <c r="I1509" s="5">
        <f t="shared" ca="1" si="71"/>
        <v>2.3592410073338409E-2</v>
      </c>
      <c r="J1509" s="16"/>
    </row>
    <row r="1510" spans="1:10" x14ac:dyDescent="0.2">
      <c r="A1510" s="3">
        <v>44467</v>
      </c>
      <c r="B1510" s="1">
        <f ca="1">IFERROR(__xludf.DUMMYFUNCTION("""COMPUTED_VALUE"""),262.4)</f>
        <v>262.39999999999998</v>
      </c>
      <c r="C1510" s="1">
        <f ca="1">IFERROR(__xludf.DUMMYFUNCTION("""COMPUTED_VALUE"""),265.21)</f>
        <v>265.20999999999998</v>
      </c>
      <c r="D1510" s="1">
        <f ca="1">IFERROR(__xludf.DUMMYFUNCTION("""COMPUTED_VALUE"""),255.39)</f>
        <v>255.39</v>
      </c>
      <c r="E1510" s="1">
        <f ca="1">IFERROR(__xludf.DUMMYFUNCTION("""COMPUTED_VALUE"""),259.19)</f>
        <v>259.19</v>
      </c>
      <c r="F1510" s="1">
        <f ca="1">IFERROR(__xludf.DUMMYFUNCTION("""COMPUTED_VALUE"""),25381422)</f>
        <v>25381422</v>
      </c>
      <c r="G1510" s="5">
        <f t="shared" ca="1" si="69"/>
        <v>4.8227169258073226E-3</v>
      </c>
      <c r="H1510" s="14">
        <f t="shared" si="70"/>
        <v>2021</v>
      </c>
      <c r="I1510" s="5">
        <f t="shared" ca="1" si="71"/>
        <v>-1.2233231707316996E-2</v>
      </c>
      <c r="J1510" s="16"/>
    </row>
    <row r="1511" spans="1:10" x14ac:dyDescent="0.2">
      <c r="A1511" s="3">
        <v>44468</v>
      </c>
      <c r="B1511" s="1">
        <f ca="1">IFERROR(__xludf.DUMMYFUNCTION("""COMPUTED_VALUE"""),259.93)</f>
        <v>259.93</v>
      </c>
      <c r="C1511" s="1">
        <f ca="1">IFERROR(__xludf.DUMMYFUNCTION("""COMPUTED_VALUE"""),264.5)</f>
        <v>264.5</v>
      </c>
      <c r="D1511" s="1">
        <f ca="1">IFERROR(__xludf.DUMMYFUNCTION("""COMPUTED_VALUE"""),256.89)</f>
        <v>256.89</v>
      </c>
      <c r="E1511" s="1">
        <f ca="1">IFERROR(__xludf.DUMMYFUNCTION("""COMPUTED_VALUE"""),260.44)</f>
        <v>260.44</v>
      </c>
      <c r="F1511" s="1">
        <f ca="1">IFERROR(__xludf.DUMMYFUNCTION("""COMPUTED_VALUE"""),20942877)</f>
        <v>20942877</v>
      </c>
      <c r="G1511" s="5">
        <f t="shared" ca="1" si="69"/>
        <v>-7.487329135309433E-3</v>
      </c>
      <c r="H1511" s="14">
        <f t="shared" si="70"/>
        <v>2021</v>
      </c>
      <c r="I1511" s="5">
        <f t="shared" ca="1" si="71"/>
        <v>1.962066710268114E-3</v>
      </c>
      <c r="J1511" s="16"/>
    </row>
    <row r="1512" spans="1:10" x14ac:dyDescent="0.2">
      <c r="A1512" s="3">
        <v>44469</v>
      </c>
      <c r="B1512" s="1">
        <f ca="1">IFERROR(__xludf.DUMMYFUNCTION("""COMPUTED_VALUE"""),260.33)</f>
        <v>260.33</v>
      </c>
      <c r="C1512" s="1">
        <f ca="1">IFERROR(__xludf.DUMMYFUNCTION("""COMPUTED_VALUE"""),263.04)</f>
        <v>263.04000000000002</v>
      </c>
      <c r="D1512" s="1">
        <f ca="1">IFERROR(__xludf.DUMMYFUNCTION("""COMPUTED_VALUE"""),258.33)</f>
        <v>258.33</v>
      </c>
      <c r="E1512" s="1">
        <f ca="1">IFERROR(__xludf.DUMMYFUNCTION("""COMPUTED_VALUE"""),258.49)</f>
        <v>258.49</v>
      </c>
      <c r="F1512" s="1">
        <f ca="1">IFERROR(__xludf.DUMMYFUNCTION("""COMPUTED_VALUE"""),17955961)</f>
        <v>17955961</v>
      </c>
      <c r="G1512" s="5">
        <f t="shared" ca="1" si="69"/>
        <v>-3.0948972880956357E-4</v>
      </c>
      <c r="H1512" s="14">
        <f t="shared" si="70"/>
        <v>2021</v>
      </c>
      <c r="I1512" s="5">
        <f t="shared" ca="1" si="71"/>
        <v>-7.0679522144968887E-3</v>
      </c>
      <c r="J1512" s="16"/>
    </row>
    <row r="1513" spans="1:10" x14ac:dyDescent="0.2">
      <c r="A1513" s="3">
        <v>44470</v>
      </c>
      <c r="B1513" s="1">
        <f ca="1">IFERROR(__xludf.DUMMYFUNCTION("""COMPUTED_VALUE"""),259.47)</f>
        <v>259.47000000000003</v>
      </c>
      <c r="C1513" s="1">
        <f ca="1">IFERROR(__xludf.DUMMYFUNCTION("""COMPUTED_VALUE"""),260.26)</f>
        <v>260.26</v>
      </c>
      <c r="D1513" s="1">
        <f ca="1">IFERROR(__xludf.DUMMYFUNCTION("""COMPUTED_VALUE"""),254.53)</f>
        <v>254.53</v>
      </c>
      <c r="E1513" s="1">
        <f ca="1">IFERROR(__xludf.DUMMYFUNCTION("""COMPUTED_VALUE"""),258.41)</f>
        <v>258.41000000000003</v>
      </c>
      <c r="F1513" s="1">
        <f ca="1">IFERROR(__xludf.DUMMYFUNCTION("""COMPUTED_VALUE"""),17031414)</f>
        <v>17031414</v>
      </c>
      <c r="G1513" s="5">
        <f t="shared" ca="1" si="69"/>
        <v>8.1266204868231332E-3</v>
      </c>
      <c r="H1513" s="14">
        <f t="shared" si="70"/>
        <v>2021</v>
      </c>
      <c r="I1513" s="5">
        <f t="shared" ca="1" si="71"/>
        <v>-4.0852507033568514E-3</v>
      </c>
      <c r="J1513" s="16"/>
    </row>
    <row r="1514" spans="1:10" x14ac:dyDescent="0.2">
      <c r="A1514" s="3">
        <v>44473</v>
      </c>
      <c r="B1514" s="1">
        <f ca="1">IFERROR(__xludf.DUMMYFUNCTION("""COMPUTED_VALUE"""),265.5)</f>
        <v>265.5</v>
      </c>
      <c r="C1514" s="1">
        <f ca="1">IFERROR(__xludf.DUMMYFUNCTION("""COMPUTED_VALUE"""),268.99)</f>
        <v>268.99</v>
      </c>
      <c r="D1514" s="1">
        <f ca="1">IFERROR(__xludf.DUMMYFUNCTION("""COMPUTED_VALUE"""),258.71)</f>
        <v>258.70999999999998</v>
      </c>
      <c r="E1514" s="1">
        <f ca="1">IFERROR(__xludf.DUMMYFUNCTION("""COMPUTED_VALUE"""),260.51)</f>
        <v>260.51</v>
      </c>
      <c r="F1514" s="1">
        <f ca="1">IFERROR(__xludf.DUMMYFUNCTION("""COMPUTED_VALUE"""),30483341)</f>
        <v>30483341</v>
      </c>
      <c r="G1514" s="5">
        <f t="shared" ca="1" si="69"/>
        <v>-1.189973513492773E-3</v>
      </c>
      <c r="H1514" s="14">
        <f t="shared" si="70"/>
        <v>2021</v>
      </c>
      <c r="I1514" s="5">
        <f t="shared" ca="1" si="71"/>
        <v>-1.8794726930320183E-2</v>
      </c>
      <c r="J1514" s="16"/>
    </row>
    <row r="1515" spans="1:10" x14ac:dyDescent="0.2">
      <c r="A1515" s="3">
        <v>44474</v>
      </c>
      <c r="B1515" s="1">
        <f ca="1">IFERROR(__xludf.DUMMYFUNCTION("""COMPUTED_VALUE"""),261.6)</f>
        <v>261.60000000000002</v>
      </c>
      <c r="C1515" s="1">
        <f ca="1">IFERROR(__xludf.DUMMYFUNCTION("""COMPUTED_VALUE"""),265.77)</f>
        <v>265.77</v>
      </c>
      <c r="D1515" s="1">
        <f ca="1">IFERROR(__xludf.DUMMYFUNCTION("""COMPUTED_VALUE"""),258.07)</f>
        <v>258.07</v>
      </c>
      <c r="E1515" s="1">
        <f ca="1">IFERROR(__xludf.DUMMYFUNCTION("""COMPUTED_VALUE"""),260.2)</f>
        <v>260.2</v>
      </c>
      <c r="F1515" s="1">
        <f ca="1">IFERROR(__xludf.DUMMYFUNCTION("""COMPUTED_VALUE"""),18432625)</f>
        <v>18432625</v>
      </c>
      <c r="G1515" s="5">
        <f t="shared" ca="1" si="69"/>
        <v>2.7671022290546785E-3</v>
      </c>
      <c r="H1515" s="14">
        <f t="shared" si="70"/>
        <v>2021</v>
      </c>
      <c r="I1515" s="5">
        <f t="shared" ca="1" si="71"/>
        <v>-5.3516819571866742E-3</v>
      </c>
      <c r="J1515" s="16"/>
    </row>
    <row r="1516" spans="1:10" x14ac:dyDescent="0.2">
      <c r="A1516" s="3">
        <v>44475</v>
      </c>
      <c r="B1516" s="1">
        <f ca="1">IFERROR(__xludf.DUMMYFUNCTION("""COMPUTED_VALUE"""),258.73)</f>
        <v>258.73</v>
      </c>
      <c r="C1516" s="1">
        <f ca="1">IFERROR(__xludf.DUMMYFUNCTION("""COMPUTED_VALUE"""),262.22)</f>
        <v>262.22000000000003</v>
      </c>
      <c r="D1516" s="1">
        <f ca="1">IFERROR(__xludf.DUMMYFUNCTION("""COMPUTED_VALUE"""),257.74)</f>
        <v>257.74</v>
      </c>
      <c r="E1516" s="1">
        <f ca="1">IFERROR(__xludf.DUMMYFUNCTION("""COMPUTED_VALUE"""),260.92)</f>
        <v>260.92</v>
      </c>
      <c r="F1516" s="1">
        <f ca="1">IFERROR(__xludf.DUMMYFUNCTION("""COMPUTED_VALUE"""),14632768)</f>
        <v>14632768</v>
      </c>
      <c r="G1516" s="5">
        <f t="shared" ca="1" si="69"/>
        <v>1.3873984363023166E-2</v>
      </c>
      <c r="H1516" s="14">
        <f t="shared" si="70"/>
        <v>2021</v>
      </c>
      <c r="I1516" s="5">
        <f t="shared" ca="1" si="71"/>
        <v>8.4644223708112611E-3</v>
      </c>
      <c r="J1516" s="16"/>
    </row>
    <row r="1517" spans="1:10" x14ac:dyDescent="0.2">
      <c r="A1517" s="3">
        <v>44476</v>
      </c>
      <c r="B1517" s="1">
        <f ca="1">IFERROR(__xludf.DUMMYFUNCTION("""COMPUTED_VALUE"""),261.82)</f>
        <v>261.82</v>
      </c>
      <c r="C1517" s="1">
        <f ca="1">IFERROR(__xludf.DUMMYFUNCTION("""COMPUTED_VALUE"""),268.33)</f>
        <v>268.33</v>
      </c>
      <c r="D1517" s="1">
        <f ca="1">IFERROR(__xludf.DUMMYFUNCTION("""COMPUTED_VALUE"""),261.13)</f>
        <v>261.13</v>
      </c>
      <c r="E1517" s="1">
        <f ca="1">IFERROR(__xludf.DUMMYFUNCTION("""COMPUTED_VALUE"""),264.54)</f>
        <v>264.54000000000002</v>
      </c>
      <c r="F1517" s="1">
        <f ca="1">IFERROR(__xludf.DUMMYFUNCTION("""COMPUTED_VALUE"""),19195782)</f>
        <v>19195782</v>
      </c>
      <c r="G1517" s="5">
        <f t="shared" ca="1" si="69"/>
        <v>-1.0244197474862162E-2</v>
      </c>
      <c r="H1517" s="14">
        <f t="shared" si="70"/>
        <v>2021</v>
      </c>
      <c r="I1517" s="5">
        <f t="shared" ca="1" si="71"/>
        <v>1.038881674432827E-2</v>
      </c>
      <c r="J1517" s="16"/>
    </row>
    <row r="1518" spans="1:10" x14ac:dyDescent="0.2">
      <c r="A1518" s="3">
        <v>44477</v>
      </c>
      <c r="B1518" s="1">
        <f ca="1">IFERROR(__xludf.DUMMYFUNCTION("""COMPUTED_VALUE"""),265.4)</f>
        <v>265.39999999999998</v>
      </c>
      <c r="C1518" s="1">
        <f ca="1">IFERROR(__xludf.DUMMYFUNCTION("""COMPUTED_VALUE"""),265.46)</f>
        <v>265.45999999999998</v>
      </c>
      <c r="D1518" s="1">
        <f ca="1">IFERROR(__xludf.DUMMYFUNCTION("""COMPUTED_VALUE"""),260.3)</f>
        <v>260.3</v>
      </c>
      <c r="E1518" s="1">
        <f ca="1">IFERROR(__xludf.DUMMYFUNCTION("""COMPUTED_VALUE"""),261.83)</f>
        <v>261.83</v>
      </c>
      <c r="F1518" s="1">
        <f ca="1">IFERROR(__xludf.DUMMYFUNCTION("""COMPUTED_VALUE"""),16738604)</f>
        <v>16738604</v>
      </c>
      <c r="G1518" s="5">
        <f t="shared" ca="1" si="69"/>
        <v>8.2114349005080935E-3</v>
      </c>
      <c r="H1518" s="14">
        <f t="shared" si="70"/>
        <v>2021</v>
      </c>
      <c r="I1518" s="5">
        <f t="shared" ca="1" si="71"/>
        <v>-1.3451394122079855E-2</v>
      </c>
      <c r="J1518" s="16"/>
    </row>
    <row r="1519" spans="1:10" x14ac:dyDescent="0.2">
      <c r="A1519" s="3">
        <v>44480</v>
      </c>
      <c r="B1519" s="1">
        <f ca="1">IFERROR(__xludf.DUMMYFUNCTION("""COMPUTED_VALUE"""),262.55)</f>
        <v>262.55</v>
      </c>
      <c r="C1519" s="1">
        <f ca="1">IFERROR(__xludf.DUMMYFUNCTION("""COMPUTED_VALUE"""),267.08)</f>
        <v>267.08</v>
      </c>
      <c r="D1519" s="1">
        <f ca="1">IFERROR(__xludf.DUMMYFUNCTION("""COMPUTED_VALUE"""),261.83)</f>
        <v>261.83</v>
      </c>
      <c r="E1519" s="1">
        <f ca="1">IFERROR(__xludf.DUMMYFUNCTION("""COMPUTED_VALUE"""),263.98)</f>
        <v>263.98</v>
      </c>
      <c r="F1519" s="1">
        <f ca="1">IFERROR(__xludf.DUMMYFUNCTION("""COMPUTED_VALUE"""),14200322)</f>
        <v>14200322</v>
      </c>
      <c r="G1519" s="5">
        <f t="shared" ca="1" si="69"/>
        <v>1.7387680884915428E-2</v>
      </c>
      <c r="H1519" s="14">
        <f t="shared" si="70"/>
        <v>2021</v>
      </c>
      <c r="I1519" s="5">
        <f t="shared" ca="1" si="71"/>
        <v>5.4465816035041206E-3</v>
      </c>
      <c r="J1519" s="16"/>
    </row>
    <row r="1520" spans="1:10" x14ac:dyDescent="0.2">
      <c r="A1520" s="3">
        <v>44481</v>
      </c>
      <c r="B1520" s="1">
        <f ca="1">IFERROR(__xludf.DUMMYFUNCTION("""COMPUTED_VALUE"""),266.98)</f>
        <v>266.98</v>
      </c>
      <c r="C1520" s="1">
        <f ca="1">IFERROR(__xludf.DUMMYFUNCTION("""COMPUTED_VALUE"""),270.77)</f>
        <v>270.77</v>
      </c>
      <c r="D1520" s="1">
        <f ca="1">IFERROR(__xludf.DUMMYFUNCTION("""COMPUTED_VALUE"""),265.52)</f>
        <v>265.52</v>
      </c>
      <c r="E1520" s="1">
        <f ca="1">IFERROR(__xludf.DUMMYFUNCTION("""COMPUTED_VALUE"""),268.57)</f>
        <v>268.57</v>
      </c>
      <c r="F1520" s="1">
        <f ca="1">IFERROR(__xludf.DUMMYFUNCTION("""COMPUTED_VALUE"""),22020040)</f>
        <v>22020040</v>
      </c>
      <c r="G1520" s="5">
        <f t="shared" ca="1" si="69"/>
        <v>6.6649290687717183E-3</v>
      </c>
      <c r="H1520" s="14">
        <f t="shared" si="70"/>
        <v>2021</v>
      </c>
      <c r="I1520" s="5">
        <f t="shared" ca="1" si="71"/>
        <v>5.9555022848152483E-3</v>
      </c>
      <c r="J1520" s="16"/>
    </row>
    <row r="1521" spans="1:10" x14ac:dyDescent="0.2">
      <c r="A1521" s="3">
        <v>44482</v>
      </c>
      <c r="B1521" s="1">
        <f ca="1">IFERROR(__xludf.DUMMYFUNCTION("""COMPUTED_VALUE"""),270.16)</f>
        <v>270.16000000000003</v>
      </c>
      <c r="C1521" s="1">
        <f ca="1">IFERROR(__xludf.DUMMYFUNCTION("""COMPUTED_VALUE"""),271.8)</f>
        <v>271.8</v>
      </c>
      <c r="D1521" s="1">
        <f ca="1">IFERROR(__xludf.DUMMYFUNCTION("""COMPUTED_VALUE"""),268.59)</f>
        <v>268.58999999999997</v>
      </c>
      <c r="E1521" s="1">
        <f ca="1">IFERROR(__xludf.DUMMYFUNCTION("""COMPUTED_VALUE"""),270.36)</f>
        <v>270.36</v>
      </c>
      <c r="F1521" s="1">
        <f ca="1">IFERROR(__xludf.DUMMYFUNCTION("""COMPUTED_VALUE"""),14120075)</f>
        <v>14120075</v>
      </c>
      <c r="G1521" s="5">
        <f t="shared" ca="1" si="69"/>
        <v>8.9140405385410865E-3</v>
      </c>
      <c r="H1521" s="14">
        <f t="shared" si="70"/>
        <v>2021</v>
      </c>
      <c r="I1521" s="5">
        <f t="shared" ca="1" si="71"/>
        <v>7.4030204323359712E-4</v>
      </c>
      <c r="J1521" s="16"/>
    </row>
    <row r="1522" spans="1:10" x14ac:dyDescent="0.2">
      <c r="A1522" s="3">
        <v>44483</v>
      </c>
      <c r="B1522" s="1">
        <f ca="1">IFERROR(__xludf.DUMMYFUNCTION("""COMPUTED_VALUE"""),271.83)</f>
        <v>271.83</v>
      </c>
      <c r="C1522" s="1">
        <f ca="1">IFERROR(__xludf.DUMMYFUNCTION("""COMPUTED_VALUE"""),273.42)</f>
        <v>273.42</v>
      </c>
      <c r="D1522" s="1">
        <f ca="1">IFERROR(__xludf.DUMMYFUNCTION("""COMPUTED_VALUE"""),271.12)</f>
        <v>271.12</v>
      </c>
      <c r="E1522" s="1">
        <f ca="1">IFERROR(__xludf.DUMMYFUNCTION("""COMPUTED_VALUE"""),272.77)</f>
        <v>272.77</v>
      </c>
      <c r="F1522" s="1">
        <f ca="1">IFERROR(__xludf.DUMMYFUNCTION("""COMPUTED_VALUE"""),12247170)</f>
        <v>12247170</v>
      </c>
      <c r="G1522" s="5">
        <f t="shared" ca="1" si="69"/>
        <v>3.0208600652564466E-2</v>
      </c>
      <c r="H1522" s="14">
        <f t="shared" si="70"/>
        <v>2021</v>
      </c>
      <c r="I1522" s="5">
        <f t="shared" ca="1" si="71"/>
        <v>3.4580436302100496E-3</v>
      </c>
      <c r="J1522" s="16"/>
    </row>
    <row r="1523" spans="1:10" x14ac:dyDescent="0.2">
      <c r="A1523" s="3">
        <v>44484</v>
      </c>
      <c r="B1523" s="1">
        <f ca="1">IFERROR(__xludf.DUMMYFUNCTION("""COMPUTED_VALUE"""),274.58)</f>
        <v>274.58</v>
      </c>
      <c r="C1523" s="1">
        <f ca="1">IFERROR(__xludf.DUMMYFUNCTION("""COMPUTED_VALUE"""),281.07)</f>
        <v>281.07</v>
      </c>
      <c r="D1523" s="1">
        <f ca="1">IFERROR(__xludf.DUMMYFUNCTION("""COMPUTED_VALUE"""),274.12)</f>
        <v>274.12</v>
      </c>
      <c r="E1523" s="1">
        <f ca="1">IFERROR(__xludf.DUMMYFUNCTION("""COMPUTED_VALUE"""),281.01)</f>
        <v>281.01</v>
      </c>
      <c r="F1523" s="1">
        <f ca="1">IFERROR(__xludf.DUMMYFUNCTION("""COMPUTED_VALUE"""),18924567)</f>
        <v>18924567</v>
      </c>
      <c r="G1523" s="5">
        <f t="shared" ca="1" si="69"/>
        <v>3.2134087754884272E-2</v>
      </c>
      <c r="H1523" s="14">
        <f t="shared" si="70"/>
        <v>2021</v>
      </c>
      <c r="I1523" s="5">
        <f t="shared" ca="1" si="71"/>
        <v>2.3417583218005706E-2</v>
      </c>
      <c r="J1523" s="16"/>
    </row>
    <row r="1524" spans="1:10" x14ac:dyDescent="0.2">
      <c r="A1524" s="3">
        <v>44487</v>
      </c>
      <c r="B1524" s="1">
        <f ca="1">IFERROR(__xludf.DUMMYFUNCTION("""COMPUTED_VALUE"""),283.93)</f>
        <v>283.93</v>
      </c>
      <c r="C1524" s="1">
        <f ca="1">IFERROR(__xludf.DUMMYFUNCTION("""COMPUTED_VALUE"""),291.75)</f>
        <v>291.75</v>
      </c>
      <c r="D1524" s="1">
        <f ca="1">IFERROR(__xludf.DUMMYFUNCTION("""COMPUTED_VALUE"""),283.82)</f>
        <v>283.82</v>
      </c>
      <c r="E1524" s="1">
        <f ca="1">IFERROR(__xludf.DUMMYFUNCTION("""COMPUTED_VALUE"""),290.04)</f>
        <v>290.04000000000002</v>
      </c>
      <c r="F1524" s="1">
        <f ca="1">IFERROR(__xludf.DUMMYFUNCTION("""COMPUTED_VALUE"""),24207244)</f>
        <v>24207244</v>
      </c>
      <c r="G1524" s="5">
        <f t="shared" ca="1" si="69"/>
        <v>-6.7232105916426883E-3</v>
      </c>
      <c r="H1524" s="14">
        <f t="shared" si="70"/>
        <v>2021</v>
      </c>
      <c r="I1524" s="5">
        <f t="shared" ca="1" si="71"/>
        <v>2.1519388581692719E-2</v>
      </c>
      <c r="J1524" s="16"/>
    </row>
    <row r="1525" spans="1:10" x14ac:dyDescent="0.2">
      <c r="A1525" s="3">
        <v>44488</v>
      </c>
      <c r="B1525" s="1">
        <f ca="1">IFERROR(__xludf.DUMMYFUNCTION("""COMPUTED_VALUE"""),292.51)</f>
        <v>292.51</v>
      </c>
      <c r="C1525" s="1">
        <f ca="1">IFERROR(__xludf.DUMMYFUNCTION("""COMPUTED_VALUE"""),292.65)</f>
        <v>292.64999999999998</v>
      </c>
      <c r="D1525" s="1">
        <f ca="1">IFERROR(__xludf.DUMMYFUNCTION("""COMPUTED_VALUE"""),287.5)</f>
        <v>287.5</v>
      </c>
      <c r="E1525" s="1">
        <f ca="1">IFERROR(__xludf.DUMMYFUNCTION("""COMPUTED_VALUE"""),288.09)</f>
        <v>288.08999999999997</v>
      </c>
      <c r="F1525" s="1">
        <f ca="1">IFERROR(__xludf.DUMMYFUNCTION("""COMPUTED_VALUE"""),17381128)</f>
        <v>17381128</v>
      </c>
      <c r="G1525" s="5">
        <f t="shared" ca="1" si="69"/>
        <v>1.7702801207957505E-3</v>
      </c>
      <c r="H1525" s="14">
        <f t="shared" si="70"/>
        <v>2021</v>
      </c>
      <c r="I1525" s="5">
        <f t="shared" ca="1" si="71"/>
        <v>-1.5110594509589471E-2</v>
      </c>
      <c r="J1525" s="16"/>
    </row>
    <row r="1526" spans="1:10" x14ac:dyDescent="0.2">
      <c r="A1526" s="3">
        <v>44489</v>
      </c>
      <c r="B1526" s="1">
        <f ca="1">IFERROR(__xludf.DUMMYFUNCTION("""COMPUTED_VALUE"""),288.45)</f>
        <v>288.45</v>
      </c>
      <c r="C1526" s="1">
        <f ca="1">IFERROR(__xludf.DUMMYFUNCTION("""COMPUTED_VALUE"""),289.83)</f>
        <v>289.83</v>
      </c>
      <c r="D1526" s="1">
        <f ca="1">IFERROR(__xludf.DUMMYFUNCTION("""COMPUTED_VALUE"""),285.79)</f>
        <v>285.79000000000002</v>
      </c>
      <c r="E1526" s="1">
        <f ca="1">IFERROR(__xludf.DUMMYFUNCTION("""COMPUTED_VALUE"""),288.6)</f>
        <v>288.60000000000002</v>
      </c>
      <c r="F1526" s="1">
        <f ca="1">IFERROR(__xludf.DUMMYFUNCTION("""COMPUTED_VALUE"""),14032052)</f>
        <v>14032052</v>
      </c>
      <c r="G1526" s="5">
        <f t="shared" ca="1" si="69"/>
        <v>3.2571032571032492E-2</v>
      </c>
      <c r="H1526" s="14">
        <f t="shared" si="70"/>
        <v>2021</v>
      </c>
      <c r="I1526" s="5">
        <f t="shared" ca="1" si="71"/>
        <v>5.2002080083215151E-4</v>
      </c>
      <c r="J1526" s="16"/>
    </row>
    <row r="1527" spans="1:10" x14ac:dyDescent="0.2">
      <c r="A1527" s="3">
        <v>44490</v>
      </c>
      <c r="B1527" s="1">
        <f ca="1">IFERROR(__xludf.DUMMYFUNCTION("""COMPUTED_VALUE"""),285.33)</f>
        <v>285.33</v>
      </c>
      <c r="C1527" s="1">
        <f ca="1">IFERROR(__xludf.DUMMYFUNCTION("""COMPUTED_VALUE"""),300)</f>
        <v>300</v>
      </c>
      <c r="D1527" s="1">
        <f ca="1">IFERROR(__xludf.DUMMYFUNCTION("""COMPUTED_VALUE"""),285.17)</f>
        <v>285.17</v>
      </c>
      <c r="E1527" s="1">
        <f ca="1">IFERROR(__xludf.DUMMYFUNCTION("""COMPUTED_VALUE"""),298)</f>
        <v>298</v>
      </c>
      <c r="F1527" s="1">
        <f ca="1">IFERROR(__xludf.DUMMYFUNCTION("""COMPUTED_VALUE"""),31481454)</f>
        <v>31481454</v>
      </c>
      <c r="G1527" s="5">
        <f t="shared" ca="1" si="69"/>
        <v>1.7550335570469859E-2</v>
      </c>
      <c r="H1527" s="14">
        <f t="shared" si="70"/>
        <v>2021</v>
      </c>
      <c r="I1527" s="5">
        <f t="shared" ca="1" si="71"/>
        <v>4.4404724354256533E-2</v>
      </c>
      <c r="J1527" s="16"/>
    </row>
    <row r="1528" spans="1:10" x14ac:dyDescent="0.2">
      <c r="A1528" s="3">
        <v>44491</v>
      </c>
      <c r="B1528" s="1">
        <f ca="1">IFERROR(__xludf.DUMMYFUNCTION("""COMPUTED_VALUE"""),298.5)</f>
        <v>298.5</v>
      </c>
      <c r="C1528" s="1">
        <f ca="1">IFERROR(__xludf.DUMMYFUNCTION("""COMPUTED_VALUE"""),303.33)</f>
        <v>303.33</v>
      </c>
      <c r="D1528" s="1">
        <f ca="1">IFERROR(__xludf.DUMMYFUNCTION("""COMPUTED_VALUE"""),296.99)</f>
        <v>296.99</v>
      </c>
      <c r="E1528" s="1">
        <f ca="1">IFERROR(__xludf.DUMMYFUNCTION("""COMPUTED_VALUE"""),303.23)</f>
        <v>303.23</v>
      </c>
      <c r="F1528" s="1">
        <f ca="1">IFERROR(__xludf.DUMMYFUNCTION("""COMPUTED_VALUE"""),22880835)</f>
        <v>22880835</v>
      </c>
      <c r="G1528" s="5">
        <f t="shared" ca="1" si="69"/>
        <v>0.12660356824852417</v>
      </c>
      <c r="H1528" s="14">
        <f t="shared" si="70"/>
        <v>2021</v>
      </c>
      <c r="I1528" s="5">
        <f t="shared" ca="1" si="71"/>
        <v>1.5845896147403747E-2</v>
      </c>
      <c r="J1528" s="16"/>
    </row>
    <row r="1529" spans="1:10" x14ac:dyDescent="0.2">
      <c r="A1529" s="3">
        <v>44494</v>
      </c>
      <c r="B1529" s="1">
        <f ca="1">IFERROR(__xludf.DUMMYFUNCTION("""COMPUTED_VALUE"""),316.84)</f>
        <v>316.83999999999997</v>
      </c>
      <c r="C1529" s="1">
        <f ca="1">IFERROR(__xludf.DUMMYFUNCTION("""COMPUTED_VALUE"""),348.34)</f>
        <v>348.34</v>
      </c>
      <c r="D1529" s="1">
        <f ca="1">IFERROR(__xludf.DUMMYFUNCTION("""COMPUTED_VALUE"""),314.73)</f>
        <v>314.73</v>
      </c>
      <c r="E1529" s="1">
        <f ca="1">IFERROR(__xludf.DUMMYFUNCTION("""COMPUTED_VALUE"""),341.62)</f>
        <v>341.62</v>
      </c>
      <c r="F1529" s="1">
        <f ca="1">IFERROR(__xludf.DUMMYFUNCTION("""COMPUTED_VALUE"""),62852099)</f>
        <v>62852099</v>
      </c>
      <c r="G1529" s="5">
        <f t="shared" ca="1" si="69"/>
        <v>-6.2642702417890824E-3</v>
      </c>
      <c r="H1529" s="14">
        <f t="shared" si="70"/>
        <v>2021</v>
      </c>
      <c r="I1529" s="5">
        <f t="shared" ca="1" si="71"/>
        <v>7.8209821992172801E-2</v>
      </c>
      <c r="J1529" s="16"/>
    </row>
    <row r="1530" spans="1:10" x14ac:dyDescent="0.2">
      <c r="A1530" s="3">
        <v>44495</v>
      </c>
      <c r="B1530" s="1">
        <f ca="1">IFERROR(__xludf.DUMMYFUNCTION("""COMPUTED_VALUE"""),341.56)</f>
        <v>341.56</v>
      </c>
      <c r="C1530" s="1">
        <f ca="1">IFERROR(__xludf.DUMMYFUNCTION("""COMPUTED_VALUE"""),364.98)</f>
        <v>364.98</v>
      </c>
      <c r="D1530" s="1">
        <f ca="1">IFERROR(__xludf.DUMMYFUNCTION("""COMPUTED_VALUE"""),333.81)</f>
        <v>333.81</v>
      </c>
      <c r="E1530" s="1">
        <f ca="1">IFERROR(__xludf.DUMMYFUNCTION("""COMPUTED_VALUE"""),339.48)</f>
        <v>339.48</v>
      </c>
      <c r="F1530" s="1">
        <f ca="1">IFERROR(__xludf.DUMMYFUNCTION("""COMPUTED_VALUE"""),62414968)</f>
        <v>62414968</v>
      </c>
      <c r="G1530" s="5">
        <f t="shared" ca="1" si="69"/>
        <v>1.9058560150818811E-2</v>
      </c>
      <c r="H1530" s="14">
        <f t="shared" si="70"/>
        <v>2021</v>
      </c>
      <c r="I1530" s="5">
        <f t="shared" ca="1" si="71"/>
        <v>-6.0897060545730885E-3</v>
      </c>
      <c r="J1530" s="16"/>
    </row>
    <row r="1531" spans="1:10" x14ac:dyDescent="0.2">
      <c r="A1531" s="3">
        <v>44496</v>
      </c>
      <c r="B1531" s="1">
        <f ca="1">IFERROR(__xludf.DUMMYFUNCTION("""COMPUTED_VALUE"""),346.55)</f>
        <v>346.55</v>
      </c>
      <c r="C1531" s="1">
        <f ca="1">IFERROR(__xludf.DUMMYFUNCTION("""COMPUTED_VALUE"""),356.96)</f>
        <v>356.96</v>
      </c>
      <c r="D1531" s="1">
        <f ca="1">IFERROR(__xludf.DUMMYFUNCTION("""COMPUTED_VALUE"""),343.59)</f>
        <v>343.59</v>
      </c>
      <c r="E1531" s="1">
        <f ca="1">IFERROR(__xludf.DUMMYFUNCTION("""COMPUTED_VALUE"""),345.95)</f>
        <v>345.95</v>
      </c>
      <c r="F1531" s="1">
        <f ca="1">IFERROR(__xludf.DUMMYFUNCTION("""COMPUTED_VALUE"""),38526459)</f>
        <v>38526459</v>
      </c>
      <c r="G1531" s="5">
        <f t="shared" ca="1" si="69"/>
        <v>3.7751120104061286E-2</v>
      </c>
      <c r="H1531" s="14">
        <f t="shared" si="70"/>
        <v>2021</v>
      </c>
      <c r="I1531" s="5">
        <f t="shared" ca="1" si="71"/>
        <v>-1.7313518972731864E-3</v>
      </c>
      <c r="J1531" s="16"/>
    </row>
    <row r="1532" spans="1:10" x14ac:dyDescent="0.2">
      <c r="A1532" s="3">
        <v>44497</v>
      </c>
      <c r="B1532" s="1">
        <f ca="1">IFERROR(__xludf.DUMMYFUNCTION("""COMPUTED_VALUE"""),356.1)</f>
        <v>356.1</v>
      </c>
      <c r="C1532" s="1">
        <f ca="1">IFERROR(__xludf.DUMMYFUNCTION("""COMPUTED_VALUE"""),360.33)</f>
        <v>360.33</v>
      </c>
      <c r="D1532" s="1">
        <f ca="1">IFERROR(__xludf.DUMMYFUNCTION("""COMPUTED_VALUE"""),351.4)</f>
        <v>351.4</v>
      </c>
      <c r="E1532" s="1">
        <f ca="1">IFERROR(__xludf.DUMMYFUNCTION("""COMPUTED_VALUE"""),359.01)</f>
        <v>359.01</v>
      </c>
      <c r="F1532" s="1">
        <f ca="1">IFERROR(__xludf.DUMMYFUNCTION("""COMPUTED_VALUE"""),27213173)</f>
        <v>27213173</v>
      </c>
      <c r="G1532" s="5">
        <f t="shared" ca="1" si="69"/>
        <v>3.431659285256676E-2</v>
      </c>
      <c r="H1532" s="14">
        <f t="shared" si="70"/>
        <v>2021</v>
      </c>
      <c r="I1532" s="5">
        <f t="shared" ca="1" si="71"/>
        <v>8.1718618365626741E-3</v>
      </c>
      <c r="J1532" s="16"/>
    </row>
    <row r="1533" spans="1:10" x14ac:dyDescent="0.2">
      <c r="A1533" s="3">
        <v>44498</v>
      </c>
      <c r="B1533" s="1">
        <f ca="1">IFERROR(__xludf.DUMMYFUNCTION("""COMPUTED_VALUE"""),360.62)</f>
        <v>360.62</v>
      </c>
      <c r="C1533" s="1">
        <f ca="1">IFERROR(__xludf.DUMMYFUNCTION("""COMPUTED_VALUE"""),371.74)</f>
        <v>371.74</v>
      </c>
      <c r="D1533" s="1">
        <f ca="1">IFERROR(__xludf.DUMMYFUNCTION("""COMPUTED_VALUE"""),357.74)</f>
        <v>357.74</v>
      </c>
      <c r="E1533" s="1">
        <f ca="1">IFERROR(__xludf.DUMMYFUNCTION("""COMPUTED_VALUE"""),371.33)</f>
        <v>371.33</v>
      </c>
      <c r="F1533" s="1">
        <f ca="1">IFERROR(__xludf.DUMMYFUNCTION("""COMPUTED_VALUE"""),29918417)</f>
        <v>29918417</v>
      </c>
      <c r="G1533" s="5">
        <f t="shared" ca="1" si="69"/>
        <v>8.4910995610373602E-2</v>
      </c>
      <c r="H1533" s="14">
        <f t="shared" si="70"/>
        <v>2021</v>
      </c>
      <c r="I1533" s="5">
        <f t="shared" ca="1" si="71"/>
        <v>2.9698851977150408E-2</v>
      </c>
      <c r="J1533" s="16"/>
    </row>
    <row r="1534" spans="1:10" x14ac:dyDescent="0.2">
      <c r="A1534" s="3">
        <v>44501</v>
      </c>
      <c r="B1534" s="1">
        <f ca="1">IFERROR(__xludf.DUMMYFUNCTION("""COMPUTED_VALUE"""),381.67)</f>
        <v>381.67</v>
      </c>
      <c r="C1534" s="1">
        <f ca="1">IFERROR(__xludf.DUMMYFUNCTION("""COMPUTED_VALUE"""),403.25)</f>
        <v>403.25</v>
      </c>
      <c r="D1534" s="1">
        <f ca="1">IFERROR(__xludf.DUMMYFUNCTION("""COMPUTED_VALUE"""),372.89)</f>
        <v>372.89</v>
      </c>
      <c r="E1534" s="1">
        <f ca="1">IFERROR(__xludf.DUMMYFUNCTION("""COMPUTED_VALUE"""),402.86)</f>
        <v>402.86</v>
      </c>
      <c r="F1534" s="1">
        <f ca="1">IFERROR(__xludf.DUMMYFUNCTION("""COMPUTED_VALUE"""),56048716)</f>
        <v>56048716</v>
      </c>
      <c r="G1534" s="5">
        <f t="shared" ca="1" si="69"/>
        <v>-3.025865064786774E-2</v>
      </c>
      <c r="H1534" s="14">
        <f t="shared" si="70"/>
        <v>2021</v>
      </c>
      <c r="I1534" s="5">
        <f t="shared" ca="1" si="71"/>
        <v>5.5519165771477967E-2</v>
      </c>
      <c r="J1534" s="16"/>
    </row>
    <row r="1535" spans="1:10" x14ac:dyDescent="0.2">
      <c r="A1535" s="3">
        <v>44502</v>
      </c>
      <c r="B1535" s="1">
        <f ca="1">IFERROR(__xludf.DUMMYFUNCTION("""COMPUTED_VALUE"""),386.45)</f>
        <v>386.45</v>
      </c>
      <c r="C1535" s="1">
        <f ca="1">IFERROR(__xludf.DUMMYFUNCTION("""COMPUTED_VALUE"""),402.86)</f>
        <v>402.86</v>
      </c>
      <c r="D1535" s="1">
        <f ca="1">IFERROR(__xludf.DUMMYFUNCTION("""COMPUTED_VALUE"""),382)</f>
        <v>382</v>
      </c>
      <c r="E1535" s="1">
        <f ca="1">IFERROR(__xludf.DUMMYFUNCTION("""COMPUTED_VALUE"""),390.67)</f>
        <v>390.67</v>
      </c>
      <c r="F1535" s="1">
        <f ca="1">IFERROR(__xludf.DUMMYFUNCTION("""COMPUTED_VALUE"""),42737797)</f>
        <v>42737797</v>
      </c>
      <c r="G1535" s="5">
        <f t="shared" ca="1" si="69"/>
        <v>3.5707886451480757E-2</v>
      </c>
      <c r="H1535" s="14">
        <f t="shared" si="70"/>
        <v>2021</v>
      </c>
      <c r="I1535" s="5">
        <f t="shared" ca="1" si="71"/>
        <v>1.0919912019666264E-2</v>
      </c>
      <c r="J1535" s="16"/>
    </row>
    <row r="1536" spans="1:10" x14ac:dyDescent="0.2">
      <c r="A1536" s="3">
        <v>44503</v>
      </c>
      <c r="B1536" s="1">
        <f ca="1">IFERROR(__xludf.DUMMYFUNCTION("""COMPUTED_VALUE"""),392.44)</f>
        <v>392.44</v>
      </c>
      <c r="C1536" s="1">
        <f ca="1">IFERROR(__xludf.DUMMYFUNCTION("""COMPUTED_VALUE"""),405.13)</f>
        <v>405.13</v>
      </c>
      <c r="D1536" s="1">
        <f ca="1">IFERROR(__xludf.DUMMYFUNCTION("""COMPUTED_VALUE"""),384.21)</f>
        <v>384.21</v>
      </c>
      <c r="E1536" s="1">
        <f ca="1">IFERROR(__xludf.DUMMYFUNCTION("""COMPUTED_VALUE"""),404.62)</f>
        <v>404.62</v>
      </c>
      <c r="F1536" s="1">
        <f ca="1">IFERROR(__xludf.DUMMYFUNCTION("""COMPUTED_VALUE"""),34628519)</f>
        <v>34628519</v>
      </c>
      <c r="G1536" s="5">
        <f t="shared" ca="1" si="69"/>
        <v>1.3222282635559347E-2</v>
      </c>
      <c r="H1536" s="14">
        <f t="shared" si="70"/>
        <v>2021</v>
      </c>
      <c r="I1536" s="5">
        <f t="shared" ca="1" si="71"/>
        <v>3.1036591580878622E-2</v>
      </c>
      <c r="J1536" s="16"/>
    </row>
    <row r="1537" spans="1:10" x14ac:dyDescent="0.2">
      <c r="A1537" s="3">
        <v>44504</v>
      </c>
      <c r="B1537" s="1">
        <f ca="1">IFERROR(__xludf.DUMMYFUNCTION("""COMPUTED_VALUE"""),411.47)</f>
        <v>411.47</v>
      </c>
      <c r="C1537" s="1">
        <f ca="1">IFERROR(__xludf.DUMMYFUNCTION("""COMPUTED_VALUE"""),414.5)</f>
        <v>414.5</v>
      </c>
      <c r="D1537" s="1">
        <f ca="1">IFERROR(__xludf.DUMMYFUNCTION("""COMPUTED_VALUE"""),405.67)</f>
        <v>405.67</v>
      </c>
      <c r="E1537" s="1">
        <f ca="1">IFERROR(__xludf.DUMMYFUNCTION("""COMPUTED_VALUE"""),409.97)</f>
        <v>409.97</v>
      </c>
      <c r="F1537" s="1">
        <f ca="1">IFERROR(__xludf.DUMMYFUNCTION("""COMPUTED_VALUE"""),25397410)</f>
        <v>25397410</v>
      </c>
      <c r="G1537" s="5">
        <f t="shared" ca="1" si="69"/>
        <v>-6.3663194867917489E-3</v>
      </c>
      <c r="H1537" s="14">
        <f t="shared" si="70"/>
        <v>2021</v>
      </c>
      <c r="I1537" s="5">
        <f t="shared" ca="1" si="71"/>
        <v>-3.6454662551340315E-3</v>
      </c>
      <c r="J1537" s="16"/>
    </row>
    <row r="1538" spans="1:10" x14ac:dyDescent="0.2">
      <c r="A1538" s="3">
        <v>44505</v>
      </c>
      <c r="B1538" s="1">
        <f ca="1">IFERROR(__xludf.DUMMYFUNCTION("""COMPUTED_VALUE"""),409.33)</f>
        <v>409.33</v>
      </c>
      <c r="C1538" s="1">
        <f ca="1">IFERROR(__xludf.DUMMYFUNCTION("""COMPUTED_VALUE"""),413.29)</f>
        <v>413.29</v>
      </c>
      <c r="D1538" s="1">
        <f ca="1">IFERROR(__xludf.DUMMYFUNCTION("""COMPUTED_VALUE"""),402.67)</f>
        <v>402.67</v>
      </c>
      <c r="E1538" s="1">
        <f ca="1">IFERROR(__xludf.DUMMYFUNCTION("""COMPUTED_VALUE"""),407.36)</f>
        <v>407.36</v>
      </c>
      <c r="F1538" s="1">
        <f ca="1">IFERROR(__xludf.DUMMYFUNCTION("""COMPUTED_VALUE"""),21628812)</f>
        <v>21628812</v>
      </c>
      <c r="G1538" s="5">
        <f t="shared" ca="1" si="69"/>
        <v>-4.8384721131186262E-2</v>
      </c>
      <c r="H1538" s="14">
        <f t="shared" si="70"/>
        <v>2021</v>
      </c>
      <c r="I1538" s="5">
        <f t="shared" ca="1" si="71"/>
        <v>-4.8127427747782243E-3</v>
      </c>
      <c r="J1538" s="16"/>
    </row>
    <row r="1539" spans="1:10" x14ac:dyDescent="0.2">
      <c r="A1539" s="3">
        <v>44508</v>
      </c>
      <c r="B1539" s="1">
        <f ca="1">IFERROR(__xludf.DUMMYFUNCTION("""COMPUTED_VALUE"""),383.26)</f>
        <v>383.26</v>
      </c>
      <c r="C1539" s="1">
        <f ca="1">IFERROR(__xludf.DUMMYFUNCTION("""COMPUTED_VALUE"""),399)</f>
        <v>399</v>
      </c>
      <c r="D1539" s="1">
        <f ca="1">IFERROR(__xludf.DUMMYFUNCTION("""COMPUTED_VALUE"""),377.67)</f>
        <v>377.67</v>
      </c>
      <c r="E1539" s="1">
        <f ca="1">IFERROR(__xludf.DUMMYFUNCTION("""COMPUTED_VALUE"""),387.65)</f>
        <v>387.65</v>
      </c>
      <c r="F1539" s="1">
        <f ca="1">IFERROR(__xludf.DUMMYFUNCTION("""COMPUTED_VALUE"""),33445715)</f>
        <v>33445715</v>
      </c>
      <c r="G1539" s="5">
        <f t="shared" ref="G1539:G1602" ca="1" si="72">(E1540-E1539)/E1539</f>
        <v>-0.11990197342964004</v>
      </c>
      <c r="H1539" s="14">
        <f t="shared" ref="H1539:H1602" si="73">YEAR(A1539)</f>
        <v>2021</v>
      </c>
      <c r="I1539" s="5">
        <f t="shared" ref="I1539:I1602" ca="1" si="74">((E1539 - B1539) / B1539)</f>
        <v>1.1454365182904521E-2</v>
      </c>
      <c r="J1539" s="16"/>
    </row>
    <row r="1540" spans="1:10" x14ac:dyDescent="0.2">
      <c r="A1540" s="3">
        <v>44509</v>
      </c>
      <c r="B1540" s="1">
        <f ca="1">IFERROR(__xludf.DUMMYFUNCTION("""COMPUTED_VALUE"""),391.2)</f>
        <v>391.2</v>
      </c>
      <c r="C1540" s="1">
        <f ca="1">IFERROR(__xludf.DUMMYFUNCTION("""COMPUTED_VALUE"""),391.5)</f>
        <v>391.5</v>
      </c>
      <c r="D1540" s="1">
        <f ca="1">IFERROR(__xludf.DUMMYFUNCTION("""COMPUTED_VALUE"""),337.17)</f>
        <v>337.17</v>
      </c>
      <c r="E1540" s="1">
        <f ca="1">IFERROR(__xludf.DUMMYFUNCTION("""COMPUTED_VALUE"""),341.17)</f>
        <v>341.17</v>
      </c>
      <c r="F1540" s="1">
        <f ca="1">IFERROR(__xludf.DUMMYFUNCTION("""COMPUTED_VALUE"""),59105836)</f>
        <v>59105836</v>
      </c>
      <c r="G1540" s="5">
        <f t="shared" ca="1" si="72"/>
        <v>4.3409443972213274E-2</v>
      </c>
      <c r="H1540" s="14">
        <f t="shared" si="73"/>
        <v>2021</v>
      </c>
      <c r="I1540" s="5">
        <f t="shared" ca="1" si="74"/>
        <v>-0.12788854805725966</v>
      </c>
      <c r="J1540" s="16"/>
    </row>
    <row r="1541" spans="1:10" x14ac:dyDescent="0.2">
      <c r="A1541" s="3">
        <v>44510</v>
      </c>
      <c r="B1541" s="1">
        <f ca="1">IFERROR(__xludf.DUMMYFUNCTION("""COMPUTED_VALUE"""),336.8)</f>
        <v>336.8</v>
      </c>
      <c r="C1541" s="1">
        <f ca="1">IFERROR(__xludf.DUMMYFUNCTION("""COMPUTED_VALUE"""),359.37)</f>
        <v>359.37</v>
      </c>
      <c r="D1541" s="1">
        <f ca="1">IFERROR(__xludf.DUMMYFUNCTION("""COMPUTED_VALUE"""),329.1)</f>
        <v>329.1</v>
      </c>
      <c r="E1541" s="1">
        <f ca="1">IFERROR(__xludf.DUMMYFUNCTION("""COMPUTED_VALUE"""),355.98)</f>
        <v>355.98</v>
      </c>
      <c r="F1541" s="1">
        <f ca="1">IFERROR(__xludf.DUMMYFUNCTION("""COMPUTED_VALUE"""),42802722)</f>
        <v>42802722</v>
      </c>
      <c r="G1541" s="5">
        <f t="shared" ca="1" si="72"/>
        <v>-4.1575369402775944E-3</v>
      </c>
      <c r="H1541" s="14">
        <f t="shared" si="73"/>
        <v>2021</v>
      </c>
      <c r="I1541" s="5">
        <f t="shared" ca="1" si="74"/>
        <v>5.6947743467933513E-2</v>
      </c>
      <c r="J1541" s="16"/>
    </row>
    <row r="1542" spans="1:10" x14ac:dyDescent="0.2">
      <c r="A1542" s="3">
        <v>44511</v>
      </c>
      <c r="B1542" s="1">
        <f ca="1">IFERROR(__xludf.DUMMYFUNCTION("""COMPUTED_VALUE"""),367.59)</f>
        <v>367.59</v>
      </c>
      <c r="C1542" s="1">
        <f ca="1">IFERROR(__xludf.DUMMYFUNCTION("""COMPUTED_VALUE"""),368.32)</f>
        <v>368.32</v>
      </c>
      <c r="D1542" s="1">
        <f ca="1">IFERROR(__xludf.DUMMYFUNCTION("""COMPUTED_VALUE"""),351.56)</f>
        <v>351.56</v>
      </c>
      <c r="E1542" s="1">
        <f ca="1">IFERROR(__xludf.DUMMYFUNCTION("""COMPUTED_VALUE"""),354.5)</f>
        <v>354.5</v>
      </c>
      <c r="F1542" s="1">
        <f ca="1">IFERROR(__xludf.DUMMYFUNCTION("""COMPUTED_VALUE"""),22396568)</f>
        <v>22396568</v>
      </c>
      <c r="G1542" s="5">
        <f t="shared" ca="1" si="72"/>
        <v>-2.829337094499287E-2</v>
      </c>
      <c r="H1542" s="14">
        <f t="shared" si="73"/>
        <v>2021</v>
      </c>
      <c r="I1542" s="5">
        <f t="shared" ca="1" si="74"/>
        <v>-3.5610326722707301E-2</v>
      </c>
      <c r="J1542" s="16"/>
    </row>
    <row r="1543" spans="1:10" x14ac:dyDescent="0.2">
      <c r="A1543" s="3">
        <v>44512</v>
      </c>
      <c r="B1543" s="1">
        <f ca="1">IFERROR(__xludf.DUMMYFUNCTION("""COMPUTED_VALUE"""),349.17)</f>
        <v>349.17</v>
      </c>
      <c r="C1543" s="1">
        <f ca="1">IFERROR(__xludf.DUMMYFUNCTION("""COMPUTED_VALUE"""),351.5)</f>
        <v>351.5</v>
      </c>
      <c r="D1543" s="1">
        <f ca="1">IFERROR(__xludf.DUMMYFUNCTION("""COMPUTED_VALUE"""),339.73)</f>
        <v>339.73</v>
      </c>
      <c r="E1543" s="1">
        <f ca="1">IFERROR(__xludf.DUMMYFUNCTION("""COMPUTED_VALUE"""),344.47)</f>
        <v>344.47</v>
      </c>
      <c r="F1543" s="1">
        <f ca="1">IFERROR(__xludf.DUMMYFUNCTION("""COMPUTED_VALUE"""),25573148)</f>
        <v>25573148</v>
      </c>
      <c r="G1543" s="5">
        <f t="shared" ca="1" si="72"/>
        <v>-1.9363079513455499E-2</v>
      </c>
      <c r="H1543" s="14">
        <f t="shared" si="73"/>
        <v>2021</v>
      </c>
      <c r="I1543" s="5">
        <f t="shared" ca="1" si="74"/>
        <v>-1.3460492023942458E-2</v>
      </c>
      <c r="J1543" s="16"/>
    </row>
    <row r="1544" spans="1:10" x14ac:dyDescent="0.2">
      <c r="A1544" s="3">
        <v>44515</v>
      </c>
      <c r="B1544" s="1">
        <f ca="1">IFERROR(__xludf.DUMMYFUNCTION("""COMPUTED_VALUE"""),339.21)</f>
        <v>339.21</v>
      </c>
      <c r="C1544" s="1">
        <f ca="1">IFERROR(__xludf.DUMMYFUNCTION("""COMPUTED_VALUE"""),343.99)</f>
        <v>343.99</v>
      </c>
      <c r="D1544" s="1">
        <f ca="1">IFERROR(__xludf.DUMMYFUNCTION("""COMPUTED_VALUE"""),326.2)</f>
        <v>326.2</v>
      </c>
      <c r="E1544" s="1">
        <f ca="1">IFERROR(__xludf.DUMMYFUNCTION("""COMPUTED_VALUE"""),337.8)</f>
        <v>337.8</v>
      </c>
      <c r="F1544" s="1">
        <f ca="1">IFERROR(__xludf.DUMMYFUNCTION("""COMPUTED_VALUE"""),34775649)</f>
        <v>34775649</v>
      </c>
      <c r="G1544" s="5">
        <f t="shared" ca="1" si="72"/>
        <v>4.079336885731194E-2</v>
      </c>
      <c r="H1544" s="14">
        <f t="shared" si="73"/>
        <v>2021</v>
      </c>
      <c r="I1544" s="5">
        <f t="shared" ca="1" si="74"/>
        <v>-4.156717077916241E-3</v>
      </c>
      <c r="J1544" s="16"/>
    </row>
    <row r="1545" spans="1:10" x14ac:dyDescent="0.2">
      <c r="A1545" s="3">
        <v>44516</v>
      </c>
      <c r="B1545" s="1">
        <f ca="1">IFERROR(__xludf.DUMMYFUNCTION("""COMPUTED_VALUE"""),334.44)</f>
        <v>334.44</v>
      </c>
      <c r="C1545" s="1">
        <f ca="1">IFERROR(__xludf.DUMMYFUNCTION("""COMPUTED_VALUE"""),352.4)</f>
        <v>352.4</v>
      </c>
      <c r="D1545" s="1">
        <f ca="1">IFERROR(__xludf.DUMMYFUNCTION("""COMPUTED_VALUE"""),334.06)</f>
        <v>334.06</v>
      </c>
      <c r="E1545" s="1">
        <f ca="1">IFERROR(__xludf.DUMMYFUNCTION("""COMPUTED_VALUE"""),351.58)</f>
        <v>351.58</v>
      </c>
      <c r="F1545" s="1">
        <f ca="1">IFERROR(__xludf.DUMMYFUNCTION("""COMPUTED_VALUE"""),26542359)</f>
        <v>26542359</v>
      </c>
      <c r="G1545" s="5">
        <f t="shared" ca="1" si="72"/>
        <v>3.2481938676830358E-2</v>
      </c>
      <c r="H1545" s="14">
        <f t="shared" si="73"/>
        <v>2021</v>
      </c>
      <c r="I1545" s="5">
        <f t="shared" ca="1" si="74"/>
        <v>5.124985049635207E-2</v>
      </c>
      <c r="J1545" s="16"/>
    </row>
    <row r="1546" spans="1:10" x14ac:dyDescent="0.2">
      <c r="A1546" s="3">
        <v>44517</v>
      </c>
      <c r="B1546" s="1">
        <f ca="1">IFERROR(__xludf.DUMMYFUNCTION("""COMPUTED_VALUE"""),354.5)</f>
        <v>354.5</v>
      </c>
      <c r="C1546" s="1">
        <f ca="1">IFERROR(__xludf.DUMMYFUNCTION("""COMPUTED_VALUE"""),373.21)</f>
        <v>373.21</v>
      </c>
      <c r="D1546" s="1">
        <f ca="1">IFERROR(__xludf.DUMMYFUNCTION("""COMPUTED_VALUE"""),351.83)</f>
        <v>351.83</v>
      </c>
      <c r="E1546" s="1">
        <f ca="1">IFERROR(__xludf.DUMMYFUNCTION("""COMPUTED_VALUE"""),363)</f>
        <v>363</v>
      </c>
      <c r="F1546" s="1">
        <f ca="1">IFERROR(__xludf.DUMMYFUNCTION("""COMPUTED_VALUE"""),31445365)</f>
        <v>31445365</v>
      </c>
      <c r="G1546" s="5">
        <f t="shared" ca="1" si="72"/>
        <v>6.7768595041321749E-3</v>
      </c>
      <c r="H1546" s="14">
        <f t="shared" si="73"/>
        <v>2021</v>
      </c>
      <c r="I1546" s="5">
        <f t="shared" ca="1" si="74"/>
        <v>2.3977433004231313E-2</v>
      </c>
      <c r="J1546" s="16"/>
    </row>
    <row r="1547" spans="1:10" x14ac:dyDescent="0.2">
      <c r="A1547" s="3">
        <v>44518</v>
      </c>
      <c r="B1547" s="1">
        <f ca="1">IFERROR(__xludf.DUMMYFUNCTION("""COMPUTED_VALUE"""),368.85)</f>
        <v>368.85</v>
      </c>
      <c r="C1547" s="1">
        <f ca="1">IFERROR(__xludf.DUMMYFUNCTION("""COMPUTED_VALUE"""),370.67)</f>
        <v>370.67</v>
      </c>
      <c r="D1547" s="1">
        <f ca="1">IFERROR(__xludf.DUMMYFUNCTION("""COMPUTED_VALUE"""),358.34)</f>
        <v>358.34</v>
      </c>
      <c r="E1547" s="1">
        <f ca="1">IFERROR(__xludf.DUMMYFUNCTION("""COMPUTED_VALUE"""),365.46)</f>
        <v>365.46</v>
      </c>
      <c r="F1547" s="1">
        <f ca="1">IFERROR(__xludf.DUMMYFUNCTION("""COMPUTED_VALUE"""),20898930)</f>
        <v>20898930</v>
      </c>
      <c r="G1547" s="5">
        <f t="shared" ca="1" si="72"/>
        <v>3.7103923822032515E-2</v>
      </c>
      <c r="H1547" s="14">
        <f t="shared" si="73"/>
        <v>2021</v>
      </c>
      <c r="I1547" s="5">
        <f t="shared" ca="1" si="74"/>
        <v>-9.1907279381863716E-3</v>
      </c>
      <c r="J1547" s="16"/>
    </row>
    <row r="1548" spans="1:10" x14ac:dyDescent="0.2">
      <c r="A1548" s="3">
        <v>44519</v>
      </c>
      <c r="B1548" s="1">
        <f ca="1">IFERROR(__xludf.DUMMYFUNCTION("""COMPUTED_VALUE"""),366.29)</f>
        <v>366.29</v>
      </c>
      <c r="C1548" s="1">
        <f ca="1">IFERROR(__xludf.DUMMYFUNCTION("""COMPUTED_VALUE"""),379.57)</f>
        <v>379.57</v>
      </c>
      <c r="D1548" s="1">
        <f ca="1">IFERROR(__xludf.DUMMYFUNCTION("""COMPUTED_VALUE"""),364.23)</f>
        <v>364.23</v>
      </c>
      <c r="E1548" s="1">
        <f ca="1">IFERROR(__xludf.DUMMYFUNCTION("""COMPUTED_VALUE"""),379.02)</f>
        <v>379.02</v>
      </c>
      <c r="F1548" s="1">
        <f ca="1">IFERROR(__xludf.DUMMYFUNCTION("""COMPUTED_VALUE"""),21642258)</f>
        <v>21642258</v>
      </c>
      <c r="G1548" s="5">
        <f t="shared" ca="1" si="72"/>
        <v>1.7413329111920277E-2</v>
      </c>
      <c r="H1548" s="14">
        <f t="shared" si="73"/>
        <v>2021</v>
      </c>
      <c r="I1548" s="5">
        <f t="shared" ca="1" si="74"/>
        <v>3.4753883534903933E-2</v>
      </c>
      <c r="J1548" s="16"/>
    </row>
    <row r="1549" spans="1:10" x14ac:dyDescent="0.2">
      <c r="A1549" s="3">
        <v>44522</v>
      </c>
      <c r="B1549" s="1">
        <f ca="1">IFERROR(__xludf.DUMMYFUNCTION("""COMPUTED_VALUE"""),387.44)</f>
        <v>387.44</v>
      </c>
      <c r="C1549" s="1">
        <f ca="1">IFERROR(__xludf.DUMMYFUNCTION("""COMPUTED_VALUE"""),400.65)</f>
        <v>400.65</v>
      </c>
      <c r="D1549" s="1">
        <f ca="1">IFERROR(__xludf.DUMMYFUNCTION("""COMPUTED_VALUE"""),377.48)</f>
        <v>377.48</v>
      </c>
      <c r="E1549" s="1">
        <f ca="1">IFERROR(__xludf.DUMMYFUNCTION("""COMPUTED_VALUE"""),385.62)</f>
        <v>385.62</v>
      </c>
      <c r="F1549" s="1">
        <f ca="1">IFERROR(__xludf.DUMMYFUNCTION("""COMPUTED_VALUE"""),33072509)</f>
        <v>33072509</v>
      </c>
      <c r="G1549" s="5">
        <f t="shared" ca="1" si="72"/>
        <v>-4.1336030288885425E-2</v>
      </c>
      <c r="H1549" s="14">
        <f t="shared" si="73"/>
        <v>2021</v>
      </c>
      <c r="I1549" s="5">
        <f t="shared" ca="1" si="74"/>
        <v>-4.6975015486268668E-3</v>
      </c>
      <c r="J1549" s="16"/>
    </row>
    <row r="1550" spans="1:10" x14ac:dyDescent="0.2">
      <c r="A1550" s="3">
        <v>44523</v>
      </c>
      <c r="B1550" s="1">
        <f ca="1">IFERROR(__xludf.DUMMYFUNCTION("""COMPUTED_VALUE"""),389.17)</f>
        <v>389.17</v>
      </c>
      <c r="C1550" s="1">
        <f ca="1">IFERROR(__xludf.DUMMYFUNCTION("""COMPUTED_VALUE"""),393.5)</f>
        <v>393.5</v>
      </c>
      <c r="D1550" s="1">
        <f ca="1">IFERROR(__xludf.DUMMYFUNCTION("""COMPUTED_VALUE"""),354.23)</f>
        <v>354.23</v>
      </c>
      <c r="E1550" s="1">
        <f ca="1">IFERROR(__xludf.DUMMYFUNCTION("""COMPUTED_VALUE"""),369.68)</f>
        <v>369.68</v>
      </c>
      <c r="F1550" s="1">
        <f ca="1">IFERROR(__xludf.DUMMYFUNCTION("""COMPUTED_VALUE"""),36171700)</f>
        <v>36171700</v>
      </c>
      <c r="G1550" s="5">
        <f t="shared" ca="1" si="72"/>
        <v>6.2756979008872357E-3</v>
      </c>
      <c r="H1550" s="14">
        <f t="shared" si="73"/>
        <v>2021</v>
      </c>
      <c r="I1550" s="5">
        <f t="shared" ca="1" si="74"/>
        <v>-5.0080941490865193E-2</v>
      </c>
      <c r="J1550" s="16"/>
    </row>
    <row r="1551" spans="1:10" x14ac:dyDescent="0.2">
      <c r="A1551" s="3">
        <v>44524</v>
      </c>
      <c r="B1551" s="1">
        <f ca="1">IFERROR(__xludf.DUMMYFUNCTION("""COMPUTED_VALUE"""),360.13)</f>
        <v>360.13</v>
      </c>
      <c r="C1551" s="1">
        <f ca="1">IFERROR(__xludf.DUMMYFUNCTION("""COMPUTED_VALUE"""),377.59)</f>
        <v>377.59</v>
      </c>
      <c r="D1551" s="1">
        <f ca="1">IFERROR(__xludf.DUMMYFUNCTION("""COMPUTED_VALUE"""),354)</f>
        <v>354</v>
      </c>
      <c r="E1551" s="1">
        <f ca="1">IFERROR(__xludf.DUMMYFUNCTION("""COMPUTED_VALUE"""),372)</f>
        <v>372</v>
      </c>
      <c r="F1551" s="1">
        <f ca="1">IFERROR(__xludf.DUMMYFUNCTION("""COMPUTED_VALUE"""),22560238)</f>
        <v>22560238</v>
      </c>
      <c r="G1551" s="5">
        <f t="shared" ca="1" si="72"/>
        <v>-3.0537634408602188E-2</v>
      </c>
      <c r="H1551" s="14">
        <f t="shared" si="73"/>
        <v>2021</v>
      </c>
      <c r="I1551" s="5">
        <f t="shared" ca="1" si="74"/>
        <v>3.2960319884486174E-2</v>
      </c>
      <c r="J1551" s="16"/>
    </row>
    <row r="1552" spans="1:10" x14ac:dyDescent="0.2">
      <c r="A1552" s="3">
        <v>44526</v>
      </c>
      <c r="B1552" s="1">
        <f ca="1">IFERROR(__xludf.DUMMYFUNCTION("""COMPUTED_VALUE"""),366.49)</f>
        <v>366.49</v>
      </c>
      <c r="C1552" s="1">
        <f ca="1">IFERROR(__xludf.DUMMYFUNCTION("""COMPUTED_VALUE"""),369.59)</f>
        <v>369.59</v>
      </c>
      <c r="D1552" s="1">
        <f ca="1">IFERROR(__xludf.DUMMYFUNCTION("""COMPUTED_VALUE"""),360.33)</f>
        <v>360.33</v>
      </c>
      <c r="E1552" s="1">
        <f ca="1">IFERROR(__xludf.DUMMYFUNCTION("""COMPUTED_VALUE"""),360.64)</f>
        <v>360.64</v>
      </c>
      <c r="F1552" s="1">
        <f ca="1">IFERROR(__xludf.DUMMYFUNCTION("""COMPUTED_VALUE"""),11680890)</f>
        <v>11680890</v>
      </c>
      <c r="G1552" s="5">
        <f t="shared" ca="1" si="72"/>
        <v>5.0909494232475636E-2</v>
      </c>
      <c r="H1552" s="14">
        <f t="shared" si="73"/>
        <v>2021</v>
      </c>
      <c r="I1552" s="5">
        <f t="shared" ca="1" si="74"/>
        <v>-1.5962236350241542E-2</v>
      </c>
      <c r="J1552" s="16"/>
    </row>
    <row r="1553" spans="1:10" x14ac:dyDescent="0.2">
      <c r="A1553" s="3">
        <v>44529</v>
      </c>
      <c r="B1553" s="1">
        <f ca="1">IFERROR(__xludf.DUMMYFUNCTION("""COMPUTED_VALUE"""),367)</f>
        <v>367</v>
      </c>
      <c r="C1553" s="1">
        <f ca="1">IFERROR(__xludf.DUMMYFUNCTION("""COMPUTED_VALUE"""),380.89)</f>
        <v>380.89</v>
      </c>
      <c r="D1553" s="1">
        <f ca="1">IFERROR(__xludf.DUMMYFUNCTION("""COMPUTED_VALUE"""),366.73)</f>
        <v>366.73</v>
      </c>
      <c r="E1553" s="1">
        <f ca="1">IFERROR(__xludf.DUMMYFUNCTION("""COMPUTED_VALUE"""),379)</f>
        <v>379</v>
      </c>
      <c r="F1553" s="1">
        <f ca="1">IFERROR(__xludf.DUMMYFUNCTION("""COMPUTED_VALUE"""),19464467)</f>
        <v>19464467</v>
      </c>
      <c r="G1553" s="5">
        <f t="shared" ca="1" si="72"/>
        <v>6.8337730870711745E-3</v>
      </c>
      <c r="H1553" s="14">
        <f t="shared" si="73"/>
        <v>2021</v>
      </c>
      <c r="I1553" s="5">
        <f t="shared" ca="1" si="74"/>
        <v>3.2697547683923703E-2</v>
      </c>
      <c r="J1553" s="16"/>
    </row>
    <row r="1554" spans="1:10" x14ac:dyDescent="0.2">
      <c r="A1554" s="3">
        <v>44530</v>
      </c>
      <c r="B1554" s="1">
        <f ca="1">IFERROR(__xludf.DUMMYFUNCTION("""COMPUTED_VALUE"""),381.46)</f>
        <v>381.46</v>
      </c>
      <c r="C1554" s="1">
        <f ca="1">IFERROR(__xludf.DUMMYFUNCTION("""COMPUTED_VALUE"""),389.33)</f>
        <v>389.33</v>
      </c>
      <c r="D1554" s="1">
        <f ca="1">IFERROR(__xludf.DUMMYFUNCTION("""COMPUTED_VALUE"""),372.67)</f>
        <v>372.67</v>
      </c>
      <c r="E1554" s="1">
        <f ca="1">IFERROR(__xludf.DUMMYFUNCTION("""COMPUTED_VALUE"""),381.59)</f>
        <v>381.59</v>
      </c>
      <c r="F1554" s="1">
        <f ca="1">IFERROR(__xludf.DUMMYFUNCTION("""COMPUTED_VALUE"""),27092038)</f>
        <v>27092038</v>
      </c>
      <c r="G1554" s="5">
        <f t="shared" ca="1" si="72"/>
        <v>-4.3475982075001904E-2</v>
      </c>
      <c r="H1554" s="14">
        <f t="shared" si="73"/>
        <v>2021</v>
      </c>
      <c r="I1554" s="5">
        <f t="shared" ca="1" si="74"/>
        <v>3.4079588947725961E-4</v>
      </c>
      <c r="J1554" s="16"/>
    </row>
    <row r="1555" spans="1:10" x14ac:dyDescent="0.2">
      <c r="A1555" s="3">
        <v>44531</v>
      </c>
      <c r="B1555" s="1">
        <f ca="1">IFERROR(__xludf.DUMMYFUNCTION("""COMPUTED_VALUE"""),386.9)</f>
        <v>386.9</v>
      </c>
      <c r="C1555" s="1">
        <f ca="1">IFERROR(__xludf.DUMMYFUNCTION("""COMPUTED_VALUE"""),390.95)</f>
        <v>390.95</v>
      </c>
      <c r="D1555" s="1">
        <f ca="1">IFERROR(__xludf.DUMMYFUNCTION("""COMPUTED_VALUE"""),363.59)</f>
        <v>363.59</v>
      </c>
      <c r="E1555" s="1">
        <f ca="1">IFERROR(__xludf.DUMMYFUNCTION("""COMPUTED_VALUE"""),365)</f>
        <v>365</v>
      </c>
      <c r="F1555" s="1">
        <f ca="1">IFERROR(__xludf.DUMMYFUNCTION("""COMPUTED_VALUE"""),22934698)</f>
        <v>22934698</v>
      </c>
      <c r="G1555" s="5">
        <f t="shared" ca="1" si="72"/>
        <v>-9.506849315068568E-3</v>
      </c>
      <c r="H1555" s="14">
        <f t="shared" si="73"/>
        <v>2021</v>
      </c>
      <c r="I1555" s="5">
        <f t="shared" ca="1" si="74"/>
        <v>-5.6603773584905606E-2</v>
      </c>
      <c r="J1555" s="16"/>
    </row>
    <row r="1556" spans="1:10" x14ac:dyDescent="0.2">
      <c r="A1556" s="3">
        <v>44532</v>
      </c>
      <c r="B1556" s="1">
        <f ca="1">IFERROR(__xludf.DUMMYFUNCTION("""COMPUTED_VALUE"""),366.35)</f>
        <v>366.35</v>
      </c>
      <c r="C1556" s="1">
        <f ca="1">IFERROR(__xludf.DUMMYFUNCTION("""COMPUTED_VALUE"""),371)</f>
        <v>371</v>
      </c>
      <c r="D1556" s="1">
        <f ca="1">IFERROR(__xludf.DUMMYFUNCTION("""COMPUTED_VALUE"""),352.22)</f>
        <v>352.22</v>
      </c>
      <c r="E1556" s="1">
        <f ca="1">IFERROR(__xludf.DUMMYFUNCTION("""COMPUTED_VALUE"""),361.53)</f>
        <v>361.53</v>
      </c>
      <c r="F1556" s="1">
        <f ca="1">IFERROR(__xludf.DUMMYFUNCTION("""COMPUTED_VALUE"""),24371623)</f>
        <v>24371623</v>
      </c>
      <c r="G1556" s="5">
        <f t="shared" ca="1" si="72"/>
        <v>-6.4199374878986484E-2</v>
      </c>
      <c r="H1556" s="14">
        <f t="shared" si="73"/>
        <v>2021</v>
      </c>
      <c r="I1556" s="5">
        <f t="shared" ca="1" si="74"/>
        <v>-1.315681725126259E-2</v>
      </c>
      <c r="J1556" s="16"/>
    </row>
    <row r="1557" spans="1:10" x14ac:dyDescent="0.2">
      <c r="A1557" s="3">
        <v>44533</v>
      </c>
      <c r="B1557" s="1">
        <f ca="1">IFERROR(__xludf.DUMMYFUNCTION("""COMPUTED_VALUE"""),361.6)</f>
        <v>361.6</v>
      </c>
      <c r="C1557" s="1">
        <f ca="1">IFERROR(__xludf.DUMMYFUNCTION("""COMPUTED_VALUE"""),363.53)</f>
        <v>363.53</v>
      </c>
      <c r="D1557" s="1">
        <f ca="1">IFERROR(__xludf.DUMMYFUNCTION("""COMPUTED_VALUE"""),333.4)</f>
        <v>333.4</v>
      </c>
      <c r="E1557" s="1">
        <f ca="1">IFERROR(__xludf.DUMMYFUNCTION("""COMPUTED_VALUE"""),338.32)</f>
        <v>338.32</v>
      </c>
      <c r="F1557" s="1">
        <f ca="1">IFERROR(__xludf.DUMMYFUNCTION("""COMPUTED_VALUE"""),30773995)</f>
        <v>30773995</v>
      </c>
      <c r="G1557" s="5">
        <f t="shared" ca="1" si="72"/>
        <v>-5.8524473870892003E-3</v>
      </c>
      <c r="H1557" s="14">
        <f t="shared" si="73"/>
        <v>2021</v>
      </c>
      <c r="I1557" s="5">
        <f t="shared" ca="1" si="74"/>
        <v>-6.4380530973451408E-2</v>
      </c>
      <c r="J1557" s="16"/>
    </row>
    <row r="1558" spans="1:10" x14ac:dyDescent="0.2">
      <c r="A1558" s="3">
        <v>44536</v>
      </c>
      <c r="B1558" s="1">
        <f ca="1">IFERROR(__xludf.DUMMYFUNCTION("""COMPUTED_VALUE"""),333.84)</f>
        <v>333.84</v>
      </c>
      <c r="C1558" s="1">
        <f ca="1">IFERROR(__xludf.DUMMYFUNCTION("""COMPUTED_VALUE"""),340.55)</f>
        <v>340.55</v>
      </c>
      <c r="D1558" s="1">
        <f ca="1">IFERROR(__xludf.DUMMYFUNCTION("""COMPUTED_VALUE"""),316.83)</f>
        <v>316.83</v>
      </c>
      <c r="E1558" s="1">
        <f ca="1">IFERROR(__xludf.DUMMYFUNCTION("""COMPUTED_VALUE"""),336.34)</f>
        <v>336.34</v>
      </c>
      <c r="F1558" s="1">
        <f ca="1">IFERROR(__xludf.DUMMYFUNCTION("""COMPUTED_VALUE"""),27221037)</f>
        <v>27221037</v>
      </c>
      <c r="G1558" s="5">
        <f t="shared" ca="1" si="72"/>
        <v>4.2338110245584856E-2</v>
      </c>
      <c r="H1558" s="14">
        <f t="shared" si="73"/>
        <v>2021</v>
      </c>
      <c r="I1558" s="5">
        <f t="shared" ca="1" si="74"/>
        <v>7.4886173017014142E-3</v>
      </c>
      <c r="J1558" s="16"/>
    </row>
    <row r="1559" spans="1:10" x14ac:dyDescent="0.2">
      <c r="A1559" s="3">
        <v>44537</v>
      </c>
      <c r="B1559" s="1">
        <f ca="1">IFERROR(__xludf.DUMMYFUNCTION("""COMPUTED_VALUE"""),348.07)</f>
        <v>348.07</v>
      </c>
      <c r="C1559" s="1">
        <f ca="1">IFERROR(__xludf.DUMMYFUNCTION("""COMPUTED_VALUE"""),352.56)</f>
        <v>352.56</v>
      </c>
      <c r="D1559" s="1">
        <f ca="1">IFERROR(__xludf.DUMMYFUNCTION("""COMPUTED_VALUE"""),342.27)</f>
        <v>342.27</v>
      </c>
      <c r="E1559" s="1">
        <f ca="1">IFERROR(__xludf.DUMMYFUNCTION("""COMPUTED_VALUE"""),350.58)</f>
        <v>350.58</v>
      </c>
      <c r="F1559" s="1">
        <f ca="1">IFERROR(__xludf.DUMMYFUNCTION("""COMPUTED_VALUE"""),18694857)</f>
        <v>18694857</v>
      </c>
      <c r="G1559" s="5">
        <f t="shared" ca="1" si="72"/>
        <v>1.6372867819042757E-2</v>
      </c>
      <c r="H1559" s="14">
        <f t="shared" si="73"/>
        <v>2021</v>
      </c>
      <c r="I1559" s="5">
        <f t="shared" ca="1" si="74"/>
        <v>7.2111931508029737E-3</v>
      </c>
      <c r="J1559" s="16"/>
    </row>
    <row r="1560" spans="1:10" x14ac:dyDescent="0.2">
      <c r="A1560" s="3">
        <v>44538</v>
      </c>
      <c r="B1560" s="1">
        <f ca="1">IFERROR(__xludf.DUMMYFUNCTION("""COMPUTED_VALUE"""),350.9)</f>
        <v>350.9</v>
      </c>
      <c r="C1560" s="1">
        <f ca="1">IFERROR(__xludf.DUMMYFUNCTION("""COMPUTED_VALUE"""),357.46)</f>
        <v>357.46</v>
      </c>
      <c r="D1560" s="1">
        <f ca="1">IFERROR(__xludf.DUMMYFUNCTION("""COMPUTED_VALUE"""),344.33)</f>
        <v>344.33</v>
      </c>
      <c r="E1560" s="1">
        <f ca="1">IFERROR(__xludf.DUMMYFUNCTION("""COMPUTED_VALUE"""),356.32)</f>
        <v>356.32</v>
      </c>
      <c r="F1560" s="1">
        <f ca="1">IFERROR(__xludf.DUMMYFUNCTION("""COMPUTED_VALUE"""),13968790)</f>
        <v>13968790</v>
      </c>
      <c r="G1560" s="5">
        <f t="shared" ca="1" si="72"/>
        <v>-6.0956443646160673E-2</v>
      </c>
      <c r="H1560" s="14">
        <f t="shared" si="73"/>
        <v>2021</v>
      </c>
      <c r="I1560" s="5">
        <f t="shared" ca="1" si="74"/>
        <v>1.544599601025938E-2</v>
      </c>
      <c r="J1560" s="16"/>
    </row>
    <row r="1561" spans="1:10" x14ac:dyDescent="0.2">
      <c r="A1561" s="3">
        <v>44539</v>
      </c>
      <c r="B1561" s="1">
        <f ca="1">IFERROR(__xludf.DUMMYFUNCTION("""COMPUTED_VALUE"""),353.55)</f>
        <v>353.55</v>
      </c>
      <c r="C1561" s="1">
        <f ca="1">IFERROR(__xludf.DUMMYFUNCTION("""COMPUTED_VALUE"""),354.16)</f>
        <v>354.16</v>
      </c>
      <c r="D1561" s="1">
        <f ca="1">IFERROR(__xludf.DUMMYFUNCTION("""COMPUTED_VALUE"""),334.12)</f>
        <v>334.12</v>
      </c>
      <c r="E1561" s="1">
        <f ca="1">IFERROR(__xludf.DUMMYFUNCTION("""COMPUTED_VALUE"""),334.6)</f>
        <v>334.6</v>
      </c>
      <c r="F1561" s="1">
        <f ca="1">IFERROR(__xludf.DUMMYFUNCTION("""COMPUTED_VALUE"""),19812832)</f>
        <v>19812832</v>
      </c>
      <c r="G1561" s="5">
        <f t="shared" ca="1" si="72"/>
        <v>1.3179916317991536E-2</v>
      </c>
      <c r="H1561" s="14">
        <f t="shared" si="73"/>
        <v>2021</v>
      </c>
      <c r="I1561" s="5">
        <f t="shared" ca="1" si="74"/>
        <v>-5.3599208032810035E-2</v>
      </c>
      <c r="J1561" s="16"/>
    </row>
    <row r="1562" spans="1:10" x14ac:dyDescent="0.2">
      <c r="A1562" s="3">
        <v>44540</v>
      </c>
      <c r="B1562" s="1">
        <f ca="1">IFERROR(__xludf.DUMMYFUNCTION("""COMPUTED_VALUE"""),336.25)</f>
        <v>336.25</v>
      </c>
      <c r="C1562" s="1">
        <f ca="1">IFERROR(__xludf.DUMMYFUNCTION("""COMPUTED_VALUE"""),340.33)</f>
        <v>340.33</v>
      </c>
      <c r="D1562" s="1">
        <f ca="1">IFERROR(__xludf.DUMMYFUNCTION("""COMPUTED_VALUE"""),327.51)</f>
        <v>327.51</v>
      </c>
      <c r="E1562" s="1">
        <f ca="1">IFERROR(__xludf.DUMMYFUNCTION("""COMPUTED_VALUE"""),339.01)</f>
        <v>339.01</v>
      </c>
      <c r="F1562" s="1">
        <f ca="1">IFERROR(__xludf.DUMMYFUNCTION("""COMPUTED_VALUE"""),19888122)</f>
        <v>19888122</v>
      </c>
      <c r="G1562" s="5">
        <f t="shared" ca="1" si="72"/>
        <v>-4.9762543877761731E-2</v>
      </c>
      <c r="H1562" s="14">
        <f t="shared" si="73"/>
        <v>2021</v>
      </c>
      <c r="I1562" s="5">
        <f t="shared" ca="1" si="74"/>
        <v>8.2081784386616834E-3</v>
      </c>
      <c r="J1562" s="16"/>
    </row>
    <row r="1563" spans="1:10" x14ac:dyDescent="0.2">
      <c r="A1563" s="3">
        <v>44543</v>
      </c>
      <c r="B1563" s="1">
        <f ca="1">IFERROR(__xludf.DUMMYFUNCTION("""COMPUTED_VALUE"""),333.7)</f>
        <v>333.7</v>
      </c>
      <c r="C1563" s="1">
        <f ca="1">IFERROR(__xludf.DUMMYFUNCTION("""COMPUTED_VALUE"""),335)</f>
        <v>335</v>
      </c>
      <c r="D1563" s="1">
        <f ca="1">IFERROR(__xludf.DUMMYFUNCTION("""COMPUTED_VALUE"""),317.14)</f>
        <v>317.14</v>
      </c>
      <c r="E1563" s="1">
        <f ca="1">IFERROR(__xludf.DUMMYFUNCTION("""COMPUTED_VALUE"""),322.14)</f>
        <v>322.14</v>
      </c>
      <c r="F1563" s="1">
        <f ca="1">IFERROR(__xludf.DUMMYFUNCTION("""COMPUTED_VALUE"""),26198502)</f>
        <v>26198502</v>
      </c>
      <c r="G1563" s="5">
        <f t="shared" ca="1" si="72"/>
        <v>-8.1951946358725606E-3</v>
      </c>
      <c r="H1563" s="14">
        <f t="shared" si="73"/>
        <v>2021</v>
      </c>
      <c r="I1563" s="5">
        <f t="shared" ca="1" si="74"/>
        <v>-3.4641893916691646E-2</v>
      </c>
      <c r="J1563" s="16"/>
    </row>
    <row r="1564" spans="1:10" x14ac:dyDescent="0.2">
      <c r="A1564" s="3">
        <v>44544</v>
      </c>
      <c r="B1564" s="1">
        <f ca="1">IFERROR(__xludf.DUMMYFUNCTION("""COMPUTED_VALUE"""),315)</f>
        <v>315</v>
      </c>
      <c r="C1564" s="1">
        <f ca="1">IFERROR(__xludf.DUMMYFUNCTION("""COMPUTED_VALUE"""),322.14)</f>
        <v>322.14</v>
      </c>
      <c r="D1564" s="1">
        <f ca="1">IFERROR(__xludf.DUMMYFUNCTION("""COMPUTED_VALUE"""),310)</f>
        <v>310</v>
      </c>
      <c r="E1564" s="1">
        <f ca="1">IFERROR(__xludf.DUMMYFUNCTION("""COMPUTED_VALUE"""),319.5)</f>
        <v>319.5</v>
      </c>
      <c r="F1564" s="1">
        <f ca="1">IFERROR(__xludf.DUMMYFUNCTION("""COMPUTED_VALUE"""),23602090)</f>
        <v>23602090</v>
      </c>
      <c r="G1564" s="5">
        <f t="shared" ca="1" si="72"/>
        <v>1.8247261345852844E-2</v>
      </c>
      <c r="H1564" s="14">
        <f t="shared" si="73"/>
        <v>2021</v>
      </c>
      <c r="I1564" s="5">
        <f t="shared" ca="1" si="74"/>
        <v>1.4285714285714285E-2</v>
      </c>
      <c r="J1564" s="16"/>
    </row>
    <row r="1565" spans="1:10" x14ac:dyDescent="0.2">
      <c r="A1565" s="3">
        <v>44545</v>
      </c>
      <c r="B1565" s="1">
        <f ca="1">IFERROR(__xludf.DUMMYFUNCTION("""COMPUTED_VALUE"""),317.74)</f>
        <v>317.74</v>
      </c>
      <c r="C1565" s="1">
        <f ca="1">IFERROR(__xludf.DUMMYFUNCTION("""COMPUTED_VALUE"""),326.25)</f>
        <v>326.25</v>
      </c>
      <c r="D1565" s="1">
        <f ca="1">IFERROR(__xludf.DUMMYFUNCTION("""COMPUTED_VALUE"""),309.42)</f>
        <v>309.42</v>
      </c>
      <c r="E1565" s="1">
        <f ca="1">IFERROR(__xludf.DUMMYFUNCTION("""COMPUTED_VALUE"""),325.33)</f>
        <v>325.33</v>
      </c>
      <c r="F1565" s="1">
        <f ca="1">IFERROR(__xludf.DUMMYFUNCTION("""COMPUTED_VALUE"""),25056410)</f>
        <v>25056410</v>
      </c>
      <c r="G1565" s="5">
        <f t="shared" ca="1" si="72"/>
        <v>-5.0287400485660584E-2</v>
      </c>
      <c r="H1565" s="14">
        <f t="shared" si="73"/>
        <v>2021</v>
      </c>
      <c r="I1565" s="5">
        <f t="shared" ca="1" si="74"/>
        <v>2.3887455152010999E-2</v>
      </c>
      <c r="J1565" s="16"/>
    </row>
    <row r="1566" spans="1:10" x14ac:dyDescent="0.2">
      <c r="A1566" s="3">
        <v>44546</v>
      </c>
      <c r="B1566" s="1">
        <f ca="1">IFERROR(__xludf.DUMMYFUNCTION("""COMPUTED_VALUE"""),331.5)</f>
        <v>331.5</v>
      </c>
      <c r="C1566" s="1">
        <f ca="1">IFERROR(__xludf.DUMMYFUNCTION("""COMPUTED_VALUE"""),331.66)</f>
        <v>331.66</v>
      </c>
      <c r="D1566" s="1">
        <f ca="1">IFERROR(__xludf.DUMMYFUNCTION("""COMPUTED_VALUE"""),307.28)</f>
        <v>307.27999999999997</v>
      </c>
      <c r="E1566" s="1">
        <f ca="1">IFERROR(__xludf.DUMMYFUNCTION("""COMPUTED_VALUE"""),308.97)</f>
        <v>308.97000000000003</v>
      </c>
      <c r="F1566" s="1">
        <f ca="1">IFERROR(__xludf.DUMMYFUNCTION("""COMPUTED_VALUE"""),27590483)</f>
        <v>27590483</v>
      </c>
      <c r="G1566" s="5">
        <f t="shared" ca="1" si="72"/>
        <v>6.117098747451164E-3</v>
      </c>
      <c r="H1566" s="14">
        <f t="shared" si="73"/>
        <v>2021</v>
      </c>
      <c r="I1566" s="5">
        <f t="shared" ca="1" si="74"/>
        <v>-6.7963800904977292E-2</v>
      </c>
      <c r="J1566" s="16"/>
    </row>
    <row r="1567" spans="1:10" x14ac:dyDescent="0.2">
      <c r="A1567" s="3">
        <v>44547</v>
      </c>
      <c r="B1567" s="1">
        <f ca="1">IFERROR(__xludf.DUMMYFUNCTION("""COMPUTED_VALUE"""),304.92)</f>
        <v>304.92</v>
      </c>
      <c r="C1567" s="1">
        <f ca="1">IFERROR(__xludf.DUMMYFUNCTION("""COMPUTED_VALUE"""),320.22)</f>
        <v>320.22000000000003</v>
      </c>
      <c r="D1567" s="1">
        <f ca="1">IFERROR(__xludf.DUMMYFUNCTION("""COMPUTED_VALUE"""),303.01)</f>
        <v>303.01</v>
      </c>
      <c r="E1567" s="1">
        <f ca="1">IFERROR(__xludf.DUMMYFUNCTION("""COMPUTED_VALUE"""),310.86)</f>
        <v>310.86</v>
      </c>
      <c r="F1567" s="1">
        <f ca="1">IFERROR(__xludf.DUMMYFUNCTION("""COMPUTED_VALUE"""),33626754)</f>
        <v>33626754</v>
      </c>
      <c r="G1567" s="5">
        <f t="shared" ca="1" si="72"/>
        <v>-3.4999678311780205E-2</v>
      </c>
      <c r="H1567" s="14">
        <f t="shared" si="73"/>
        <v>2021</v>
      </c>
      <c r="I1567" s="5">
        <f t="shared" ca="1" si="74"/>
        <v>1.9480519480519473E-2</v>
      </c>
      <c r="J1567" s="16"/>
    </row>
    <row r="1568" spans="1:10" x14ac:dyDescent="0.2">
      <c r="A1568" s="3">
        <v>44550</v>
      </c>
      <c r="B1568" s="1">
        <f ca="1">IFERROR(__xludf.DUMMYFUNCTION("""COMPUTED_VALUE"""),303.57)</f>
        <v>303.57</v>
      </c>
      <c r="C1568" s="1">
        <f ca="1">IFERROR(__xludf.DUMMYFUNCTION("""COMPUTED_VALUE"""),307.23)</f>
        <v>307.23</v>
      </c>
      <c r="D1568" s="1">
        <f ca="1">IFERROR(__xludf.DUMMYFUNCTION("""COMPUTED_VALUE"""),297.8)</f>
        <v>297.8</v>
      </c>
      <c r="E1568" s="1">
        <f ca="1">IFERROR(__xludf.DUMMYFUNCTION("""COMPUTED_VALUE"""),299.98)</f>
        <v>299.98</v>
      </c>
      <c r="F1568" s="1">
        <f ca="1">IFERROR(__xludf.DUMMYFUNCTION("""COMPUTED_VALUE"""),18826671)</f>
        <v>18826671</v>
      </c>
      <c r="G1568" s="5">
        <f t="shared" ca="1" si="72"/>
        <v>4.2869524634975516E-2</v>
      </c>
      <c r="H1568" s="14">
        <f t="shared" si="73"/>
        <v>2021</v>
      </c>
      <c r="I1568" s="5">
        <f t="shared" ca="1" si="74"/>
        <v>-1.1825938004414057E-2</v>
      </c>
      <c r="J1568" s="16"/>
    </row>
    <row r="1569" spans="1:10" x14ac:dyDescent="0.2">
      <c r="A1569" s="3">
        <v>44551</v>
      </c>
      <c r="B1569" s="1">
        <f ca="1">IFERROR(__xludf.DUMMYFUNCTION("""COMPUTED_VALUE"""),305.62)</f>
        <v>305.62</v>
      </c>
      <c r="C1569" s="1">
        <f ca="1">IFERROR(__xludf.DUMMYFUNCTION("""COMPUTED_VALUE"""),313.17)</f>
        <v>313.17</v>
      </c>
      <c r="D1569" s="1">
        <f ca="1">IFERROR(__xludf.DUMMYFUNCTION("""COMPUTED_VALUE"""),295.37)</f>
        <v>295.37</v>
      </c>
      <c r="E1569" s="1">
        <f ca="1">IFERROR(__xludf.DUMMYFUNCTION("""COMPUTED_VALUE"""),312.84)</f>
        <v>312.83999999999997</v>
      </c>
      <c r="F1569" s="1">
        <f ca="1">IFERROR(__xludf.DUMMYFUNCTION("""COMPUTED_VALUE"""),23839305)</f>
        <v>23839305</v>
      </c>
      <c r="G1569" s="5">
        <f t="shared" ca="1" si="72"/>
        <v>7.4958445211609923E-2</v>
      </c>
      <c r="H1569" s="14">
        <f t="shared" si="73"/>
        <v>2021</v>
      </c>
      <c r="I1569" s="5">
        <f t="shared" ca="1" si="74"/>
        <v>2.3624108369870986E-2</v>
      </c>
      <c r="J1569" s="16"/>
    </row>
    <row r="1570" spans="1:10" x14ac:dyDescent="0.2">
      <c r="A1570" s="3">
        <v>44552</v>
      </c>
      <c r="B1570" s="1">
        <f ca="1">IFERROR(__xludf.DUMMYFUNCTION("""COMPUTED_VALUE"""),321.89)</f>
        <v>321.89</v>
      </c>
      <c r="C1570" s="1">
        <f ca="1">IFERROR(__xludf.DUMMYFUNCTION("""COMPUTED_VALUE"""),338.55)</f>
        <v>338.55</v>
      </c>
      <c r="D1570" s="1">
        <f ca="1">IFERROR(__xludf.DUMMYFUNCTION("""COMPUTED_VALUE"""),319.02)</f>
        <v>319.02</v>
      </c>
      <c r="E1570" s="1">
        <f ca="1">IFERROR(__xludf.DUMMYFUNCTION("""COMPUTED_VALUE"""),336.29)</f>
        <v>336.29</v>
      </c>
      <c r="F1570" s="1">
        <f ca="1">IFERROR(__xludf.DUMMYFUNCTION("""COMPUTED_VALUE"""),31211362)</f>
        <v>31211362</v>
      </c>
      <c r="G1570" s="5">
        <f t="shared" ca="1" si="72"/>
        <v>5.7628832257872652E-2</v>
      </c>
      <c r="H1570" s="14">
        <f t="shared" si="73"/>
        <v>2021</v>
      </c>
      <c r="I1570" s="5">
        <f t="shared" ca="1" si="74"/>
        <v>4.4735779303488876E-2</v>
      </c>
      <c r="J1570" s="16"/>
    </row>
    <row r="1571" spans="1:10" x14ac:dyDescent="0.2">
      <c r="A1571" s="3">
        <v>44553</v>
      </c>
      <c r="B1571" s="1">
        <f ca="1">IFERROR(__xludf.DUMMYFUNCTION("""COMPUTED_VALUE"""),335.6)</f>
        <v>335.6</v>
      </c>
      <c r="C1571" s="1">
        <f ca="1">IFERROR(__xludf.DUMMYFUNCTION("""COMPUTED_VALUE"""),357.66)</f>
        <v>357.66</v>
      </c>
      <c r="D1571" s="1">
        <f ca="1">IFERROR(__xludf.DUMMYFUNCTION("""COMPUTED_VALUE"""),332.52)</f>
        <v>332.52</v>
      </c>
      <c r="E1571" s="1">
        <f ca="1">IFERROR(__xludf.DUMMYFUNCTION("""COMPUTED_VALUE"""),355.67)</f>
        <v>355.67</v>
      </c>
      <c r="F1571" s="1">
        <f ca="1">IFERROR(__xludf.DUMMYFUNCTION("""COMPUTED_VALUE"""),30904429)</f>
        <v>30904429</v>
      </c>
      <c r="G1571" s="5">
        <f t="shared" ca="1" si="72"/>
        <v>2.5248123260325474E-2</v>
      </c>
      <c r="H1571" s="14">
        <f t="shared" si="73"/>
        <v>2021</v>
      </c>
      <c r="I1571" s="5">
        <f t="shared" ca="1" si="74"/>
        <v>5.9803337306317018E-2</v>
      </c>
      <c r="J1571" s="16"/>
    </row>
    <row r="1572" spans="1:10" x14ac:dyDescent="0.2">
      <c r="A1572" s="3">
        <v>44557</v>
      </c>
      <c r="B1572" s="1">
        <f ca="1">IFERROR(__xludf.DUMMYFUNCTION("""COMPUTED_VALUE"""),357.89)</f>
        <v>357.89</v>
      </c>
      <c r="C1572" s="1">
        <f ca="1">IFERROR(__xludf.DUMMYFUNCTION("""COMPUTED_VALUE"""),372.33)</f>
        <v>372.33</v>
      </c>
      <c r="D1572" s="1">
        <f ca="1">IFERROR(__xludf.DUMMYFUNCTION("""COMPUTED_VALUE"""),356.91)</f>
        <v>356.91</v>
      </c>
      <c r="E1572" s="1">
        <f ca="1">IFERROR(__xludf.DUMMYFUNCTION("""COMPUTED_VALUE"""),364.65)</f>
        <v>364.65</v>
      </c>
      <c r="F1572" s="1">
        <f ca="1">IFERROR(__xludf.DUMMYFUNCTION("""COMPUTED_VALUE"""),23715273)</f>
        <v>23715273</v>
      </c>
      <c r="G1572" s="5">
        <f t="shared" ca="1" si="72"/>
        <v>-5.0185109008637988E-3</v>
      </c>
      <c r="H1572" s="14">
        <f t="shared" si="73"/>
        <v>2021</v>
      </c>
      <c r="I1572" s="5">
        <f t="shared" ca="1" si="74"/>
        <v>1.8888485288775857E-2</v>
      </c>
      <c r="J1572" s="16"/>
    </row>
    <row r="1573" spans="1:10" x14ac:dyDescent="0.2">
      <c r="A1573" s="3">
        <v>44558</v>
      </c>
      <c r="B1573" s="1">
        <f ca="1">IFERROR(__xludf.DUMMYFUNCTION("""COMPUTED_VALUE"""),369.83)</f>
        <v>369.83</v>
      </c>
      <c r="C1573" s="1">
        <f ca="1">IFERROR(__xludf.DUMMYFUNCTION("""COMPUTED_VALUE"""),373)</f>
        <v>373</v>
      </c>
      <c r="D1573" s="1">
        <f ca="1">IFERROR(__xludf.DUMMYFUNCTION("""COMPUTED_VALUE"""),359.47)</f>
        <v>359.47</v>
      </c>
      <c r="E1573" s="1">
        <f ca="1">IFERROR(__xludf.DUMMYFUNCTION("""COMPUTED_VALUE"""),362.82)</f>
        <v>362.82</v>
      </c>
      <c r="F1573" s="1">
        <f ca="1">IFERROR(__xludf.DUMMYFUNCTION("""COMPUTED_VALUE"""),20107969)</f>
        <v>20107969</v>
      </c>
      <c r="G1573" s="5">
        <f t="shared" ca="1" si="72"/>
        <v>-2.0947026073534834E-3</v>
      </c>
      <c r="H1573" s="14">
        <f t="shared" si="73"/>
        <v>2021</v>
      </c>
      <c r="I1573" s="5">
        <f t="shared" ca="1" si="74"/>
        <v>-1.89546548414136E-2</v>
      </c>
      <c r="J1573" s="16"/>
    </row>
    <row r="1574" spans="1:10" x14ac:dyDescent="0.2">
      <c r="A1574" s="3">
        <v>44559</v>
      </c>
      <c r="B1574" s="1">
        <f ca="1">IFERROR(__xludf.DUMMYFUNCTION("""COMPUTED_VALUE"""),366.21)</f>
        <v>366.21</v>
      </c>
      <c r="C1574" s="1">
        <f ca="1">IFERROR(__xludf.DUMMYFUNCTION("""COMPUTED_VALUE"""),368)</f>
        <v>368</v>
      </c>
      <c r="D1574" s="1">
        <f ca="1">IFERROR(__xludf.DUMMYFUNCTION("""COMPUTED_VALUE"""),354.71)</f>
        <v>354.71</v>
      </c>
      <c r="E1574" s="1">
        <f ca="1">IFERROR(__xludf.DUMMYFUNCTION("""COMPUTED_VALUE"""),362.06)</f>
        <v>362.06</v>
      </c>
      <c r="F1574" s="1">
        <f ca="1">IFERROR(__xludf.DUMMYFUNCTION("""COMPUTED_VALUE"""),18718015)</f>
        <v>18718015</v>
      </c>
      <c r="G1574" s="5">
        <f t="shared" ca="1" si="72"/>
        <v>-1.458321825111868E-2</v>
      </c>
      <c r="H1574" s="14">
        <f t="shared" si="73"/>
        <v>2021</v>
      </c>
      <c r="I1574" s="5">
        <f t="shared" ca="1" si="74"/>
        <v>-1.133229567734354E-2</v>
      </c>
      <c r="J1574" s="16"/>
    </row>
    <row r="1575" spans="1:10" x14ac:dyDescent="0.2">
      <c r="A1575" s="3">
        <v>44560</v>
      </c>
      <c r="B1575" s="1">
        <f ca="1">IFERROR(__xludf.DUMMYFUNCTION("""COMPUTED_VALUE"""),353.78)</f>
        <v>353.78</v>
      </c>
      <c r="C1575" s="1">
        <f ca="1">IFERROR(__xludf.DUMMYFUNCTION("""COMPUTED_VALUE"""),365.18)</f>
        <v>365.18</v>
      </c>
      <c r="D1575" s="1">
        <f ca="1">IFERROR(__xludf.DUMMYFUNCTION("""COMPUTED_VALUE"""),351.05)</f>
        <v>351.05</v>
      </c>
      <c r="E1575" s="1">
        <f ca="1">IFERROR(__xludf.DUMMYFUNCTION("""COMPUTED_VALUE"""),356.78)</f>
        <v>356.78</v>
      </c>
      <c r="F1575" s="1">
        <f ca="1">IFERROR(__xludf.DUMMYFUNCTION("""COMPUTED_VALUE"""),15680313)</f>
        <v>15680313</v>
      </c>
      <c r="G1575" s="5">
        <f t="shared" ca="1" si="72"/>
        <v>-1.2668871573518646E-2</v>
      </c>
      <c r="H1575" s="14">
        <f t="shared" si="73"/>
        <v>2021</v>
      </c>
      <c r="I1575" s="5">
        <f t="shared" ca="1" si="74"/>
        <v>8.4798462321216579E-3</v>
      </c>
      <c r="J1575" s="16"/>
    </row>
    <row r="1576" spans="1:10" x14ac:dyDescent="0.2">
      <c r="A1576" s="3">
        <v>44561</v>
      </c>
      <c r="B1576" s="1">
        <f ca="1">IFERROR(__xludf.DUMMYFUNCTION("""COMPUTED_VALUE"""),357.81)</f>
        <v>357.81</v>
      </c>
      <c r="C1576" s="1">
        <f ca="1">IFERROR(__xludf.DUMMYFUNCTION("""COMPUTED_VALUE"""),360.67)</f>
        <v>360.67</v>
      </c>
      <c r="D1576" s="1">
        <f ca="1">IFERROR(__xludf.DUMMYFUNCTION("""COMPUTED_VALUE"""),351.53)</f>
        <v>351.53</v>
      </c>
      <c r="E1576" s="1">
        <f ca="1">IFERROR(__xludf.DUMMYFUNCTION("""COMPUTED_VALUE"""),352.26)</f>
        <v>352.26</v>
      </c>
      <c r="F1576" s="1">
        <f ca="1">IFERROR(__xludf.DUMMYFUNCTION("""COMPUTED_VALUE"""),13577875)</f>
        <v>13577875</v>
      </c>
      <c r="G1576" s="5">
        <f t="shared" ca="1" si="72"/>
        <v>0.13532617952648618</v>
      </c>
      <c r="H1576" s="14">
        <f t="shared" si="73"/>
        <v>2021</v>
      </c>
      <c r="I1576" s="5">
        <f t="shared" ca="1" si="74"/>
        <v>-1.5511025404544344E-2</v>
      </c>
      <c r="J1576" s="16"/>
    </row>
    <row r="1577" spans="1:10" x14ac:dyDescent="0.2">
      <c r="A1577" s="3">
        <v>44564</v>
      </c>
      <c r="B1577" s="1">
        <f ca="1">IFERROR(__xludf.DUMMYFUNCTION("""COMPUTED_VALUE"""),382.58)</f>
        <v>382.58</v>
      </c>
      <c r="C1577" s="1">
        <f ca="1">IFERROR(__xludf.DUMMYFUNCTION("""COMPUTED_VALUE"""),400.36)</f>
        <v>400.36</v>
      </c>
      <c r="D1577" s="1">
        <f ca="1">IFERROR(__xludf.DUMMYFUNCTION("""COMPUTED_VALUE"""),378.68)</f>
        <v>378.68</v>
      </c>
      <c r="E1577" s="1">
        <f ca="1">IFERROR(__xludf.DUMMYFUNCTION("""COMPUTED_VALUE"""),399.93)</f>
        <v>399.93</v>
      </c>
      <c r="F1577" s="1">
        <f ca="1">IFERROR(__xludf.DUMMYFUNCTION("""COMPUTED_VALUE"""),34895349)</f>
        <v>34895349</v>
      </c>
      <c r="G1577" s="5">
        <f t="shared" ca="1" si="72"/>
        <v>-4.1832320656114863E-2</v>
      </c>
      <c r="H1577" s="14">
        <f t="shared" si="73"/>
        <v>2022</v>
      </c>
      <c r="I1577" s="5">
        <f t="shared" ca="1" si="74"/>
        <v>4.5349992158502855E-2</v>
      </c>
      <c r="J1577" s="16"/>
    </row>
    <row r="1578" spans="1:10" x14ac:dyDescent="0.2">
      <c r="A1578" s="3">
        <v>44565</v>
      </c>
      <c r="B1578" s="1">
        <f ca="1">IFERROR(__xludf.DUMMYFUNCTION("""COMPUTED_VALUE"""),396.52)</f>
        <v>396.52</v>
      </c>
      <c r="C1578" s="1">
        <f ca="1">IFERROR(__xludf.DUMMYFUNCTION("""COMPUTED_VALUE"""),402.67)</f>
        <v>402.67</v>
      </c>
      <c r="D1578" s="1">
        <f ca="1">IFERROR(__xludf.DUMMYFUNCTION("""COMPUTED_VALUE"""),374.35)</f>
        <v>374.35</v>
      </c>
      <c r="E1578" s="1">
        <f ca="1">IFERROR(__xludf.DUMMYFUNCTION("""COMPUTED_VALUE"""),383.2)</f>
        <v>383.2</v>
      </c>
      <c r="F1578" s="1">
        <f ca="1">IFERROR(__xludf.DUMMYFUNCTION("""COMPUTED_VALUE"""),33416086)</f>
        <v>33416086</v>
      </c>
      <c r="G1578" s="5">
        <f t="shared" ca="1" si="72"/>
        <v>-5.347077244258875E-2</v>
      </c>
      <c r="H1578" s="14">
        <f t="shared" si="73"/>
        <v>2022</v>
      </c>
      <c r="I1578" s="5">
        <f t="shared" ca="1" si="74"/>
        <v>-3.3592252597599098E-2</v>
      </c>
      <c r="J1578" s="16"/>
    </row>
    <row r="1579" spans="1:10" x14ac:dyDescent="0.2">
      <c r="A1579" s="3">
        <v>44566</v>
      </c>
      <c r="B1579" s="1">
        <f ca="1">IFERROR(__xludf.DUMMYFUNCTION("""COMPUTED_VALUE"""),382.22)</f>
        <v>382.22</v>
      </c>
      <c r="C1579" s="1">
        <f ca="1">IFERROR(__xludf.DUMMYFUNCTION("""COMPUTED_VALUE"""),390.11)</f>
        <v>390.11</v>
      </c>
      <c r="D1579" s="1">
        <f ca="1">IFERROR(__xludf.DUMMYFUNCTION("""COMPUTED_VALUE"""),360.34)</f>
        <v>360.34</v>
      </c>
      <c r="E1579" s="1">
        <f ca="1">IFERROR(__xludf.DUMMYFUNCTION("""COMPUTED_VALUE"""),362.71)</f>
        <v>362.71</v>
      </c>
      <c r="F1579" s="1">
        <f ca="1">IFERROR(__xludf.DUMMYFUNCTION("""COMPUTED_VALUE"""),26706599)</f>
        <v>26706599</v>
      </c>
      <c r="G1579" s="5">
        <f t="shared" ca="1" si="72"/>
        <v>-2.153235367097682E-2</v>
      </c>
      <c r="H1579" s="14">
        <f t="shared" si="73"/>
        <v>2022</v>
      </c>
      <c r="I1579" s="5">
        <f t="shared" ca="1" si="74"/>
        <v>-5.1043901418031619E-2</v>
      </c>
      <c r="J1579" s="16"/>
    </row>
    <row r="1580" spans="1:10" x14ac:dyDescent="0.2">
      <c r="A1580" s="3">
        <v>44567</v>
      </c>
      <c r="B1580" s="1">
        <f ca="1">IFERROR(__xludf.DUMMYFUNCTION("""COMPUTED_VALUE"""),359)</f>
        <v>359</v>
      </c>
      <c r="C1580" s="1">
        <f ca="1">IFERROR(__xludf.DUMMYFUNCTION("""COMPUTED_VALUE"""),362.67)</f>
        <v>362.67</v>
      </c>
      <c r="D1580" s="1">
        <f ca="1">IFERROR(__xludf.DUMMYFUNCTION("""COMPUTED_VALUE"""),340.17)</f>
        <v>340.17</v>
      </c>
      <c r="E1580" s="1">
        <f ca="1">IFERROR(__xludf.DUMMYFUNCTION("""COMPUTED_VALUE"""),354.9)</f>
        <v>354.9</v>
      </c>
      <c r="F1580" s="1">
        <f ca="1">IFERROR(__xludf.DUMMYFUNCTION("""COMPUTED_VALUE"""),30112158)</f>
        <v>30112158</v>
      </c>
      <c r="G1580" s="5">
        <f t="shared" ca="1" si="72"/>
        <v>-3.5446604677373865E-2</v>
      </c>
      <c r="H1580" s="14">
        <f t="shared" si="73"/>
        <v>2022</v>
      </c>
      <c r="I1580" s="5">
        <f t="shared" ca="1" si="74"/>
        <v>-1.1420612813370538E-2</v>
      </c>
      <c r="J1580" s="16"/>
    </row>
    <row r="1581" spans="1:10" x14ac:dyDescent="0.2">
      <c r="A1581" s="3">
        <v>44568</v>
      </c>
      <c r="B1581" s="1">
        <f ca="1">IFERROR(__xludf.DUMMYFUNCTION("""COMPUTED_VALUE"""),360.12)</f>
        <v>360.12</v>
      </c>
      <c r="C1581" s="1">
        <f ca="1">IFERROR(__xludf.DUMMYFUNCTION("""COMPUTED_VALUE"""),360.31)</f>
        <v>360.31</v>
      </c>
      <c r="D1581" s="1">
        <f ca="1">IFERROR(__xludf.DUMMYFUNCTION("""COMPUTED_VALUE"""),336.67)</f>
        <v>336.67</v>
      </c>
      <c r="E1581" s="1">
        <f ca="1">IFERROR(__xludf.DUMMYFUNCTION("""COMPUTED_VALUE"""),342.32)</f>
        <v>342.32</v>
      </c>
      <c r="F1581" s="1">
        <f ca="1">IFERROR(__xludf.DUMMYFUNCTION("""COMPUTED_VALUE"""),28054916)</f>
        <v>28054916</v>
      </c>
      <c r="G1581" s="5">
        <f t="shared" ca="1" si="72"/>
        <v>3.035171769104927E-2</v>
      </c>
      <c r="H1581" s="14">
        <f t="shared" si="73"/>
        <v>2022</v>
      </c>
      <c r="I1581" s="5">
        <f t="shared" ca="1" si="74"/>
        <v>-4.9427968454959489E-2</v>
      </c>
      <c r="J1581" s="16"/>
    </row>
    <row r="1582" spans="1:10" x14ac:dyDescent="0.2">
      <c r="A1582" s="3">
        <v>44571</v>
      </c>
      <c r="B1582" s="1">
        <f ca="1">IFERROR(__xludf.DUMMYFUNCTION("""COMPUTED_VALUE"""),333.33)</f>
        <v>333.33</v>
      </c>
      <c r="C1582" s="1">
        <f ca="1">IFERROR(__xludf.DUMMYFUNCTION("""COMPUTED_VALUE"""),353.03)</f>
        <v>353.03</v>
      </c>
      <c r="D1582" s="1">
        <f ca="1">IFERROR(__xludf.DUMMYFUNCTION("""COMPUTED_VALUE"""),326.67)</f>
        <v>326.67</v>
      </c>
      <c r="E1582" s="1">
        <f ca="1">IFERROR(__xludf.DUMMYFUNCTION("""COMPUTED_VALUE"""),352.71)</f>
        <v>352.71</v>
      </c>
      <c r="F1582" s="1">
        <f ca="1">IFERROR(__xludf.DUMMYFUNCTION("""COMPUTED_VALUE"""),30604959)</f>
        <v>30604959</v>
      </c>
      <c r="G1582" s="5">
        <f t="shared" ca="1" si="72"/>
        <v>5.9255479005416115E-3</v>
      </c>
      <c r="H1582" s="14">
        <f t="shared" si="73"/>
        <v>2022</v>
      </c>
      <c r="I1582" s="5">
        <f t="shared" ca="1" si="74"/>
        <v>5.8140581405814046E-2</v>
      </c>
      <c r="J1582" s="16"/>
    </row>
    <row r="1583" spans="1:10" x14ac:dyDescent="0.2">
      <c r="A1583" s="3">
        <v>44572</v>
      </c>
      <c r="B1583" s="1">
        <f ca="1">IFERROR(__xludf.DUMMYFUNCTION("""COMPUTED_VALUE"""),351.22)</f>
        <v>351.22</v>
      </c>
      <c r="C1583" s="1">
        <f ca="1">IFERROR(__xludf.DUMMYFUNCTION("""COMPUTED_VALUE"""),358.62)</f>
        <v>358.62</v>
      </c>
      <c r="D1583" s="1">
        <f ca="1">IFERROR(__xludf.DUMMYFUNCTION("""COMPUTED_VALUE"""),346.27)</f>
        <v>346.27</v>
      </c>
      <c r="E1583" s="1">
        <f ca="1">IFERROR(__xludf.DUMMYFUNCTION("""COMPUTED_VALUE"""),354.8)</f>
        <v>354.8</v>
      </c>
      <c r="F1583" s="1">
        <f ca="1">IFERROR(__xludf.DUMMYFUNCTION("""COMPUTED_VALUE"""),22021070)</f>
        <v>22021070</v>
      </c>
      <c r="G1583" s="5">
        <f t="shared" ca="1" si="72"/>
        <v>3.9289740698985338E-2</v>
      </c>
      <c r="H1583" s="14">
        <f t="shared" si="73"/>
        <v>2022</v>
      </c>
      <c r="I1583" s="5">
        <f t="shared" ca="1" si="74"/>
        <v>1.0193041398553567E-2</v>
      </c>
      <c r="J1583" s="16"/>
    </row>
    <row r="1584" spans="1:10" x14ac:dyDescent="0.2">
      <c r="A1584" s="3">
        <v>44573</v>
      </c>
      <c r="B1584" s="1">
        <f ca="1">IFERROR(__xludf.DUMMYFUNCTION("""COMPUTED_VALUE"""),359.62)</f>
        <v>359.62</v>
      </c>
      <c r="C1584" s="1">
        <f ca="1">IFERROR(__xludf.DUMMYFUNCTION("""COMPUTED_VALUE"""),371.61)</f>
        <v>371.61</v>
      </c>
      <c r="D1584" s="1">
        <f ca="1">IFERROR(__xludf.DUMMYFUNCTION("""COMPUTED_VALUE"""),357.53)</f>
        <v>357.53</v>
      </c>
      <c r="E1584" s="1">
        <f ca="1">IFERROR(__xludf.DUMMYFUNCTION("""COMPUTED_VALUE"""),368.74)</f>
        <v>368.74</v>
      </c>
      <c r="F1584" s="1">
        <f ca="1">IFERROR(__xludf.DUMMYFUNCTION("""COMPUTED_VALUE"""),27913005)</f>
        <v>27913005</v>
      </c>
      <c r="G1584" s="5">
        <f t="shared" ca="1" si="72"/>
        <v>-6.7500135596897506E-2</v>
      </c>
      <c r="H1584" s="14">
        <f t="shared" si="73"/>
        <v>2022</v>
      </c>
      <c r="I1584" s="5">
        <f t="shared" ca="1" si="74"/>
        <v>2.5360102330237486E-2</v>
      </c>
      <c r="J1584" s="16"/>
    </row>
    <row r="1585" spans="1:10" x14ac:dyDescent="0.2">
      <c r="A1585" s="3">
        <v>44574</v>
      </c>
      <c r="B1585" s="1">
        <f ca="1">IFERROR(__xludf.DUMMYFUNCTION("""COMPUTED_VALUE"""),369.69)</f>
        <v>369.69</v>
      </c>
      <c r="C1585" s="1">
        <f ca="1">IFERROR(__xludf.DUMMYFUNCTION("""COMPUTED_VALUE"""),371.87)</f>
        <v>371.87</v>
      </c>
      <c r="D1585" s="1">
        <f ca="1">IFERROR(__xludf.DUMMYFUNCTION("""COMPUTED_VALUE"""),342.18)</f>
        <v>342.18</v>
      </c>
      <c r="E1585" s="1">
        <f ca="1">IFERROR(__xludf.DUMMYFUNCTION("""COMPUTED_VALUE"""),343.85)</f>
        <v>343.85</v>
      </c>
      <c r="F1585" s="1">
        <f ca="1">IFERROR(__xludf.DUMMYFUNCTION("""COMPUTED_VALUE"""),32403264)</f>
        <v>32403264</v>
      </c>
      <c r="G1585" s="5">
        <f t="shared" ca="1" si="72"/>
        <v>1.750763414279477E-2</v>
      </c>
      <c r="H1585" s="14">
        <f t="shared" si="73"/>
        <v>2022</v>
      </c>
      <c r="I1585" s="5">
        <f t="shared" ca="1" si="74"/>
        <v>-6.989639968622352E-2</v>
      </c>
      <c r="J1585" s="16"/>
    </row>
    <row r="1586" spans="1:10" x14ac:dyDescent="0.2">
      <c r="A1586" s="3">
        <v>44575</v>
      </c>
      <c r="B1586" s="1">
        <f ca="1">IFERROR(__xludf.DUMMYFUNCTION("""COMPUTED_VALUE"""),339.96)</f>
        <v>339.96</v>
      </c>
      <c r="C1586" s="1">
        <f ca="1">IFERROR(__xludf.DUMMYFUNCTION("""COMPUTED_VALUE"""),350.67)</f>
        <v>350.67</v>
      </c>
      <c r="D1586" s="1">
        <f ca="1">IFERROR(__xludf.DUMMYFUNCTION("""COMPUTED_VALUE"""),337.79)</f>
        <v>337.79</v>
      </c>
      <c r="E1586" s="1">
        <f ca="1">IFERROR(__xludf.DUMMYFUNCTION("""COMPUTED_VALUE"""),349.87)</f>
        <v>349.87</v>
      </c>
      <c r="F1586" s="1">
        <f ca="1">IFERROR(__xludf.DUMMYFUNCTION("""COMPUTED_VALUE"""),24308137)</f>
        <v>24308137</v>
      </c>
      <c r="G1586" s="5">
        <f t="shared" ca="1" si="72"/>
        <v>-1.8206762511790105E-2</v>
      </c>
      <c r="H1586" s="14">
        <f t="shared" si="73"/>
        <v>2022</v>
      </c>
      <c r="I1586" s="5">
        <f t="shared" ca="1" si="74"/>
        <v>2.9150488292740397E-2</v>
      </c>
      <c r="J1586" s="16"/>
    </row>
    <row r="1587" spans="1:10" x14ac:dyDescent="0.2">
      <c r="A1587" s="3">
        <v>44579</v>
      </c>
      <c r="B1587" s="1">
        <f ca="1">IFERROR(__xludf.DUMMYFUNCTION("""COMPUTED_VALUE"""),342.2)</f>
        <v>342.2</v>
      </c>
      <c r="C1587" s="1">
        <f ca="1">IFERROR(__xludf.DUMMYFUNCTION("""COMPUTED_VALUE"""),356.93)</f>
        <v>356.93</v>
      </c>
      <c r="D1587" s="1">
        <f ca="1">IFERROR(__xludf.DUMMYFUNCTION("""COMPUTED_VALUE"""),338.69)</f>
        <v>338.69</v>
      </c>
      <c r="E1587" s="1">
        <f ca="1">IFERROR(__xludf.DUMMYFUNCTION("""COMPUTED_VALUE"""),343.5)</f>
        <v>343.5</v>
      </c>
      <c r="F1587" s="1">
        <f ca="1">IFERROR(__xludf.DUMMYFUNCTION("""COMPUTED_VALUE"""),22329803)</f>
        <v>22329803</v>
      </c>
      <c r="G1587" s="5">
        <f t="shared" ca="1" si="72"/>
        <v>-3.3828238719068426E-2</v>
      </c>
      <c r="H1587" s="14">
        <f t="shared" si="73"/>
        <v>2022</v>
      </c>
      <c r="I1587" s="5">
        <f t="shared" ca="1" si="74"/>
        <v>3.7989479836353342E-3</v>
      </c>
      <c r="J1587" s="16"/>
    </row>
    <row r="1588" spans="1:10" x14ac:dyDescent="0.2">
      <c r="A1588" s="3">
        <v>44580</v>
      </c>
      <c r="B1588" s="1">
        <f ca="1">IFERROR(__xludf.DUMMYFUNCTION("""COMPUTED_VALUE"""),347.24)</f>
        <v>347.24</v>
      </c>
      <c r="C1588" s="1">
        <f ca="1">IFERROR(__xludf.DUMMYFUNCTION("""COMPUTED_VALUE"""),351.56)</f>
        <v>351.56</v>
      </c>
      <c r="D1588" s="1">
        <f ca="1">IFERROR(__xludf.DUMMYFUNCTION("""COMPUTED_VALUE"""),331.67)</f>
        <v>331.67</v>
      </c>
      <c r="E1588" s="1">
        <f ca="1">IFERROR(__xludf.DUMMYFUNCTION("""COMPUTED_VALUE"""),331.88)</f>
        <v>331.88</v>
      </c>
      <c r="F1588" s="1">
        <f ca="1">IFERROR(__xludf.DUMMYFUNCTION("""COMPUTED_VALUE"""),25147496)</f>
        <v>25147496</v>
      </c>
      <c r="G1588" s="5">
        <f t="shared" ca="1" si="72"/>
        <v>6.327588284921645E-4</v>
      </c>
      <c r="H1588" s="14">
        <f t="shared" si="73"/>
        <v>2022</v>
      </c>
      <c r="I1588" s="5">
        <f t="shared" ca="1" si="74"/>
        <v>-4.4234535191798215E-2</v>
      </c>
      <c r="J1588" s="16"/>
    </row>
    <row r="1589" spans="1:10" x14ac:dyDescent="0.2">
      <c r="A1589" s="3">
        <v>44581</v>
      </c>
      <c r="B1589" s="1">
        <f ca="1">IFERROR(__xludf.DUMMYFUNCTION("""COMPUTED_VALUE"""),336.58)</f>
        <v>336.58</v>
      </c>
      <c r="C1589" s="1">
        <f ca="1">IFERROR(__xludf.DUMMYFUNCTION("""COMPUTED_VALUE"""),347.22)</f>
        <v>347.22</v>
      </c>
      <c r="D1589" s="1">
        <f ca="1">IFERROR(__xludf.DUMMYFUNCTION("""COMPUTED_VALUE"""),331.33)</f>
        <v>331.33</v>
      </c>
      <c r="E1589" s="1">
        <f ca="1">IFERROR(__xludf.DUMMYFUNCTION("""COMPUTED_VALUE"""),332.09)</f>
        <v>332.09</v>
      </c>
      <c r="F1589" s="1">
        <f ca="1">IFERROR(__xludf.DUMMYFUNCTION("""COMPUTED_VALUE"""),23496248)</f>
        <v>23496248</v>
      </c>
      <c r="G1589" s="5">
        <f t="shared" ca="1" si="72"/>
        <v>-5.2576108886145265E-2</v>
      </c>
      <c r="H1589" s="14">
        <f t="shared" si="73"/>
        <v>2022</v>
      </c>
      <c r="I1589" s="5">
        <f t="shared" ca="1" si="74"/>
        <v>-1.334006774021038E-2</v>
      </c>
      <c r="J1589" s="16"/>
    </row>
    <row r="1590" spans="1:10" x14ac:dyDescent="0.2">
      <c r="A1590" s="3">
        <v>44582</v>
      </c>
      <c r="B1590" s="1">
        <f ca="1">IFERROR(__xludf.DUMMYFUNCTION("""COMPUTED_VALUE"""),332.11)</f>
        <v>332.11</v>
      </c>
      <c r="C1590" s="1">
        <f ca="1">IFERROR(__xludf.DUMMYFUNCTION("""COMPUTED_VALUE"""),334.85)</f>
        <v>334.85</v>
      </c>
      <c r="D1590" s="1">
        <f ca="1">IFERROR(__xludf.DUMMYFUNCTION("""COMPUTED_VALUE"""),313.5)</f>
        <v>313.5</v>
      </c>
      <c r="E1590" s="1">
        <f ca="1">IFERROR(__xludf.DUMMYFUNCTION("""COMPUTED_VALUE"""),314.63)</f>
        <v>314.63</v>
      </c>
      <c r="F1590" s="1">
        <f ca="1">IFERROR(__xludf.DUMMYFUNCTION("""COMPUTED_VALUE"""),34472009)</f>
        <v>34472009</v>
      </c>
      <c r="G1590" s="5">
        <f t="shared" ca="1" si="72"/>
        <v>-1.4715697803769493E-2</v>
      </c>
      <c r="H1590" s="14">
        <f t="shared" si="73"/>
        <v>2022</v>
      </c>
      <c r="I1590" s="5">
        <f t="shared" ca="1" si="74"/>
        <v>-5.2633163710818755E-2</v>
      </c>
      <c r="J1590" s="16"/>
    </row>
    <row r="1591" spans="1:10" x14ac:dyDescent="0.2">
      <c r="A1591" s="3">
        <v>44585</v>
      </c>
      <c r="B1591" s="1">
        <f ca="1">IFERROR(__xludf.DUMMYFUNCTION("""COMPUTED_VALUE"""),301.59)</f>
        <v>301.58999999999997</v>
      </c>
      <c r="C1591" s="1">
        <f ca="1">IFERROR(__xludf.DUMMYFUNCTION("""COMPUTED_VALUE"""),311.17)</f>
        <v>311.17</v>
      </c>
      <c r="D1591" s="1">
        <f ca="1">IFERROR(__xludf.DUMMYFUNCTION("""COMPUTED_VALUE"""),283.82)</f>
        <v>283.82</v>
      </c>
      <c r="E1591" s="1">
        <f ca="1">IFERROR(__xludf.DUMMYFUNCTION("""COMPUTED_VALUE"""),310)</f>
        <v>310</v>
      </c>
      <c r="F1591" s="1">
        <f ca="1">IFERROR(__xludf.DUMMYFUNCTION("""COMPUTED_VALUE"""),50791714)</f>
        <v>50791714</v>
      </c>
      <c r="G1591" s="5">
        <f t="shared" ca="1" si="72"/>
        <v>-1.248387096774195E-2</v>
      </c>
      <c r="H1591" s="14">
        <f t="shared" si="73"/>
        <v>2022</v>
      </c>
      <c r="I1591" s="5">
        <f t="shared" ca="1" si="74"/>
        <v>2.788553997148455E-2</v>
      </c>
      <c r="J1591" s="16"/>
    </row>
    <row r="1592" spans="1:10" x14ac:dyDescent="0.2">
      <c r="A1592" s="3">
        <v>44586</v>
      </c>
      <c r="B1592" s="1">
        <f ca="1">IFERROR(__xludf.DUMMYFUNCTION("""COMPUTED_VALUE"""),304.73)</f>
        <v>304.73</v>
      </c>
      <c r="C1592" s="1">
        <f ca="1">IFERROR(__xludf.DUMMYFUNCTION("""COMPUTED_VALUE"""),317.09)</f>
        <v>317.08999999999997</v>
      </c>
      <c r="D1592" s="1">
        <f ca="1">IFERROR(__xludf.DUMMYFUNCTION("""COMPUTED_VALUE"""),301.07)</f>
        <v>301.07</v>
      </c>
      <c r="E1592" s="1">
        <f ca="1">IFERROR(__xludf.DUMMYFUNCTION("""COMPUTED_VALUE"""),306.13)</f>
        <v>306.13</v>
      </c>
      <c r="F1592" s="1">
        <f ca="1">IFERROR(__xludf.DUMMYFUNCTION("""COMPUTED_VALUE"""),28865302)</f>
        <v>28865302</v>
      </c>
      <c r="G1592" s="5">
        <f t="shared" ca="1" si="72"/>
        <v>2.071015581615664E-2</v>
      </c>
      <c r="H1592" s="14">
        <f t="shared" si="73"/>
        <v>2022</v>
      </c>
      <c r="I1592" s="5">
        <f t="shared" ca="1" si="74"/>
        <v>4.5942309585533985E-3</v>
      </c>
      <c r="J1592" s="16"/>
    </row>
    <row r="1593" spans="1:10" x14ac:dyDescent="0.2">
      <c r="A1593" s="3">
        <v>44587</v>
      </c>
      <c r="B1593" s="1">
        <f ca="1">IFERROR(__xludf.DUMMYFUNCTION("""COMPUTED_VALUE"""),317.48)</f>
        <v>317.48</v>
      </c>
      <c r="C1593" s="1">
        <f ca="1">IFERROR(__xludf.DUMMYFUNCTION("""COMPUTED_VALUE"""),329.23)</f>
        <v>329.23</v>
      </c>
      <c r="D1593" s="1">
        <f ca="1">IFERROR(__xludf.DUMMYFUNCTION("""COMPUTED_VALUE"""),302)</f>
        <v>302</v>
      </c>
      <c r="E1593" s="1">
        <f ca="1">IFERROR(__xludf.DUMMYFUNCTION("""COMPUTED_VALUE"""),312.47)</f>
        <v>312.47000000000003</v>
      </c>
      <c r="F1593" s="1">
        <f ca="1">IFERROR(__xludf.DUMMYFUNCTION("""COMPUTED_VALUE"""),34955761)</f>
        <v>34955761</v>
      </c>
      <c r="G1593" s="5">
        <f t="shared" ca="1" si="72"/>
        <v>-0.1155310909847346</v>
      </c>
      <c r="H1593" s="14">
        <f t="shared" si="73"/>
        <v>2022</v>
      </c>
      <c r="I1593" s="5">
        <f t="shared" ca="1" si="74"/>
        <v>-1.5780521607660296E-2</v>
      </c>
      <c r="J1593" s="16"/>
    </row>
    <row r="1594" spans="1:10" x14ac:dyDescent="0.2">
      <c r="A1594" s="3">
        <v>44588</v>
      </c>
      <c r="B1594" s="1">
        <f ca="1">IFERROR(__xludf.DUMMYFUNCTION("""COMPUTED_VALUE"""),311.12)</f>
        <v>311.12</v>
      </c>
      <c r="C1594" s="1">
        <f ca="1">IFERROR(__xludf.DUMMYFUNCTION("""COMPUTED_VALUE"""),311.8)</f>
        <v>311.8</v>
      </c>
      <c r="D1594" s="1">
        <f ca="1">IFERROR(__xludf.DUMMYFUNCTION("""COMPUTED_VALUE"""),276.33)</f>
        <v>276.33</v>
      </c>
      <c r="E1594" s="1">
        <f ca="1">IFERROR(__xludf.DUMMYFUNCTION("""COMPUTED_VALUE"""),276.37)</f>
        <v>276.37</v>
      </c>
      <c r="F1594" s="1">
        <f ca="1">IFERROR(__xludf.DUMMYFUNCTION("""COMPUTED_VALUE"""),49036523)</f>
        <v>49036523</v>
      </c>
      <c r="G1594" s="5">
        <f t="shared" ca="1" si="72"/>
        <v>2.080544197995441E-2</v>
      </c>
      <c r="H1594" s="14">
        <f t="shared" si="73"/>
        <v>2022</v>
      </c>
      <c r="I1594" s="5">
        <f t="shared" ca="1" si="74"/>
        <v>-0.11169323733607611</v>
      </c>
      <c r="J1594" s="16"/>
    </row>
    <row r="1595" spans="1:10" x14ac:dyDescent="0.2">
      <c r="A1595" s="3">
        <v>44589</v>
      </c>
      <c r="B1595" s="1">
        <f ca="1">IFERROR(__xludf.DUMMYFUNCTION("""COMPUTED_VALUE"""),277.19)</f>
        <v>277.19</v>
      </c>
      <c r="C1595" s="1">
        <f ca="1">IFERROR(__xludf.DUMMYFUNCTION("""COMPUTED_VALUE"""),285.83)</f>
        <v>285.83</v>
      </c>
      <c r="D1595" s="1">
        <f ca="1">IFERROR(__xludf.DUMMYFUNCTION("""COMPUTED_VALUE"""),264)</f>
        <v>264</v>
      </c>
      <c r="E1595" s="1">
        <f ca="1">IFERROR(__xludf.DUMMYFUNCTION("""COMPUTED_VALUE"""),282.12)</f>
        <v>282.12</v>
      </c>
      <c r="F1595" s="1">
        <f ca="1">IFERROR(__xludf.DUMMYFUNCTION("""COMPUTED_VALUE"""),44929650)</f>
        <v>44929650</v>
      </c>
      <c r="G1595" s="5">
        <f t="shared" ca="1" si="72"/>
        <v>0.10676307954062103</v>
      </c>
      <c r="H1595" s="14">
        <f t="shared" si="73"/>
        <v>2022</v>
      </c>
      <c r="I1595" s="5">
        <f t="shared" ca="1" si="74"/>
        <v>1.7785634402395493E-2</v>
      </c>
      <c r="J1595" s="16"/>
    </row>
    <row r="1596" spans="1:10" x14ac:dyDescent="0.2">
      <c r="A1596" s="3">
        <v>44592</v>
      </c>
      <c r="B1596" s="1">
        <f ca="1">IFERROR(__xludf.DUMMYFUNCTION("""COMPUTED_VALUE"""),290.9)</f>
        <v>290.89999999999998</v>
      </c>
      <c r="C1596" s="1">
        <f ca="1">IFERROR(__xludf.DUMMYFUNCTION("""COMPUTED_VALUE"""),312.66)</f>
        <v>312.66000000000003</v>
      </c>
      <c r="D1596" s="1">
        <f ca="1">IFERROR(__xludf.DUMMYFUNCTION("""COMPUTED_VALUE"""),287.35)</f>
        <v>287.35000000000002</v>
      </c>
      <c r="E1596" s="1">
        <f ca="1">IFERROR(__xludf.DUMMYFUNCTION("""COMPUTED_VALUE"""),312.24)</f>
        <v>312.24</v>
      </c>
      <c r="F1596" s="1">
        <f ca="1">IFERROR(__xludf.DUMMYFUNCTION("""COMPUTED_VALUE"""),34812032)</f>
        <v>34812032</v>
      </c>
      <c r="G1596" s="5">
        <f t="shared" ca="1" si="72"/>
        <v>-5.8288496028695656E-3</v>
      </c>
      <c r="H1596" s="14">
        <f t="shared" si="73"/>
        <v>2022</v>
      </c>
      <c r="I1596" s="5">
        <f t="shared" ca="1" si="74"/>
        <v>7.3358542454451822E-2</v>
      </c>
      <c r="J1596" s="16"/>
    </row>
    <row r="1597" spans="1:10" x14ac:dyDescent="0.2">
      <c r="A1597" s="3">
        <v>44593</v>
      </c>
      <c r="B1597" s="1">
        <f ca="1">IFERROR(__xludf.DUMMYFUNCTION("""COMPUTED_VALUE"""),311.74)</f>
        <v>311.74</v>
      </c>
      <c r="C1597" s="1">
        <f ca="1">IFERROR(__xludf.DUMMYFUNCTION("""COMPUTED_VALUE"""),314.57)</f>
        <v>314.57</v>
      </c>
      <c r="D1597" s="1">
        <f ca="1">IFERROR(__xludf.DUMMYFUNCTION("""COMPUTED_VALUE"""),301.67)</f>
        <v>301.67</v>
      </c>
      <c r="E1597" s="1">
        <f ca="1">IFERROR(__xludf.DUMMYFUNCTION("""COMPUTED_VALUE"""),310.42)</f>
        <v>310.42</v>
      </c>
      <c r="F1597" s="1">
        <f ca="1">IFERROR(__xludf.DUMMYFUNCTION("""COMPUTED_VALUE"""),24379446)</f>
        <v>24379446</v>
      </c>
      <c r="G1597" s="5">
        <f t="shared" ca="1" si="72"/>
        <v>-2.7478899555441111E-2</v>
      </c>
      <c r="H1597" s="14">
        <f t="shared" si="73"/>
        <v>2022</v>
      </c>
      <c r="I1597" s="5">
        <f t="shared" ca="1" si="74"/>
        <v>-4.2342978122794413E-3</v>
      </c>
      <c r="J1597" s="16"/>
    </row>
    <row r="1598" spans="1:10" x14ac:dyDescent="0.2">
      <c r="A1598" s="3">
        <v>44594</v>
      </c>
      <c r="B1598" s="1">
        <f ca="1">IFERROR(__xludf.DUMMYFUNCTION("""COMPUTED_VALUE"""),309.39)</f>
        <v>309.39</v>
      </c>
      <c r="C1598" s="1">
        <f ca="1">IFERROR(__xludf.DUMMYFUNCTION("""COMPUTED_VALUE"""),310.5)</f>
        <v>310.5</v>
      </c>
      <c r="D1598" s="1">
        <f ca="1">IFERROR(__xludf.DUMMYFUNCTION("""COMPUTED_VALUE"""),296.47)</f>
        <v>296.47000000000003</v>
      </c>
      <c r="E1598" s="1">
        <f ca="1">IFERROR(__xludf.DUMMYFUNCTION("""COMPUTED_VALUE"""),301.89)</f>
        <v>301.89</v>
      </c>
      <c r="F1598" s="1">
        <f ca="1">IFERROR(__xludf.DUMMYFUNCTION("""COMPUTED_VALUE"""),22264345)</f>
        <v>22264345</v>
      </c>
      <c r="G1598" s="5">
        <f t="shared" ca="1" si="72"/>
        <v>-1.6032329656497316E-2</v>
      </c>
      <c r="H1598" s="14">
        <f t="shared" si="73"/>
        <v>2022</v>
      </c>
      <c r="I1598" s="5">
        <f t="shared" ca="1" si="74"/>
        <v>-2.4241248909143802E-2</v>
      </c>
      <c r="J1598" s="16"/>
    </row>
    <row r="1599" spans="1:10" x14ac:dyDescent="0.2">
      <c r="A1599" s="3">
        <v>44595</v>
      </c>
      <c r="B1599" s="1">
        <f ca="1">IFERROR(__xludf.DUMMYFUNCTION("""COMPUTED_VALUE"""),294)</f>
        <v>294</v>
      </c>
      <c r="C1599" s="1">
        <f ca="1">IFERROR(__xludf.DUMMYFUNCTION("""COMPUTED_VALUE"""),312.33)</f>
        <v>312.33</v>
      </c>
      <c r="D1599" s="1">
        <f ca="1">IFERROR(__xludf.DUMMYFUNCTION("""COMPUTED_VALUE"""),293.51)</f>
        <v>293.51</v>
      </c>
      <c r="E1599" s="1">
        <f ca="1">IFERROR(__xludf.DUMMYFUNCTION("""COMPUTED_VALUE"""),297.05)</f>
        <v>297.05</v>
      </c>
      <c r="F1599" s="1">
        <f ca="1">IFERROR(__xludf.DUMMYFUNCTION("""COMPUTED_VALUE"""),26285186)</f>
        <v>26285186</v>
      </c>
      <c r="G1599" s="5">
        <f t="shared" ca="1" si="72"/>
        <v>3.6088200639622856E-2</v>
      </c>
      <c r="H1599" s="14">
        <f t="shared" si="73"/>
        <v>2022</v>
      </c>
      <c r="I1599" s="5">
        <f t="shared" ca="1" si="74"/>
        <v>1.0374149659863984E-2</v>
      </c>
      <c r="J1599" s="16"/>
    </row>
    <row r="1600" spans="1:10" x14ac:dyDescent="0.2">
      <c r="A1600" s="3">
        <v>44596</v>
      </c>
      <c r="B1600" s="1">
        <f ca="1">IFERROR(__xludf.DUMMYFUNCTION("""COMPUTED_VALUE"""),299.07)</f>
        <v>299.07</v>
      </c>
      <c r="C1600" s="1">
        <f ca="1">IFERROR(__xludf.DUMMYFUNCTION("""COMPUTED_VALUE"""),312.17)</f>
        <v>312.17</v>
      </c>
      <c r="D1600" s="1">
        <f ca="1">IFERROR(__xludf.DUMMYFUNCTION("""COMPUTED_VALUE"""),293.72)</f>
        <v>293.72000000000003</v>
      </c>
      <c r="E1600" s="1">
        <f ca="1">IFERROR(__xludf.DUMMYFUNCTION("""COMPUTED_VALUE"""),307.77)</f>
        <v>307.77</v>
      </c>
      <c r="F1600" s="1">
        <f ca="1">IFERROR(__xludf.DUMMYFUNCTION("""COMPUTED_VALUE"""),24541822)</f>
        <v>24541822</v>
      </c>
      <c r="G1600" s="5">
        <f t="shared" ca="1" si="72"/>
        <v>-1.728563537706727E-2</v>
      </c>
      <c r="H1600" s="14">
        <f t="shared" si="73"/>
        <v>2022</v>
      </c>
      <c r="I1600" s="5">
        <f t="shared" ca="1" si="74"/>
        <v>2.9090179556625503E-2</v>
      </c>
      <c r="J1600" s="16"/>
    </row>
    <row r="1601" spans="1:10" x14ac:dyDescent="0.2">
      <c r="A1601" s="3">
        <v>44599</v>
      </c>
      <c r="B1601" s="1">
        <f ca="1">IFERROR(__xludf.DUMMYFUNCTION("""COMPUTED_VALUE"""),307.93)</f>
        <v>307.93</v>
      </c>
      <c r="C1601" s="1">
        <f ca="1">IFERROR(__xludf.DUMMYFUNCTION("""COMPUTED_VALUE"""),315.92)</f>
        <v>315.92</v>
      </c>
      <c r="D1601" s="1">
        <f ca="1">IFERROR(__xludf.DUMMYFUNCTION("""COMPUTED_VALUE"""),300.9)</f>
        <v>300.89999999999998</v>
      </c>
      <c r="E1601" s="1">
        <f ca="1">IFERROR(__xludf.DUMMYFUNCTION("""COMPUTED_VALUE"""),302.45)</f>
        <v>302.45</v>
      </c>
      <c r="F1601" s="1">
        <f ca="1">IFERROR(__xludf.DUMMYFUNCTION("""COMPUTED_VALUE"""),20331488)</f>
        <v>20331488</v>
      </c>
      <c r="G1601" s="5">
        <f t="shared" ca="1" si="72"/>
        <v>1.6134898330302516E-2</v>
      </c>
      <c r="H1601" s="14">
        <f t="shared" si="73"/>
        <v>2022</v>
      </c>
      <c r="I1601" s="5">
        <f t="shared" ca="1" si="74"/>
        <v>-1.7796252395024904E-2</v>
      </c>
      <c r="J1601" s="16"/>
    </row>
    <row r="1602" spans="1:10" x14ac:dyDescent="0.2">
      <c r="A1602" s="3">
        <v>44600</v>
      </c>
      <c r="B1602" s="1">
        <f ca="1">IFERROR(__xludf.DUMMYFUNCTION("""COMPUTED_VALUE"""),301.84)</f>
        <v>301.83999999999997</v>
      </c>
      <c r="C1602" s="1">
        <f ca="1">IFERROR(__xludf.DUMMYFUNCTION("""COMPUTED_VALUE"""),308.76)</f>
        <v>308.76</v>
      </c>
      <c r="D1602" s="1">
        <f ca="1">IFERROR(__xludf.DUMMYFUNCTION("""COMPUTED_VALUE"""),298.27)</f>
        <v>298.27</v>
      </c>
      <c r="E1602" s="1">
        <f ca="1">IFERROR(__xludf.DUMMYFUNCTION("""COMPUTED_VALUE"""),307.33)</f>
        <v>307.33</v>
      </c>
      <c r="F1602" s="1">
        <f ca="1">IFERROR(__xludf.DUMMYFUNCTION("""COMPUTED_VALUE"""),16909671)</f>
        <v>16909671</v>
      </c>
      <c r="G1602" s="5">
        <f t="shared" ca="1" si="72"/>
        <v>1.0867796830768333E-2</v>
      </c>
      <c r="H1602" s="14">
        <f t="shared" si="73"/>
        <v>2022</v>
      </c>
      <c r="I1602" s="5">
        <f t="shared" ca="1" si="74"/>
        <v>1.8188444208852402E-2</v>
      </c>
      <c r="J1602" s="16"/>
    </row>
    <row r="1603" spans="1:10" x14ac:dyDescent="0.2">
      <c r="A1603" s="3">
        <v>44601</v>
      </c>
      <c r="B1603" s="1">
        <f ca="1">IFERROR(__xludf.DUMMYFUNCTION("""COMPUTED_VALUE"""),311.67)</f>
        <v>311.67</v>
      </c>
      <c r="C1603" s="1">
        <f ca="1">IFERROR(__xludf.DUMMYFUNCTION("""COMPUTED_VALUE"""),315.42)</f>
        <v>315.42</v>
      </c>
      <c r="D1603" s="1">
        <f ca="1">IFERROR(__xludf.DUMMYFUNCTION("""COMPUTED_VALUE"""),306.67)</f>
        <v>306.67</v>
      </c>
      <c r="E1603" s="1">
        <f ca="1">IFERROR(__xludf.DUMMYFUNCTION("""COMPUTED_VALUE"""),310.67)</f>
        <v>310.67</v>
      </c>
      <c r="F1603" s="1">
        <f ca="1">IFERROR(__xludf.DUMMYFUNCTION("""COMPUTED_VALUE"""),17419848)</f>
        <v>17419848</v>
      </c>
      <c r="G1603" s="5">
        <f t="shared" ref="G1603:G1666" ca="1" si="75">(E1604-E1603)/E1603</f>
        <v>-2.9452473685904767E-2</v>
      </c>
      <c r="H1603" s="14">
        <f t="shared" ref="H1603:H1666" si="76">YEAR(A1603)</f>
        <v>2022</v>
      </c>
      <c r="I1603" s="5">
        <f t="shared" ref="I1603:I1666" ca="1" si="77">((E1603 - B1603) / B1603)</f>
        <v>-3.20852183399108E-3</v>
      </c>
      <c r="J1603" s="16"/>
    </row>
    <row r="1604" spans="1:10" x14ac:dyDescent="0.2">
      <c r="A1604" s="3">
        <v>44602</v>
      </c>
      <c r="B1604" s="1">
        <f ca="1">IFERROR(__xludf.DUMMYFUNCTION("""COMPUTED_VALUE"""),302.79)</f>
        <v>302.79000000000002</v>
      </c>
      <c r="C1604" s="1">
        <f ca="1">IFERROR(__xludf.DUMMYFUNCTION("""COMPUTED_VALUE"""),314.6)</f>
        <v>314.60000000000002</v>
      </c>
      <c r="D1604" s="1">
        <f ca="1">IFERROR(__xludf.DUMMYFUNCTION("""COMPUTED_VALUE"""),298.9)</f>
        <v>298.89999999999998</v>
      </c>
      <c r="E1604" s="1">
        <f ca="1">IFERROR(__xludf.DUMMYFUNCTION("""COMPUTED_VALUE"""),301.52)</f>
        <v>301.52</v>
      </c>
      <c r="F1604" s="1">
        <f ca="1">IFERROR(__xludf.DUMMYFUNCTION("""COMPUTED_VALUE"""),22042277)</f>
        <v>22042277</v>
      </c>
      <c r="G1604" s="5">
        <f t="shared" ca="1" si="75"/>
        <v>-4.9250464314141575E-2</v>
      </c>
      <c r="H1604" s="14">
        <f t="shared" si="76"/>
        <v>2022</v>
      </c>
      <c r="I1604" s="5">
        <f t="shared" ca="1" si="77"/>
        <v>-4.1943261005979015E-3</v>
      </c>
      <c r="J1604" s="16"/>
    </row>
    <row r="1605" spans="1:10" x14ac:dyDescent="0.2">
      <c r="A1605" s="3">
        <v>44603</v>
      </c>
      <c r="B1605" s="1">
        <f ca="1">IFERROR(__xludf.DUMMYFUNCTION("""COMPUTED_VALUE"""),303.21)</f>
        <v>303.20999999999998</v>
      </c>
      <c r="C1605" s="1">
        <f ca="1">IFERROR(__xludf.DUMMYFUNCTION("""COMPUTED_VALUE"""),305.32)</f>
        <v>305.32</v>
      </c>
      <c r="D1605" s="1">
        <f ca="1">IFERROR(__xludf.DUMMYFUNCTION("""COMPUTED_VALUE"""),283.57)</f>
        <v>283.57</v>
      </c>
      <c r="E1605" s="1">
        <f ca="1">IFERROR(__xludf.DUMMYFUNCTION("""COMPUTED_VALUE"""),286.67)</f>
        <v>286.67</v>
      </c>
      <c r="F1605" s="1">
        <f ca="1">IFERROR(__xludf.DUMMYFUNCTION("""COMPUTED_VALUE"""),26548623)</f>
        <v>26548623</v>
      </c>
      <c r="G1605" s="5">
        <f t="shared" ca="1" si="75"/>
        <v>1.8313740537900722E-2</v>
      </c>
      <c r="H1605" s="14">
        <f t="shared" si="76"/>
        <v>2022</v>
      </c>
      <c r="I1605" s="5">
        <f t="shared" ca="1" si="77"/>
        <v>-5.4549652056330479E-2</v>
      </c>
      <c r="J1605" s="16"/>
    </row>
    <row r="1606" spans="1:10" x14ac:dyDescent="0.2">
      <c r="A1606" s="3">
        <v>44606</v>
      </c>
      <c r="B1606" s="1">
        <f ca="1">IFERROR(__xludf.DUMMYFUNCTION("""COMPUTED_VALUE"""),287.19)</f>
        <v>287.19</v>
      </c>
      <c r="C1606" s="1">
        <f ca="1">IFERROR(__xludf.DUMMYFUNCTION("""COMPUTED_VALUE"""),299.63)</f>
        <v>299.63</v>
      </c>
      <c r="D1606" s="1">
        <f ca="1">IFERROR(__xludf.DUMMYFUNCTION("""COMPUTED_VALUE"""),284.38)</f>
        <v>284.38</v>
      </c>
      <c r="E1606" s="1">
        <f ca="1">IFERROR(__xludf.DUMMYFUNCTION("""COMPUTED_VALUE"""),291.92)</f>
        <v>291.92</v>
      </c>
      <c r="F1606" s="1">
        <f ca="1">IFERROR(__xludf.DUMMYFUNCTION("""COMPUTED_VALUE"""),22585472)</f>
        <v>22585472</v>
      </c>
      <c r="G1606" s="5">
        <f t="shared" ca="1" si="75"/>
        <v>5.3302274595779672E-2</v>
      </c>
      <c r="H1606" s="14">
        <f t="shared" si="76"/>
        <v>2022</v>
      </c>
      <c r="I1606" s="5">
        <f t="shared" ca="1" si="77"/>
        <v>1.6469932797103026E-2</v>
      </c>
      <c r="J1606" s="16"/>
    </row>
    <row r="1607" spans="1:10" x14ac:dyDescent="0.2">
      <c r="A1607" s="3">
        <v>44607</v>
      </c>
      <c r="B1607" s="1">
        <f ca="1">IFERROR(__xludf.DUMMYFUNCTION("""COMPUTED_VALUE"""),300)</f>
        <v>300</v>
      </c>
      <c r="C1607" s="1">
        <f ca="1">IFERROR(__xludf.DUMMYFUNCTION("""COMPUTED_VALUE"""),307.67)</f>
        <v>307.67</v>
      </c>
      <c r="D1607" s="1">
        <f ca="1">IFERROR(__xludf.DUMMYFUNCTION("""COMPUTED_VALUE"""),297.79)</f>
        <v>297.79000000000002</v>
      </c>
      <c r="E1607" s="1">
        <f ca="1">IFERROR(__xludf.DUMMYFUNCTION("""COMPUTED_VALUE"""),307.48)</f>
        <v>307.48</v>
      </c>
      <c r="F1607" s="1">
        <f ca="1">IFERROR(__xludf.DUMMYFUNCTION("""COMPUTED_VALUE"""),19216514)</f>
        <v>19216514</v>
      </c>
      <c r="G1607" s="5">
        <f t="shared" ca="1" si="75"/>
        <v>1.0407180954858631E-3</v>
      </c>
      <c r="H1607" s="14">
        <f t="shared" si="76"/>
        <v>2022</v>
      </c>
      <c r="I1607" s="5">
        <f t="shared" ca="1" si="77"/>
        <v>2.4933333333333394E-2</v>
      </c>
      <c r="J1607" s="16"/>
    </row>
    <row r="1608" spans="1:10" x14ac:dyDescent="0.2">
      <c r="A1608" s="3">
        <v>44608</v>
      </c>
      <c r="B1608" s="1">
        <f ca="1">IFERROR(__xludf.DUMMYFUNCTION("""COMPUTED_VALUE"""),304.68)</f>
        <v>304.68</v>
      </c>
      <c r="C1608" s="1">
        <f ca="1">IFERROR(__xludf.DUMMYFUNCTION("""COMPUTED_VALUE"""),308.81)</f>
        <v>308.81</v>
      </c>
      <c r="D1608" s="1">
        <f ca="1">IFERROR(__xludf.DUMMYFUNCTION("""COMPUTED_VALUE"""),300.4)</f>
        <v>300.39999999999998</v>
      </c>
      <c r="E1608" s="1">
        <f ca="1">IFERROR(__xludf.DUMMYFUNCTION("""COMPUTED_VALUE"""),307.8)</f>
        <v>307.8</v>
      </c>
      <c r="F1608" s="1">
        <f ca="1">IFERROR(__xludf.DUMMYFUNCTION("""COMPUTED_VALUE"""),17098132)</f>
        <v>17098132</v>
      </c>
      <c r="G1608" s="5">
        <f t="shared" ca="1" si="75"/>
        <v>-5.0942170240415877E-2</v>
      </c>
      <c r="H1608" s="14">
        <f t="shared" si="76"/>
        <v>2022</v>
      </c>
      <c r="I1608" s="5">
        <f t="shared" ca="1" si="77"/>
        <v>1.0240252067743221E-2</v>
      </c>
      <c r="J1608" s="16"/>
    </row>
    <row r="1609" spans="1:10" x14ac:dyDescent="0.2">
      <c r="A1609" s="3">
        <v>44609</v>
      </c>
      <c r="B1609" s="1">
        <f ca="1">IFERROR(__xludf.DUMMYFUNCTION("""COMPUTED_VALUE"""),304.42)</f>
        <v>304.42</v>
      </c>
      <c r="C1609" s="1">
        <f ca="1">IFERROR(__xludf.DUMMYFUNCTION("""COMPUTED_VALUE"""),306.17)</f>
        <v>306.17</v>
      </c>
      <c r="D1609" s="1">
        <f ca="1">IFERROR(__xludf.DUMMYFUNCTION("""COMPUTED_VALUE"""),291.37)</f>
        <v>291.37</v>
      </c>
      <c r="E1609" s="1">
        <f ca="1">IFERROR(__xludf.DUMMYFUNCTION("""COMPUTED_VALUE"""),292.12)</f>
        <v>292.12</v>
      </c>
      <c r="F1609" s="1">
        <f ca="1">IFERROR(__xludf.DUMMYFUNCTION("""COMPUTED_VALUE"""),18392806)</f>
        <v>18392806</v>
      </c>
      <c r="G1609" s="5">
        <f t="shared" ca="1" si="75"/>
        <v>-2.2114199643981855E-2</v>
      </c>
      <c r="H1609" s="14">
        <f t="shared" si="76"/>
        <v>2022</v>
      </c>
      <c r="I1609" s="5">
        <f t="shared" ca="1" si="77"/>
        <v>-4.04047040273307E-2</v>
      </c>
      <c r="J1609" s="16"/>
    </row>
    <row r="1610" spans="1:10" x14ac:dyDescent="0.2">
      <c r="A1610" s="3">
        <v>44610</v>
      </c>
      <c r="B1610" s="1">
        <f ca="1">IFERROR(__xludf.DUMMYFUNCTION("""COMPUTED_VALUE"""),295.33)</f>
        <v>295.33</v>
      </c>
      <c r="C1610" s="1">
        <f ca="1">IFERROR(__xludf.DUMMYFUNCTION("""COMPUTED_VALUE"""),295.62)</f>
        <v>295.62</v>
      </c>
      <c r="D1610" s="1">
        <f ca="1">IFERROR(__xludf.DUMMYFUNCTION("""COMPUTED_VALUE"""),279.2)</f>
        <v>279.2</v>
      </c>
      <c r="E1610" s="1">
        <f ca="1">IFERROR(__xludf.DUMMYFUNCTION("""COMPUTED_VALUE"""),285.66)</f>
        <v>285.66000000000003</v>
      </c>
      <c r="F1610" s="1">
        <f ca="1">IFERROR(__xludf.DUMMYFUNCTION("""COMPUTED_VALUE"""),22833947)</f>
        <v>22833947</v>
      </c>
      <c r="G1610" s="5">
        <f t="shared" ca="1" si="75"/>
        <v>-4.1377861793740985E-2</v>
      </c>
      <c r="H1610" s="14">
        <f t="shared" si="76"/>
        <v>2022</v>
      </c>
      <c r="I1610" s="5">
        <f t="shared" ca="1" si="77"/>
        <v>-3.2743033217079061E-2</v>
      </c>
      <c r="J1610" s="16"/>
    </row>
    <row r="1611" spans="1:10" x14ac:dyDescent="0.2">
      <c r="A1611" s="3">
        <v>44614</v>
      </c>
      <c r="B1611" s="1">
        <f ca="1">IFERROR(__xludf.DUMMYFUNCTION("""COMPUTED_VALUE"""),278.04)</f>
        <v>278.04000000000002</v>
      </c>
      <c r="C1611" s="1">
        <f ca="1">IFERROR(__xludf.DUMMYFUNCTION("""COMPUTED_VALUE"""),285.58)</f>
        <v>285.58</v>
      </c>
      <c r="D1611" s="1">
        <f ca="1">IFERROR(__xludf.DUMMYFUNCTION("""COMPUTED_VALUE"""),267.03)</f>
        <v>267.02999999999997</v>
      </c>
      <c r="E1611" s="1">
        <f ca="1">IFERROR(__xludf.DUMMYFUNCTION("""COMPUTED_VALUE"""),273.84)</f>
        <v>273.83999999999997</v>
      </c>
      <c r="F1611" s="1">
        <f ca="1">IFERROR(__xludf.DUMMYFUNCTION("""COMPUTED_VALUE"""),27762734)</f>
        <v>27762734</v>
      </c>
      <c r="G1611" s="5">
        <f t="shared" ca="1" si="75"/>
        <v>-6.9967864446391942E-2</v>
      </c>
      <c r="H1611" s="14">
        <f t="shared" si="76"/>
        <v>2022</v>
      </c>
      <c r="I1611" s="5">
        <f t="shared" ca="1" si="77"/>
        <v>-1.5105740181269044E-2</v>
      </c>
      <c r="J1611" s="16"/>
    </row>
    <row r="1612" spans="1:10" x14ac:dyDescent="0.2">
      <c r="A1612" s="3">
        <v>44615</v>
      </c>
      <c r="B1612" s="1">
        <f ca="1">IFERROR(__xludf.DUMMYFUNCTION("""COMPUTED_VALUE"""),276.81)</f>
        <v>276.81</v>
      </c>
      <c r="C1612" s="1">
        <f ca="1">IFERROR(__xludf.DUMMYFUNCTION("""COMPUTED_VALUE"""),278.43)</f>
        <v>278.43</v>
      </c>
      <c r="D1612" s="1">
        <f ca="1">IFERROR(__xludf.DUMMYFUNCTION("""COMPUTED_VALUE"""),253.52)</f>
        <v>253.52</v>
      </c>
      <c r="E1612" s="1">
        <f ca="1">IFERROR(__xludf.DUMMYFUNCTION("""COMPUTED_VALUE"""),254.68)</f>
        <v>254.68</v>
      </c>
      <c r="F1612" s="1">
        <f ca="1">IFERROR(__xludf.DUMMYFUNCTION("""COMPUTED_VALUE"""),31752336)</f>
        <v>31752336</v>
      </c>
      <c r="G1612" s="5">
        <f t="shared" ca="1" si="75"/>
        <v>4.8060310978482838E-2</v>
      </c>
      <c r="H1612" s="14">
        <f t="shared" si="76"/>
        <v>2022</v>
      </c>
      <c r="I1612" s="5">
        <f t="shared" ca="1" si="77"/>
        <v>-7.9946533723492627E-2</v>
      </c>
      <c r="J1612" s="16"/>
    </row>
    <row r="1613" spans="1:10" x14ac:dyDescent="0.2">
      <c r="A1613" s="3">
        <v>44616</v>
      </c>
      <c r="B1613" s="1">
        <f ca="1">IFERROR(__xludf.DUMMYFUNCTION("""COMPUTED_VALUE"""),233.46)</f>
        <v>233.46</v>
      </c>
      <c r="C1613" s="1">
        <f ca="1">IFERROR(__xludf.DUMMYFUNCTION("""COMPUTED_VALUE"""),267.49)</f>
        <v>267.49</v>
      </c>
      <c r="D1613" s="1">
        <f ca="1">IFERROR(__xludf.DUMMYFUNCTION("""COMPUTED_VALUE"""),233.33)</f>
        <v>233.33</v>
      </c>
      <c r="E1613" s="1">
        <f ca="1">IFERROR(__xludf.DUMMYFUNCTION("""COMPUTED_VALUE"""),266.92)</f>
        <v>266.92</v>
      </c>
      <c r="F1613" s="1">
        <f ca="1">IFERROR(__xludf.DUMMYFUNCTION("""COMPUTED_VALUE"""),45107425)</f>
        <v>45107425</v>
      </c>
      <c r="G1613" s="5">
        <f t="shared" ca="1" si="75"/>
        <v>1.1389180278735065E-2</v>
      </c>
      <c r="H1613" s="14">
        <f t="shared" si="76"/>
        <v>2022</v>
      </c>
      <c r="I1613" s="5">
        <f t="shared" ca="1" si="77"/>
        <v>0.14332219652188816</v>
      </c>
      <c r="J1613" s="16"/>
    </row>
    <row r="1614" spans="1:10" x14ac:dyDescent="0.2">
      <c r="A1614" s="3">
        <v>44617</v>
      </c>
      <c r="B1614" s="1">
        <f ca="1">IFERROR(__xludf.DUMMYFUNCTION("""COMPUTED_VALUE"""),269.74)</f>
        <v>269.74</v>
      </c>
      <c r="C1614" s="1">
        <f ca="1">IFERROR(__xludf.DUMMYFUNCTION("""COMPUTED_VALUE"""),273.17)</f>
        <v>273.17</v>
      </c>
      <c r="D1614" s="1">
        <f ca="1">IFERROR(__xludf.DUMMYFUNCTION("""COMPUTED_VALUE"""),260.8)</f>
        <v>260.8</v>
      </c>
      <c r="E1614" s="1">
        <f ca="1">IFERROR(__xludf.DUMMYFUNCTION("""COMPUTED_VALUE"""),269.96)</f>
        <v>269.95999999999998</v>
      </c>
      <c r="F1614" s="1">
        <f ca="1">IFERROR(__xludf.DUMMYFUNCTION("""COMPUTED_VALUE"""),25355921)</f>
        <v>25355921</v>
      </c>
      <c r="G1614" s="5">
        <f t="shared" ca="1" si="75"/>
        <v>7.475181508371613E-2</v>
      </c>
      <c r="H1614" s="14">
        <f t="shared" si="76"/>
        <v>2022</v>
      </c>
      <c r="I1614" s="5">
        <f t="shared" ca="1" si="77"/>
        <v>8.1560020760721602E-4</v>
      </c>
      <c r="J1614" s="16"/>
    </row>
    <row r="1615" spans="1:10" x14ac:dyDescent="0.2">
      <c r="A1615" s="3">
        <v>44620</v>
      </c>
      <c r="B1615" s="1">
        <f ca="1">IFERROR(__xludf.DUMMYFUNCTION("""COMPUTED_VALUE"""),271.67)</f>
        <v>271.67</v>
      </c>
      <c r="C1615" s="1">
        <f ca="1">IFERROR(__xludf.DUMMYFUNCTION("""COMPUTED_VALUE"""),292.29)</f>
        <v>292.29000000000002</v>
      </c>
      <c r="D1615" s="1">
        <f ca="1">IFERROR(__xludf.DUMMYFUNCTION("""COMPUTED_VALUE"""),271.57)</f>
        <v>271.57</v>
      </c>
      <c r="E1615" s="1">
        <f ca="1">IFERROR(__xludf.DUMMYFUNCTION("""COMPUTED_VALUE"""),290.14)</f>
        <v>290.14</v>
      </c>
      <c r="F1615" s="1">
        <f ca="1">IFERROR(__xludf.DUMMYFUNCTION("""COMPUTED_VALUE"""),33002289)</f>
        <v>33002289</v>
      </c>
      <c r="G1615" s="5">
        <f t="shared" ca="1" si="75"/>
        <v>-6.9621562004548903E-3</v>
      </c>
      <c r="H1615" s="14">
        <f t="shared" si="76"/>
        <v>2022</v>
      </c>
      <c r="I1615" s="5">
        <f t="shared" ca="1" si="77"/>
        <v>6.7986895866308281E-2</v>
      </c>
      <c r="J1615" s="16"/>
    </row>
    <row r="1616" spans="1:10" x14ac:dyDescent="0.2">
      <c r="A1616" s="3">
        <v>44621</v>
      </c>
      <c r="B1616" s="1">
        <f ca="1">IFERROR(__xludf.DUMMYFUNCTION("""COMPUTED_VALUE"""),289.89)</f>
        <v>289.89</v>
      </c>
      <c r="C1616" s="1">
        <f ca="1">IFERROR(__xludf.DUMMYFUNCTION("""COMPUTED_VALUE"""),296.63)</f>
        <v>296.63</v>
      </c>
      <c r="D1616" s="1">
        <f ca="1">IFERROR(__xludf.DUMMYFUNCTION("""COMPUTED_VALUE"""),284.59)</f>
        <v>284.58999999999997</v>
      </c>
      <c r="E1616" s="1">
        <f ca="1">IFERROR(__xludf.DUMMYFUNCTION("""COMPUTED_VALUE"""),288.12)</f>
        <v>288.12</v>
      </c>
      <c r="F1616" s="1">
        <f ca="1">IFERROR(__xludf.DUMMYFUNCTION("""COMPUTED_VALUE"""),24922287)</f>
        <v>24922287</v>
      </c>
      <c r="G1616" s="5">
        <f t="shared" ca="1" si="75"/>
        <v>1.797862001943637E-2</v>
      </c>
      <c r="H1616" s="14">
        <f t="shared" si="76"/>
        <v>2022</v>
      </c>
      <c r="I1616" s="5">
        <f t="shared" ca="1" si="77"/>
        <v>-6.1057642554071612E-3</v>
      </c>
      <c r="J1616" s="16"/>
    </row>
    <row r="1617" spans="1:10" x14ac:dyDescent="0.2">
      <c r="A1617" s="3">
        <v>44622</v>
      </c>
      <c r="B1617" s="1">
        <f ca="1">IFERROR(__xludf.DUMMYFUNCTION("""COMPUTED_VALUE"""),290.71)</f>
        <v>290.70999999999998</v>
      </c>
      <c r="C1617" s="1">
        <f ca="1">IFERROR(__xludf.DUMMYFUNCTION("""COMPUTED_VALUE"""),295.49)</f>
        <v>295.49</v>
      </c>
      <c r="D1617" s="1">
        <f ca="1">IFERROR(__xludf.DUMMYFUNCTION("""COMPUTED_VALUE"""),281.42)</f>
        <v>281.42</v>
      </c>
      <c r="E1617" s="1">
        <f ca="1">IFERROR(__xludf.DUMMYFUNCTION("""COMPUTED_VALUE"""),293.3)</f>
        <v>293.3</v>
      </c>
      <c r="F1617" s="1">
        <f ca="1">IFERROR(__xludf.DUMMYFUNCTION("""COMPUTED_VALUE"""),24881146)</f>
        <v>24881146</v>
      </c>
      <c r="G1617" s="5">
        <f t="shared" ca="1" si="75"/>
        <v>-4.6164336856461027E-2</v>
      </c>
      <c r="H1617" s="14">
        <f t="shared" si="76"/>
        <v>2022</v>
      </c>
      <c r="I1617" s="5">
        <f t="shared" ca="1" si="77"/>
        <v>8.9092222489767538E-3</v>
      </c>
      <c r="J1617" s="16"/>
    </row>
    <row r="1618" spans="1:10" x14ac:dyDescent="0.2">
      <c r="A1618" s="3">
        <v>44623</v>
      </c>
      <c r="B1618" s="1">
        <f ca="1">IFERROR(__xludf.DUMMYFUNCTION("""COMPUTED_VALUE"""),292.92)</f>
        <v>292.92</v>
      </c>
      <c r="C1618" s="1">
        <f ca="1">IFERROR(__xludf.DUMMYFUNCTION("""COMPUTED_VALUE"""),295.48)</f>
        <v>295.48</v>
      </c>
      <c r="D1618" s="1">
        <f ca="1">IFERROR(__xludf.DUMMYFUNCTION("""COMPUTED_VALUE"""),277.53)</f>
        <v>277.52999999999997</v>
      </c>
      <c r="E1618" s="1">
        <f ca="1">IFERROR(__xludf.DUMMYFUNCTION("""COMPUTED_VALUE"""),279.76)</f>
        <v>279.76</v>
      </c>
      <c r="F1618" s="1">
        <f ca="1">IFERROR(__xludf.DUMMYFUNCTION("""COMPUTED_VALUE"""),20541169)</f>
        <v>20541169</v>
      </c>
      <c r="G1618" s="5">
        <f t="shared" ca="1" si="75"/>
        <v>-1.1795824992850447E-3</v>
      </c>
      <c r="H1618" s="14">
        <f t="shared" si="76"/>
        <v>2022</v>
      </c>
      <c r="I1618" s="5">
        <f t="shared" ca="1" si="77"/>
        <v>-4.4926942509900397E-2</v>
      </c>
      <c r="J1618" s="16"/>
    </row>
    <row r="1619" spans="1:10" x14ac:dyDescent="0.2">
      <c r="A1619" s="3">
        <v>44624</v>
      </c>
      <c r="B1619" s="1">
        <f ca="1">IFERROR(__xludf.DUMMYFUNCTION("""COMPUTED_VALUE"""),283.03)</f>
        <v>283.02999999999997</v>
      </c>
      <c r="C1619" s="1">
        <f ca="1">IFERROR(__xludf.DUMMYFUNCTION("""COMPUTED_VALUE"""),285.22)</f>
        <v>285.22000000000003</v>
      </c>
      <c r="D1619" s="1">
        <f ca="1">IFERROR(__xludf.DUMMYFUNCTION("""COMPUTED_VALUE"""),275.05)</f>
        <v>275.05</v>
      </c>
      <c r="E1619" s="1">
        <f ca="1">IFERROR(__xludf.DUMMYFUNCTION("""COMPUTED_VALUE"""),279.43)</f>
        <v>279.43</v>
      </c>
      <c r="F1619" s="1">
        <f ca="1">IFERROR(__xludf.DUMMYFUNCTION("""COMPUTED_VALUE"""),22393287)</f>
        <v>22393287</v>
      </c>
      <c r="G1619" s="5">
        <f t="shared" ca="1" si="75"/>
        <v>-4.0224743227284143E-2</v>
      </c>
      <c r="H1619" s="14">
        <f t="shared" si="76"/>
        <v>2022</v>
      </c>
      <c r="I1619" s="5">
        <f t="shared" ca="1" si="77"/>
        <v>-1.2719499699678361E-2</v>
      </c>
      <c r="J1619" s="16"/>
    </row>
    <row r="1620" spans="1:10" x14ac:dyDescent="0.2">
      <c r="A1620" s="3">
        <v>44627</v>
      </c>
      <c r="B1620" s="1">
        <f ca="1">IFERROR(__xludf.DUMMYFUNCTION("""COMPUTED_VALUE"""),285.43)</f>
        <v>285.43</v>
      </c>
      <c r="C1620" s="1">
        <f ca="1">IFERROR(__xludf.DUMMYFUNCTION("""COMPUTED_VALUE"""),288.71)</f>
        <v>288.70999999999998</v>
      </c>
      <c r="D1620" s="1">
        <f ca="1">IFERROR(__xludf.DUMMYFUNCTION("""COMPUTED_VALUE"""),268.19)</f>
        <v>268.19</v>
      </c>
      <c r="E1620" s="1">
        <f ca="1">IFERROR(__xludf.DUMMYFUNCTION("""COMPUTED_VALUE"""),268.19)</f>
        <v>268.19</v>
      </c>
      <c r="F1620" s="1">
        <f ca="1">IFERROR(__xludf.DUMMYFUNCTION("""COMPUTED_VALUE"""),24164724)</f>
        <v>24164724</v>
      </c>
      <c r="G1620" s="5">
        <f t="shared" ca="1" si="75"/>
        <v>2.4646705693724649E-2</v>
      </c>
      <c r="H1620" s="14">
        <f t="shared" si="76"/>
        <v>2022</v>
      </c>
      <c r="I1620" s="5">
        <f t="shared" ca="1" si="77"/>
        <v>-6.0400098097607151E-2</v>
      </c>
      <c r="J1620" s="16"/>
    </row>
    <row r="1621" spans="1:10" x14ac:dyDescent="0.2">
      <c r="A1621" s="3">
        <v>44628</v>
      </c>
      <c r="B1621" s="1">
        <f ca="1">IFERROR(__xludf.DUMMYFUNCTION("""COMPUTED_VALUE"""),265.18)</f>
        <v>265.18</v>
      </c>
      <c r="C1621" s="1">
        <f ca="1">IFERROR(__xludf.DUMMYFUNCTION("""COMPUTED_VALUE"""),283.33)</f>
        <v>283.33</v>
      </c>
      <c r="D1621" s="1">
        <f ca="1">IFERROR(__xludf.DUMMYFUNCTION("""COMPUTED_VALUE"""),260.72)</f>
        <v>260.72000000000003</v>
      </c>
      <c r="E1621" s="1">
        <f ca="1">IFERROR(__xludf.DUMMYFUNCTION("""COMPUTED_VALUE"""),274.8)</f>
        <v>274.8</v>
      </c>
      <c r="F1621" s="1">
        <f ca="1">IFERROR(__xludf.DUMMYFUNCTION("""COMPUTED_VALUE"""),26799702)</f>
        <v>26799702</v>
      </c>
      <c r="G1621" s="5">
        <f t="shared" ca="1" si="75"/>
        <v>4.1921397379912594E-2</v>
      </c>
      <c r="H1621" s="14">
        <f t="shared" si="76"/>
        <v>2022</v>
      </c>
      <c r="I1621" s="5">
        <f t="shared" ca="1" si="77"/>
        <v>3.6277245644467923E-2</v>
      </c>
      <c r="J1621" s="16"/>
    </row>
    <row r="1622" spans="1:10" x14ac:dyDescent="0.2">
      <c r="A1622" s="3">
        <v>44629</v>
      </c>
      <c r="B1622" s="1">
        <f ca="1">IFERROR(__xludf.DUMMYFUNCTION("""COMPUTED_VALUE"""),279.83)</f>
        <v>279.83</v>
      </c>
      <c r="C1622" s="1">
        <f ca="1">IFERROR(__xludf.DUMMYFUNCTION("""COMPUTED_VALUE"""),286.85)</f>
        <v>286.85000000000002</v>
      </c>
      <c r="D1622" s="1">
        <f ca="1">IFERROR(__xludf.DUMMYFUNCTION("""COMPUTED_VALUE"""),277.34)</f>
        <v>277.33999999999997</v>
      </c>
      <c r="E1622" s="1">
        <f ca="1">IFERROR(__xludf.DUMMYFUNCTION("""COMPUTED_VALUE"""),286.32)</f>
        <v>286.32</v>
      </c>
      <c r="F1622" s="1">
        <f ca="1">IFERROR(__xludf.DUMMYFUNCTION("""COMPUTED_VALUE"""),19727993)</f>
        <v>19727993</v>
      </c>
      <c r="G1622" s="5">
        <f t="shared" ca="1" si="75"/>
        <v>-2.4063984353171228E-2</v>
      </c>
      <c r="H1622" s="14">
        <f t="shared" si="76"/>
        <v>2022</v>
      </c>
      <c r="I1622" s="5">
        <f t="shared" ca="1" si="77"/>
        <v>2.3192652681985525E-2</v>
      </c>
      <c r="J1622" s="16"/>
    </row>
    <row r="1623" spans="1:10" x14ac:dyDescent="0.2">
      <c r="A1623" s="3">
        <v>44630</v>
      </c>
      <c r="B1623" s="1">
        <f ca="1">IFERROR(__xludf.DUMMYFUNCTION("""COMPUTED_VALUE"""),283.82)</f>
        <v>283.82</v>
      </c>
      <c r="C1623" s="1">
        <f ca="1">IFERROR(__xludf.DUMMYFUNCTION("""COMPUTED_VALUE"""),284.82)</f>
        <v>284.82</v>
      </c>
      <c r="D1623" s="1">
        <f ca="1">IFERROR(__xludf.DUMMYFUNCTION("""COMPUTED_VALUE"""),270.12)</f>
        <v>270.12</v>
      </c>
      <c r="E1623" s="1">
        <f ca="1">IFERROR(__xludf.DUMMYFUNCTION("""COMPUTED_VALUE"""),279.43)</f>
        <v>279.43</v>
      </c>
      <c r="F1623" s="1">
        <f ca="1">IFERROR(__xludf.DUMMYFUNCTION("""COMPUTED_VALUE"""),19549548)</f>
        <v>19549548</v>
      </c>
      <c r="G1623" s="5">
        <f t="shared" ca="1" si="75"/>
        <v>-5.1211394624771867E-2</v>
      </c>
      <c r="H1623" s="14">
        <f t="shared" si="76"/>
        <v>2022</v>
      </c>
      <c r="I1623" s="5">
        <f t="shared" ca="1" si="77"/>
        <v>-1.5467549855542197E-2</v>
      </c>
      <c r="J1623" s="16"/>
    </row>
    <row r="1624" spans="1:10" x14ac:dyDescent="0.2">
      <c r="A1624" s="3">
        <v>44631</v>
      </c>
      <c r="B1624" s="1">
        <f ca="1">IFERROR(__xludf.DUMMYFUNCTION("""COMPUTED_VALUE"""),280.07)</f>
        <v>280.07</v>
      </c>
      <c r="C1624" s="1">
        <f ca="1">IFERROR(__xludf.DUMMYFUNCTION("""COMPUTED_VALUE"""),281.27)</f>
        <v>281.27</v>
      </c>
      <c r="D1624" s="1">
        <f ca="1">IFERROR(__xludf.DUMMYFUNCTION("""COMPUTED_VALUE"""),264.59)</f>
        <v>264.58999999999997</v>
      </c>
      <c r="E1624" s="1">
        <f ca="1">IFERROR(__xludf.DUMMYFUNCTION("""COMPUTED_VALUE"""),265.12)</f>
        <v>265.12</v>
      </c>
      <c r="F1624" s="1">
        <f ca="1">IFERROR(__xludf.DUMMYFUNCTION("""COMPUTED_VALUE"""),22345722)</f>
        <v>22345722</v>
      </c>
      <c r="G1624" s="5">
        <f t="shared" ca="1" si="75"/>
        <v>-3.6436330718165343E-2</v>
      </c>
      <c r="H1624" s="14">
        <f t="shared" si="76"/>
        <v>2022</v>
      </c>
      <c r="I1624" s="5">
        <f t="shared" ca="1" si="77"/>
        <v>-5.3379512264790908E-2</v>
      </c>
      <c r="J1624" s="16"/>
    </row>
    <row r="1625" spans="1:10" x14ac:dyDescent="0.2">
      <c r="A1625" s="3">
        <v>44634</v>
      </c>
      <c r="B1625" s="1">
        <f ca="1">IFERROR(__xludf.DUMMYFUNCTION("""COMPUTED_VALUE"""),260.2)</f>
        <v>260.2</v>
      </c>
      <c r="C1625" s="1">
        <f ca="1">IFERROR(__xludf.DUMMYFUNCTION("""COMPUTED_VALUE"""),266.9)</f>
        <v>266.89999999999998</v>
      </c>
      <c r="D1625" s="1">
        <f ca="1">IFERROR(__xludf.DUMMYFUNCTION("""COMPUTED_VALUE"""),252.01)</f>
        <v>252.01</v>
      </c>
      <c r="E1625" s="1">
        <f ca="1">IFERROR(__xludf.DUMMYFUNCTION("""COMPUTED_VALUE"""),255.46)</f>
        <v>255.46</v>
      </c>
      <c r="F1625" s="1">
        <f ca="1">IFERROR(__xludf.DUMMYFUNCTION("""COMPUTED_VALUE"""),23717421)</f>
        <v>23717421</v>
      </c>
      <c r="G1625" s="5">
        <f t="shared" ca="1" si="75"/>
        <v>4.6347764816409627E-2</v>
      </c>
      <c r="H1625" s="14">
        <f t="shared" si="76"/>
        <v>2022</v>
      </c>
      <c r="I1625" s="5">
        <f t="shared" ca="1" si="77"/>
        <v>-1.8216756341275869E-2</v>
      </c>
      <c r="J1625" s="16"/>
    </row>
    <row r="1626" spans="1:10" x14ac:dyDescent="0.2">
      <c r="A1626" s="3">
        <v>44635</v>
      </c>
      <c r="B1626" s="1">
        <f ca="1">IFERROR(__xludf.DUMMYFUNCTION("""COMPUTED_VALUE"""),258.42)</f>
        <v>258.42</v>
      </c>
      <c r="C1626" s="1">
        <f ca="1">IFERROR(__xludf.DUMMYFUNCTION("""COMPUTED_VALUE"""),268.52)</f>
        <v>268.52</v>
      </c>
      <c r="D1626" s="1">
        <f ca="1">IFERROR(__xludf.DUMMYFUNCTION("""COMPUTED_VALUE"""),252.19)</f>
        <v>252.19</v>
      </c>
      <c r="E1626" s="1">
        <f ca="1">IFERROR(__xludf.DUMMYFUNCTION("""COMPUTED_VALUE"""),267.3)</f>
        <v>267.3</v>
      </c>
      <c r="F1626" s="1">
        <f ca="1">IFERROR(__xludf.DUMMYFUNCTION("""COMPUTED_VALUE"""),22280381)</f>
        <v>22280381</v>
      </c>
      <c r="G1626" s="5">
        <f t="shared" ca="1" si="75"/>
        <v>4.7811447811447708E-2</v>
      </c>
      <c r="H1626" s="14">
        <f t="shared" si="76"/>
        <v>2022</v>
      </c>
      <c r="I1626" s="5">
        <f t="shared" ca="1" si="77"/>
        <v>3.4362665428372401E-2</v>
      </c>
      <c r="J1626" s="16"/>
    </row>
    <row r="1627" spans="1:10" x14ac:dyDescent="0.2">
      <c r="A1627" s="3">
        <v>44636</v>
      </c>
      <c r="B1627" s="1">
        <f ca="1">IFERROR(__xludf.DUMMYFUNCTION("""COMPUTED_VALUE"""),269.67)</f>
        <v>269.67</v>
      </c>
      <c r="C1627" s="1">
        <f ca="1">IFERROR(__xludf.DUMMYFUNCTION("""COMPUTED_VALUE"""),280.67)</f>
        <v>280.67</v>
      </c>
      <c r="D1627" s="1">
        <f ca="1">IFERROR(__xludf.DUMMYFUNCTION("""COMPUTED_VALUE"""),267.42)</f>
        <v>267.42</v>
      </c>
      <c r="E1627" s="1">
        <f ca="1">IFERROR(__xludf.DUMMYFUNCTION("""COMPUTED_VALUE"""),280.08)</f>
        <v>280.08</v>
      </c>
      <c r="F1627" s="1">
        <f ca="1">IFERROR(__xludf.DUMMYFUNCTION("""COMPUTED_VALUE"""),28009607)</f>
        <v>28009607</v>
      </c>
      <c r="G1627" s="5">
        <f t="shared" ca="1" si="75"/>
        <v>3.731076835189942E-2</v>
      </c>
      <c r="H1627" s="14">
        <f t="shared" si="76"/>
        <v>2022</v>
      </c>
      <c r="I1627" s="5">
        <f t="shared" ca="1" si="77"/>
        <v>3.8602736678162081E-2</v>
      </c>
      <c r="J1627" s="16"/>
    </row>
    <row r="1628" spans="1:10" x14ac:dyDescent="0.2">
      <c r="A1628" s="3">
        <v>44637</v>
      </c>
      <c r="B1628" s="1">
        <f ca="1">IFERROR(__xludf.DUMMYFUNCTION("""COMPUTED_VALUE"""),277)</f>
        <v>277</v>
      </c>
      <c r="C1628" s="1">
        <f ca="1">IFERROR(__xludf.DUMMYFUNCTION("""COMPUTED_VALUE"""),291.67)</f>
        <v>291.67</v>
      </c>
      <c r="D1628" s="1">
        <f ca="1">IFERROR(__xludf.DUMMYFUNCTION("""COMPUTED_VALUE"""),275.24)</f>
        <v>275.24</v>
      </c>
      <c r="E1628" s="1">
        <f ca="1">IFERROR(__xludf.DUMMYFUNCTION("""COMPUTED_VALUE"""),290.53)</f>
        <v>290.52999999999997</v>
      </c>
      <c r="F1628" s="1">
        <f ca="1">IFERROR(__xludf.DUMMYFUNCTION("""COMPUTED_VALUE"""),22194324)</f>
        <v>22194324</v>
      </c>
      <c r="G1628" s="5">
        <f t="shared" ca="1" si="75"/>
        <v>3.8791174749595703E-2</v>
      </c>
      <c r="H1628" s="14">
        <f t="shared" si="76"/>
        <v>2022</v>
      </c>
      <c r="I1628" s="5">
        <f t="shared" ca="1" si="77"/>
        <v>4.8844765342960193E-2</v>
      </c>
      <c r="J1628" s="16"/>
    </row>
    <row r="1629" spans="1:10" x14ac:dyDescent="0.2">
      <c r="A1629" s="3">
        <v>44638</v>
      </c>
      <c r="B1629" s="1">
        <f ca="1">IFERROR(__xludf.DUMMYFUNCTION("""COMPUTED_VALUE"""),291.5)</f>
        <v>291.5</v>
      </c>
      <c r="C1629" s="1">
        <f ca="1">IFERROR(__xludf.DUMMYFUNCTION("""COMPUTED_VALUE"""),302.62)</f>
        <v>302.62</v>
      </c>
      <c r="D1629" s="1">
        <f ca="1">IFERROR(__xludf.DUMMYFUNCTION("""COMPUTED_VALUE"""),289.13)</f>
        <v>289.13</v>
      </c>
      <c r="E1629" s="1">
        <f ca="1">IFERROR(__xludf.DUMMYFUNCTION("""COMPUTED_VALUE"""),301.8)</f>
        <v>301.8</v>
      </c>
      <c r="F1629" s="1">
        <f ca="1">IFERROR(__xludf.DUMMYFUNCTION("""COMPUTED_VALUE"""),33471397)</f>
        <v>33471397</v>
      </c>
      <c r="G1629" s="5">
        <f t="shared" ca="1" si="75"/>
        <v>1.7395626242544732E-2</v>
      </c>
      <c r="H1629" s="14">
        <f t="shared" si="76"/>
        <v>2022</v>
      </c>
      <c r="I1629" s="5">
        <f t="shared" ca="1" si="77"/>
        <v>3.5334476843910848E-2</v>
      </c>
      <c r="J1629" s="16"/>
    </row>
    <row r="1630" spans="1:10" x14ac:dyDescent="0.2">
      <c r="A1630" s="3">
        <v>44641</v>
      </c>
      <c r="B1630" s="1">
        <f ca="1">IFERROR(__xludf.DUMMYFUNCTION("""COMPUTED_VALUE"""),304.99)</f>
        <v>304.99</v>
      </c>
      <c r="C1630" s="1">
        <f ca="1">IFERROR(__xludf.DUMMYFUNCTION("""COMPUTED_VALUE"""),314.28)</f>
        <v>314.27999999999997</v>
      </c>
      <c r="D1630" s="1">
        <f ca="1">IFERROR(__xludf.DUMMYFUNCTION("""COMPUTED_VALUE"""),302.36)</f>
        <v>302.36</v>
      </c>
      <c r="E1630" s="1">
        <f ca="1">IFERROR(__xludf.DUMMYFUNCTION("""COMPUTED_VALUE"""),307.05)</f>
        <v>307.05</v>
      </c>
      <c r="F1630" s="1">
        <f ca="1">IFERROR(__xludf.DUMMYFUNCTION("""COMPUTED_VALUE"""),27327216)</f>
        <v>27327216</v>
      </c>
      <c r="G1630" s="5">
        <f t="shared" ca="1" si="75"/>
        <v>7.9075069206969453E-2</v>
      </c>
      <c r="H1630" s="14">
        <f t="shared" si="76"/>
        <v>2022</v>
      </c>
      <c r="I1630" s="5">
        <f t="shared" ca="1" si="77"/>
        <v>6.7543198137643926E-3</v>
      </c>
      <c r="J1630" s="16"/>
    </row>
    <row r="1631" spans="1:10" x14ac:dyDescent="0.2">
      <c r="A1631" s="3">
        <v>44642</v>
      </c>
      <c r="B1631" s="1">
        <f ca="1">IFERROR(__xludf.DUMMYFUNCTION("""COMPUTED_VALUE"""),310)</f>
        <v>310</v>
      </c>
      <c r="C1631" s="1">
        <f ca="1">IFERROR(__xludf.DUMMYFUNCTION("""COMPUTED_VALUE"""),332.62)</f>
        <v>332.62</v>
      </c>
      <c r="D1631" s="1">
        <f ca="1">IFERROR(__xludf.DUMMYFUNCTION("""COMPUTED_VALUE"""),307.25)</f>
        <v>307.25</v>
      </c>
      <c r="E1631" s="1">
        <f ca="1">IFERROR(__xludf.DUMMYFUNCTION("""COMPUTED_VALUE"""),331.33)</f>
        <v>331.33</v>
      </c>
      <c r="F1631" s="1">
        <f ca="1">IFERROR(__xludf.DUMMYFUNCTION("""COMPUTED_VALUE"""),35289519)</f>
        <v>35289519</v>
      </c>
      <c r="G1631" s="5">
        <f t="shared" ca="1" si="75"/>
        <v>5.1610177164761305E-3</v>
      </c>
      <c r="H1631" s="14">
        <f t="shared" si="76"/>
        <v>2022</v>
      </c>
      <c r="I1631" s="5">
        <f t="shared" ca="1" si="77"/>
        <v>6.8806451612903177E-2</v>
      </c>
      <c r="J1631" s="16"/>
    </row>
    <row r="1632" spans="1:10" x14ac:dyDescent="0.2">
      <c r="A1632" s="3">
        <v>44643</v>
      </c>
      <c r="B1632" s="1">
        <f ca="1">IFERROR(__xludf.DUMMYFUNCTION("""COMPUTED_VALUE"""),326.65)</f>
        <v>326.64999999999998</v>
      </c>
      <c r="C1632" s="1">
        <f ca="1">IFERROR(__xludf.DUMMYFUNCTION("""COMPUTED_VALUE"""),346.9)</f>
        <v>346.9</v>
      </c>
      <c r="D1632" s="1">
        <f ca="1">IFERROR(__xludf.DUMMYFUNCTION("""COMPUTED_VALUE"""),325.47)</f>
        <v>325.47000000000003</v>
      </c>
      <c r="E1632" s="1">
        <f ca="1">IFERROR(__xludf.DUMMYFUNCTION("""COMPUTED_VALUE"""),333.04)</f>
        <v>333.04</v>
      </c>
      <c r="F1632" s="1">
        <f ca="1">IFERROR(__xludf.DUMMYFUNCTION("""COMPUTED_VALUE"""),40225383)</f>
        <v>40225383</v>
      </c>
      <c r="G1632" s="5">
        <f t="shared" ca="1" si="75"/>
        <v>1.4803026663463868E-2</v>
      </c>
      <c r="H1632" s="14">
        <f t="shared" si="76"/>
        <v>2022</v>
      </c>
      <c r="I1632" s="5">
        <f t="shared" ca="1" si="77"/>
        <v>1.9562222562375765E-2</v>
      </c>
      <c r="J1632" s="16"/>
    </row>
    <row r="1633" spans="1:10" x14ac:dyDescent="0.2">
      <c r="A1633" s="3">
        <v>44644</v>
      </c>
      <c r="B1633" s="1">
        <f ca="1">IFERROR(__xludf.DUMMYFUNCTION("""COMPUTED_VALUE"""),336.58)</f>
        <v>336.58</v>
      </c>
      <c r="C1633" s="1">
        <f ca="1">IFERROR(__xludf.DUMMYFUNCTION("""COMPUTED_VALUE"""),341.5)</f>
        <v>341.5</v>
      </c>
      <c r="D1633" s="1">
        <f ca="1">IFERROR(__xludf.DUMMYFUNCTION("""COMPUTED_VALUE"""),329.6)</f>
        <v>329.6</v>
      </c>
      <c r="E1633" s="1">
        <f ca="1">IFERROR(__xludf.DUMMYFUNCTION("""COMPUTED_VALUE"""),337.97)</f>
        <v>337.97</v>
      </c>
      <c r="F1633" s="1">
        <f ca="1">IFERROR(__xludf.DUMMYFUNCTION("""COMPUTED_VALUE"""),22973626)</f>
        <v>22973626</v>
      </c>
      <c r="G1633" s="5">
        <f t="shared" ca="1" si="75"/>
        <v>-3.2251383258870068E-3</v>
      </c>
      <c r="H1633" s="14">
        <f t="shared" si="76"/>
        <v>2022</v>
      </c>
      <c r="I1633" s="5">
        <f t="shared" ca="1" si="77"/>
        <v>4.1297759819360728E-3</v>
      </c>
      <c r="J1633" s="16"/>
    </row>
    <row r="1634" spans="1:10" x14ac:dyDescent="0.2">
      <c r="A1634" s="3">
        <v>44645</v>
      </c>
      <c r="B1634" s="1">
        <f ca="1">IFERROR(__xludf.DUMMYFUNCTION("""COMPUTED_VALUE"""),336)</f>
        <v>336</v>
      </c>
      <c r="C1634" s="1">
        <f ca="1">IFERROR(__xludf.DUMMYFUNCTION("""COMPUTED_VALUE"""),340.6)</f>
        <v>340.6</v>
      </c>
      <c r="D1634" s="1">
        <f ca="1">IFERROR(__xludf.DUMMYFUNCTION("""COMPUTED_VALUE"""),332.44)</f>
        <v>332.44</v>
      </c>
      <c r="E1634" s="1">
        <f ca="1">IFERROR(__xludf.DUMMYFUNCTION("""COMPUTED_VALUE"""),336.88)</f>
        <v>336.88</v>
      </c>
      <c r="F1634" s="1">
        <f ca="1">IFERROR(__xludf.DUMMYFUNCTION("""COMPUTED_VALUE"""),20677182)</f>
        <v>20677182</v>
      </c>
      <c r="G1634" s="5">
        <f t="shared" ca="1" si="75"/>
        <v>8.0355022559961992E-2</v>
      </c>
      <c r="H1634" s="14">
        <f t="shared" si="76"/>
        <v>2022</v>
      </c>
      <c r="I1634" s="5">
        <f t="shared" ca="1" si="77"/>
        <v>2.6190476190476055E-3</v>
      </c>
      <c r="J1634" s="16"/>
    </row>
    <row r="1635" spans="1:10" x14ac:dyDescent="0.2">
      <c r="A1635" s="3">
        <v>44648</v>
      </c>
      <c r="B1635" s="1">
        <f ca="1">IFERROR(__xludf.DUMMYFUNCTION("""COMPUTED_VALUE"""),355.03)</f>
        <v>355.03</v>
      </c>
      <c r="C1635" s="1">
        <f ca="1">IFERROR(__xludf.DUMMYFUNCTION("""COMPUTED_VALUE"""),365.96)</f>
        <v>365.96</v>
      </c>
      <c r="D1635" s="1">
        <f ca="1">IFERROR(__xludf.DUMMYFUNCTION("""COMPUTED_VALUE"""),351.2)</f>
        <v>351.2</v>
      </c>
      <c r="E1635" s="1">
        <f ca="1">IFERROR(__xludf.DUMMYFUNCTION("""COMPUTED_VALUE"""),363.95)</f>
        <v>363.95</v>
      </c>
      <c r="F1635" s="1">
        <f ca="1">IFERROR(__xludf.DUMMYFUNCTION("""COMPUTED_VALUE"""),34168693)</f>
        <v>34168693</v>
      </c>
      <c r="G1635" s="5">
        <f t="shared" ca="1" si="75"/>
        <v>7.0614095342766674E-3</v>
      </c>
      <c r="H1635" s="14">
        <f t="shared" si="76"/>
        <v>2022</v>
      </c>
      <c r="I1635" s="5">
        <f t="shared" ca="1" si="77"/>
        <v>2.51246373545898E-2</v>
      </c>
      <c r="J1635" s="16"/>
    </row>
    <row r="1636" spans="1:10" x14ac:dyDescent="0.2">
      <c r="A1636" s="3">
        <v>44649</v>
      </c>
      <c r="B1636" s="1">
        <f ca="1">IFERROR(__xludf.DUMMYFUNCTION("""COMPUTED_VALUE"""),369.33)</f>
        <v>369.33</v>
      </c>
      <c r="C1636" s="1">
        <f ca="1">IFERROR(__xludf.DUMMYFUNCTION("""COMPUTED_VALUE"""),371.59)</f>
        <v>371.59</v>
      </c>
      <c r="D1636" s="1">
        <f ca="1">IFERROR(__xludf.DUMMYFUNCTION("""COMPUTED_VALUE"""),357.7)</f>
        <v>357.7</v>
      </c>
      <c r="E1636" s="1">
        <f ca="1">IFERROR(__xludf.DUMMYFUNCTION("""COMPUTED_VALUE"""),366.52)</f>
        <v>366.52</v>
      </c>
      <c r="F1636" s="1">
        <f ca="1">IFERROR(__xludf.DUMMYFUNCTION("""COMPUTED_VALUE"""),24538273)</f>
        <v>24538273</v>
      </c>
      <c r="G1636" s="5">
        <f t="shared" ca="1" si="75"/>
        <v>-5.0747571755973943E-3</v>
      </c>
      <c r="H1636" s="14">
        <f t="shared" si="76"/>
        <v>2022</v>
      </c>
      <c r="I1636" s="5">
        <f t="shared" ca="1" si="77"/>
        <v>-7.6083719167140563E-3</v>
      </c>
      <c r="J1636" s="16"/>
    </row>
    <row r="1637" spans="1:10" x14ac:dyDescent="0.2">
      <c r="A1637" s="3">
        <v>44650</v>
      </c>
      <c r="B1637" s="1">
        <f ca="1">IFERROR(__xludf.DUMMYFUNCTION("""COMPUTED_VALUE"""),363.72)</f>
        <v>363.72</v>
      </c>
      <c r="C1637" s="1">
        <f ca="1">IFERROR(__xludf.DUMMYFUNCTION("""COMPUTED_VALUE"""),371.32)</f>
        <v>371.32</v>
      </c>
      <c r="D1637" s="1">
        <f ca="1">IFERROR(__xludf.DUMMYFUNCTION("""COMPUTED_VALUE"""),361.33)</f>
        <v>361.33</v>
      </c>
      <c r="E1637" s="1">
        <f ca="1">IFERROR(__xludf.DUMMYFUNCTION("""COMPUTED_VALUE"""),364.66)</f>
        <v>364.66</v>
      </c>
      <c r="F1637" s="1">
        <f ca="1">IFERROR(__xludf.DUMMYFUNCTION("""COMPUTED_VALUE"""),19955002)</f>
        <v>19955002</v>
      </c>
      <c r="G1637" s="5">
        <f t="shared" ca="1" si="75"/>
        <v>-1.4972851423243668E-2</v>
      </c>
      <c r="H1637" s="14">
        <f t="shared" si="76"/>
        <v>2022</v>
      </c>
      <c r="I1637" s="5">
        <f t="shared" ca="1" si="77"/>
        <v>2.5844055867150491E-3</v>
      </c>
      <c r="J1637" s="16"/>
    </row>
    <row r="1638" spans="1:10" x14ac:dyDescent="0.2">
      <c r="A1638" s="3">
        <v>44651</v>
      </c>
      <c r="B1638" s="1">
        <f ca="1">IFERROR(__xludf.DUMMYFUNCTION("""COMPUTED_VALUE"""),364.86)</f>
        <v>364.86</v>
      </c>
      <c r="C1638" s="1">
        <f ca="1">IFERROR(__xludf.DUMMYFUNCTION("""COMPUTED_VALUE"""),367.71)</f>
        <v>367.71</v>
      </c>
      <c r="D1638" s="1">
        <f ca="1">IFERROR(__xludf.DUMMYFUNCTION("""COMPUTED_VALUE"""),358.88)</f>
        <v>358.88</v>
      </c>
      <c r="E1638" s="1">
        <f ca="1">IFERROR(__xludf.DUMMYFUNCTION("""COMPUTED_VALUE"""),359.2)</f>
        <v>359.2</v>
      </c>
      <c r="F1638" s="1">
        <f ca="1">IFERROR(__xludf.DUMMYFUNCTION("""COMPUTED_VALUE"""),16330919)</f>
        <v>16330919</v>
      </c>
      <c r="G1638" s="5">
        <f t="shared" ca="1" si="75"/>
        <v>6.4866369710467262E-3</v>
      </c>
      <c r="H1638" s="14">
        <f t="shared" si="76"/>
        <v>2022</v>
      </c>
      <c r="I1638" s="5">
        <f t="shared" ca="1" si="77"/>
        <v>-1.5512799429918393E-2</v>
      </c>
      <c r="J1638" s="16"/>
    </row>
    <row r="1639" spans="1:10" x14ac:dyDescent="0.2">
      <c r="A1639" s="3">
        <v>44652</v>
      </c>
      <c r="B1639" s="1">
        <f ca="1">IFERROR(__xludf.DUMMYFUNCTION("""COMPUTED_VALUE"""),360.38)</f>
        <v>360.38</v>
      </c>
      <c r="C1639" s="1">
        <f ca="1">IFERROR(__xludf.DUMMYFUNCTION("""COMPUTED_VALUE"""),364.92)</f>
        <v>364.92</v>
      </c>
      <c r="D1639" s="1">
        <f ca="1">IFERROR(__xludf.DUMMYFUNCTION("""COMPUTED_VALUE"""),355.55)</f>
        <v>355.55</v>
      </c>
      <c r="E1639" s="1">
        <f ca="1">IFERROR(__xludf.DUMMYFUNCTION("""COMPUTED_VALUE"""),361.53)</f>
        <v>361.53</v>
      </c>
      <c r="F1639" s="1">
        <f ca="1">IFERROR(__xludf.DUMMYFUNCTION("""COMPUTED_VALUE"""),18087741)</f>
        <v>18087741</v>
      </c>
      <c r="G1639" s="5">
        <f t="shared" ca="1" si="75"/>
        <v>5.6122590103172686E-2</v>
      </c>
      <c r="H1639" s="14">
        <f t="shared" si="76"/>
        <v>2022</v>
      </c>
      <c r="I1639" s="5">
        <f t="shared" ca="1" si="77"/>
        <v>3.1910760863532307E-3</v>
      </c>
      <c r="J1639" s="16"/>
    </row>
    <row r="1640" spans="1:10" x14ac:dyDescent="0.2">
      <c r="A1640" s="3">
        <v>44655</v>
      </c>
      <c r="B1640" s="1">
        <f ca="1">IFERROR(__xludf.DUMMYFUNCTION("""COMPUTED_VALUE"""),363.13)</f>
        <v>363.13</v>
      </c>
      <c r="C1640" s="1">
        <f ca="1">IFERROR(__xludf.DUMMYFUNCTION("""COMPUTED_VALUE"""),383.3)</f>
        <v>383.3</v>
      </c>
      <c r="D1640" s="1">
        <f ca="1">IFERROR(__xludf.DUMMYFUNCTION("""COMPUTED_VALUE"""),357.51)</f>
        <v>357.51</v>
      </c>
      <c r="E1640" s="1">
        <f ca="1">IFERROR(__xludf.DUMMYFUNCTION("""COMPUTED_VALUE"""),381.82)</f>
        <v>381.82</v>
      </c>
      <c r="F1640" s="1">
        <f ca="1">IFERROR(__xludf.DUMMYFUNCTION("""COMPUTED_VALUE"""),27392567)</f>
        <v>27392567</v>
      </c>
      <c r="G1640" s="5">
        <f t="shared" ca="1" si="75"/>
        <v>-4.7325965114451821E-2</v>
      </c>
      <c r="H1640" s="14">
        <f t="shared" si="76"/>
        <v>2022</v>
      </c>
      <c r="I1640" s="5">
        <f t="shared" ca="1" si="77"/>
        <v>5.1469170820367359E-2</v>
      </c>
      <c r="J1640" s="16"/>
    </row>
    <row r="1641" spans="1:10" x14ac:dyDescent="0.2">
      <c r="A1641" s="3">
        <v>44656</v>
      </c>
      <c r="B1641" s="1">
        <f ca="1">IFERROR(__xludf.DUMMYFUNCTION("""COMPUTED_VALUE"""),378.77)</f>
        <v>378.77</v>
      </c>
      <c r="C1641" s="1">
        <f ca="1">IFERROR(__xludf.DUMMYFUNCTION("""COMPUTED_VALUE"""),384.29)</f>
        <v>384.29</v>
      </c>
      <c r="D1641" s="1">
        <f ca="1">IFERROR(__xludf.DUMMYFUNCTION("""COMPUTED_VALUE"""),362.43)</f>
        <v>362.43</v>
      </c>
      <c r="E1641" s="1">
        <f ca="1">IFERROR(__xludf.DUMMYFUNCTION("""COMPUTED_VALUE"""),363.75)</f>
        <v>363.75</v>
      </c>
      <c r="F1641" s="1">
        <f ca="1">IFERROR(__xludf.DUMMYFUNCTION("""COMPUTED_VALUE"""),26691673)</f>
        <v>26691673</v>
      </c>
      <c r="G1641" s="5">
        <f t="shared" ca="1" si="75"/>
        <v>-4.167697594501725E-2</v>
      </c>
      <c r="H1641" s="14">
        <f t="shared" si="76"/>
        <v>2022</v>
      </c>
      <c r="I1641" s="5">
        <f t="shared" ca="1" si="77"/>
        <v>-3.965467170050422E-2</v>
      </c>
      <c r="J1641" s="16"/>
    </row>
    <row r="1642" spans="1:10" x14ac:dyDescent="0.2">
      <c r="A1642" s="3">
        <v>44657</v>
      </c>
      <c r="B1642" s="1">
        <f ca="1">IFERROR(__xludf.DUMMYFUNCTION("""COMPUTED_VALUE"""),357.82)</f>
        <v>357.82</v>
      </c>
      <c r="C1642" s="1">
        <f ca="1">IFERROR(__xludf.DUMMYFUNCTION("""COMPUTED_VALUE"""),359.67)</f>
        <v>359.67</v>
      </c>
      <c r="D1642" s="1">
        <f ca="1">IFERROR(__xludf.DUMMYFUNCTION("""COMPUTED_VALUE"""),342.57)</f>
        <v>342.57</v>
      </c>
      <c r="E1642" s="1">
        <f ca="1">IFERROR(__xludf.DUMMYFUNCTION("""COMPUTED_VALUE"""),348.59)</f>
        <v>348.59</v>
      </c>
      <c r="F1642" s="1">
        <f ca="1">IFERROR(__xludf.DUMMYFUNCTION("""COMPUTED_VALUE"""),29782845)</f>
        <v>29782845</v>
      </c>
      <c r="G1642" s="5">
        <f t="shared" ca="1" si="75"/>
        <v>1.098711953871322E-2</v>
      </c>
      <c r="H1642" s="14">
        <f t="shared" si="76"/>
        <v>2022</v>
      </c>
      <c r="I1642" s="5">
        <f t="shared" ca="1" si="77"/>
        <v>-2.579509250461131E-2</v>
      </c>
      <c r="J1642" s="16"/>
    </row>
    <row r="1643" spans="1:10" x14ac:dyDescent="0.2">
      <c r="A1643" s="3">
        <v>44658</v>
      </c>
      <c r="B1643" s="1">
        <f ca="1">IFERROR(__xludf.DUMMYFUNCTION("""COMPUTED_VALUE"""),350.8)</f>
        <v>350.8</v>
      </c>
      <c r="C1643" s="1">
        <f ca="1">IFERROR(__xludf.DUMMYFUNCTION("""COMPUTED_VALUE"""),358.86)</f>
        <v>358.86</v>
      </c>
      <c r="D1643" s="1">
        <f ca="1">IFERROR(__xludf.DUMMYFUNCTION("""COMPUTED_VALUE"""),340.51)</f>
        <v>340.51</v>
      </c>
      <c r="E1643" s="1">
        <f ca="1">IFERROR(__xludf.DUMMYFUNCTION("""COMPUTED_VALUE"""),352.42)</f>
        <v>352.42</v>
      </c>
      <c r="F1643" s="1">
        <f ca="1">IFERROR(__xludf.DUMMYFUNCTION("""COMPUTED_VALUE"""),26482353)</f>
        <v>26482353</v>
      </c>
      <c r="G1643" s="5">
        <f t="shared" ca="1" si="75"/>
        <v>-3.0049372907326573E-2</v>
      </c>
      <c r="H1643" s="14">
        <f t="shared" si="76"/>
        <v>2022</v>
      </c>
      <c r="I1643" s="5">
        <f t="shared" ca="1" si="77"/>
        <v>4.6180159635119851E-3</v>
      </c>
      <c r="J1643" s="16"/>
    </row>
    <row r="1644" spans="1:10" x14ac:dyDescent="0.2">
      <c r="A1644" s="3">
        <v>44659</v>
      </c>
      <c r="B1644" s="1">
        <f ca="1">IFERROR(__xludf.DUMMYFUNCTION("""COMPUTED_VALUE"""),347.74)</f>
        <v>347.74</v>
      </c>
      <c r="C1644" s="1">
        <f ca="1">IFERROR(__xludf.DUMMYFUNCTION("""COMPUTED_VALUE"""),349.48)</f>
        <v>349.48</v>
      </c>
      <c r="D1644" s="1">
        <f ca="1">IFERROR(__xludf.DUMMYFUNCTION("""COMPUTED_VALUE"""),340.81)</f>
        <v>340.81</v>
      </c>
      <c r="E1644" s="1">
        <f ca="1">IFERROR(__xludf.DUMMYFUNCTION("""COMPUTED_VALUE"""),341.83)</f>
        <v>341.83</v>
      </c>
      <c r="F1644" s="1">
        <f ca="1">IFERROR(__xludf.DUMMYFUNCTION("""COMPUTED_VALUE"""),18337896)</f>
        <v>18337896</v>
      </c>
      <c r="G1644" s="5">
        <f t="shared" ca="1" si="75"/>
        <v>-4.8328116315127352E-2</v>
      </c>
      <c r="H1644" s="14">
        <f t="shared" si="76"/>
        <v>2022</v>
      </c>
      <c r="I1644" s="5">
        <f t="shared" ca="1" si="77"/>
        <v>-1.6995456375452998E-2</v>
      </c>
      <c r="J1644" s="16"/>
    </row>
    <row r="1645" spans="1:10" x14ac:dyDescent="0.2">
      <c r="A1645" s="3">
        <v>44662</v>
      </c>
      <c r="B1645" s="1">
        <f ca="1">IFERROR(__xludf.DUMMYFUNCTION("""COMPUTED_VALUE"""),326.8)</f>
        <v>326.8</v>
      </c>
      <c r="C1645" s="1">
        <f ca="1">IFERROR(__xludf.DUMMYFUNCTION("""COMPUTED_VALUE"""),336.16)</f>
        <v>336.16</v>
      </c>
      <c r="D1645" s="1">
        <f ca="1">IFERROR(__xludf.DUMMYFUNCTION("""COMPUTED_VALUE"""),324.88)</f>
        <v>324.88</v>
      </c>
      <c r="E1645" s="1">
        <f ca="1">IFERROR(__xludf.DUMMYFUNCTION("""COMPUTED_VALUE"""),325.31)</f>
        <v>325.31</v>
      </c>
      <c r="F1645" s="1">
        <f ca="1">IFERROR(__xludf.DUMMYFUNCTION("""COMPUTED_VALUE"""),19785735)</f>
        <v>19785735</v>
      </c>
      <c r="G1645" s="5">
        <f t="shared" ca="1" si="75"/>
        <v>1.1281546832252362E-2</v>
      </c>
      <c r="H1645" s="14">
        <f t="shared" si="76"/>
        <v>2022</v>
      </c>
      <c r="I1645" s="5">
        <f t="shared" ca="1" si="77"/>
        <v>-4.5593635250918271E-3</v>
      </c>
      <c r="J1645" s="16"/>
    </row>
    <row r="1646" spans="1:10" x14ac:dyDescent="0.2">
      <c r="A1646" s="3">
        <v>44663</v>
      </c>
      <c r="B1646" s="1">
        <f ca="1">IFERROR(__xludf.DUMMYFUNCTION("""COMPUTED_VALUE"""),332.55)</f>
        <v>332.55</v>
      </c>
      <c r="C1646" s="1">
        <f ca="1">IFERROR(__xludf.DUMMYFUNCTION("""COMPUTED_VALUE"""),340.4)</f>
        <v>340.4</v>
      </c>
      <c r="D1646" s="1">
        <f ca="1">IFERROR(__xludf.DUMMYFUNCTION("""COMPUTED_VALUE"""),325.53)</f>
        <v>325.52999999999997</v>
      </c>
      <c r="E1646" s="1">
        <f ca="1">IFERROR(__xludf.DUMMYFUNCTION("""COMPUTED_VALUE"""),328.98)</f>
        <v>328.98</v>
      </c>
      <c r="F1646" s="1">
        <f ca="1">IFERROR(__xludf.DUMMYFUNCTION("""COMPUTED_VALUE"""),21992032)</f>
        <v>21992032</v>
      </c>
      <c r="G1646" s="5">
        <f t="shared" ca="1" si="75"/>
        <v>3.5898838835187553E-2</v>
      </c>
      <c r="H1646" s="14">
        <f t="shared" si="76"/>
        <v>2022</v>
      </c>
      <c r="I1646" s="5">
        <f t="shared" ca="1" si="77"/>
        <v>-1.0735227785295424E-2</v>
      </c>
      <c r="J1646" s="16"/>
    </row>
    <row r="1647" spans="1:10" x14ac:dyDescent="0.2">
      <c r="A1647" s="3">
        <v>44664</v>
      </c>
      <c r="B1647" s="1">
        <f ca="1">IFERROR(__xludf.DUMMYFUNCTION("""COMPUTED_VALUE"""),327.02)</f>
        <v>327.02</v>
      </c>
      <c r="C1647" s="1">
        <f ca="1">IFERROR(__xludf.DUMMYFUNCTION("""COMPUTED_VALUE"""),342.08)</f>
        <v>342.08</v>
      </c>
      <c r="D1647" s="1">
        <f ca="1">IFERROR(__xludf.DUMMYFUNCTION("""COMPUTED_VALUE"""),324.37)</f>
        <v>324.37</v>
      </c>
      <c r="E1647" s="1">
        <f ca="1">IFERROR(__xludf.DUMMYFUNCTION("""COMPUTED_VALUE"""),340.79)</f>
        <v>340.79</v>
      </c>
      <c r="F1647" s="1">
        <f ca="1">IFERROR(__xludf.DUMMYFUNCTION("""COMPUTED_VALUE"""),18373737)</f>
        <v>18373737</v>
      </c>
      <c r="G1647" s="5">
        <f t="shared" ca="1" si="75"/>
        <v>-3.6562105695589764E-2</v>
      </c>
      <c r="H1647" s="14">
        <f t="shared" si="76"/>
        <v>2022</v>
      </c>
      <c r="I1647" s="5">
        <f t="shared" ca="1" si="77"/>
        <v>4.2107516359855789E-2</v>
      </c>
      <c r="J1647" s="16"/>
    </row>
    <row r="1648" spans="1:10" x14ac:dyDescent="0.2">
      <c r="A1648" s="3">
        <v>44665</v>
      </c>
      <c r="B1648" s="1">
        <f ca="1">IFERROR(__xludf.DUMMYFUNCTION("""COMPUTED_VALUE"""),333.1)</f>
        <v>333.1</v>
      </c>
      <c r="C1648" s="1">
        <f ca="1">IFERROR(__xludf.DUMMYFUNCTION("""COMPUTED_VALUE"""),337.57)</f>
        <v>337.57</v>
      </c>
      <c r="D1648" s="1">
        <f ca="1">IFERROR(__xludf.DUMMYFUNCTION("""COMPUTED_VALUE"""),327.4)</f>
        <v>327.39999999999998</v>
      </c>
      <c r="E1648" s="1">
        <f ca="1">IFERROR(__xludf.DUMMYFUNCTION("""COMPUTED_VALUE"""),328.33)</f>
        <v>328.33</v>
      </c>
      <c r="F1648" s="1">
        <f ca="1">IFERROR(__xludf.DUMMYFUNCTION("""COMPUTED_VALUE"""),19474135)</f>
        <v>19474135</v>
      </c>
      <c r="G1648" s="5">
        <f t="shared" ca="1" si="75"/>
        <v>1.9583955167057555E-2</v>
      </c>
      <c r="H1648" s="14">
        <f t="shared" si="76"/>
        <v>2022</v>
      </c>
      <c r="I1648" s="5">
        <f t="shared" ca="1" si="77"/>
        <v>-1.4320024016811884E-2</v>
      </c>
      <c r="J1648" s="16"/>
    </row>
    <row r="1649" spans="1:10" x14ac:dyDescent="0.2">
      <c r="A1649" s="3">
        <v>44669</v>
      </c>
      <c r="B1649" s="1">
        <f ca="1">IFERROR(__xludf.DUMMYFUNCTION("""COMPUTED_VALUE"""),329.68)</f>
        <v>329.68</v>
      </c>
      <c r="C1649" s="1">
        <f ca="1">IFERROR(__xludf.DUMMYFUNCTION("""COMPUTED_VALUE"""),338.31)</f>
        <v>338.31</v>
      </c>
      <c r="D1649" s="1">
        <f ca="1">IFERROR(__xludf.DUMMYFUNCTION("""COMPUTED_VALUE"""),324.47)</f>
        <v>324.47000000000003</v>
      </c>
      <c r="E1649" s="1">
        <f ca="1">IFERROR(__xludf.DUMMYFUNCTION("""COMPUTED_VALUE"""),334.76)</f>
        <v>334.76</v>
      </c>
      <c r="F1649" s="1">
        <f ca="1">IFERROR(__xludf.DUMMYFUNCTION("""COMPUTED_VALUE"""),17238407)</f>
        <v>17238407</v>
      </c>
      <c r="G1649" s="5">
        <f t="shared" ca="1" si="75"/>
        <v>2.3778229179113503E-2</v>
      </c>
      <c r="H1649" s="14">
        <f t="shared" si="76"/>
        <v>2022</v>
      </c>
      <c r="I1649" s="5">
        <f t="shared" ca="1" si="77"/>
        <v>1.540888133948066E-2</v>
      </c>
      <c r="J1649" s="16"/>
    </row>
    <row r="1650" spans="1:10" x14ac:dyDescent="0.2">
      <c r="A1650" s="3">
        <v>44670</v>
      </c>
      <c r="B1650" s="1">
        <f ca="1">IFERROR(__xludf.DUMMYFUNCTION("""COMPUTED_VALUE"""),335.02)</f>
        <v>335.02</v>
      </c>
      <c r="C1650" s="1">
        <f ca="1">IFERROR(__xludf.DUMMYFUNCTION("""COMPUTED_VALUE"""),344.98)</f>
        <v>344.98</v>
      </c>
      <c r="D1650" s="1">
        <f ca="1">IFERROR(__xludf.DUMMYFUNCTION("""COMPUTED_VALUE"""),331.78)</f>
        <v>331.78</v>
      </c>
      <c r="E1650" s="1">
        <f ca="1">IFERROR(__xludf.DUMMYFUNCTION("""COMPUTED_VALUE"""),342.72)</f>
        <v>342.72</v>
      </c>
      <c r="F1650" s="1">
        <f ca="1">IFERROR(__xludf.DUMMYFUNCTION("""COMPUTED_VALUE"""),16615944)</f>
        <v>16615944</v>
      </c>
      <c r="G1650" s="5">
        <f t="shared" ca="1" si="75"/>
        <v>-4.9573996265172761E-2</v>
      </c>
      <c r="H1650" s="14">
        <f t="shared" si="76"/>
        <v>2022</v>
      </c>
      <c r="I1650" s="5">
        <f t="shared" ca="1" si="77"/>
        <v>2.2983702465524582E-2</v>
      </c>
      <c r="J1650" s="16"/>
    </row>
    <row r="1651" spans="1:10" x14ac:dyDescent="0.2">
      <c r="A1651" s="3">
        <v>44671</v>
      </c>
      <c r="B1651" s="1">
        <f ca="1">IFERROR(__xludf.DUMMYFUNCTION("""COMPUTED_VALUE"""),343.33)</f>
        <v>343.33</v>
      </c>
      <c r="C1651" s="1">
        <f ca="1">IFERROR(__xludf.DUMMYFUNCTION("""COMPUTED_VALUE"""),344.67)</f>
        <v>344.67</v>
      </c>
      <c r="D1651" s="1">
        <f ca="1">IFERROR(__xludf.DUMMYFUNCTION("""COMPUTED_VALUE"""),325.08)</f>
        <v>325.08</v>
      </c>
      <c r="E1651" s="1">
        <f ca="1">IFERROR(__xludf.DUMMYFUNCTION("""COMPUTED_VALUE"""),325.73)</f>
        <v>325.73</v>
      </c>
      <c r="F1651" s="1">
        <f ca="1">IFERROR(__xludf.DUMMYFUNCTION("""COMPUTED_VALUE"""),23570442)</f>
        <v>23570442</v>
      </c>
      <c r="G1651" s="5">
        <f t="shared" ca="1" si="75"/>
        <v>3.2327387713750565E-2</v>
      </c>
      <c r="H1651" s="14">
        <f t="shared" si="76"/>
        <v>2022</v>
      </c>
      <c r="I1651" s="5">
        <f t="shared" ca="1" si="77"/>
        <v>-5.126263361780202E-2</v>
      </c>
      <c r="J1651" s="16"/>
    </row>
    <row r="1652" spans="1:10" x14ac:dyDescent="0.2">
      <c r="A1652" s="3">
        <v>44672</v>
      </c>
      <c r="B1652" s="1">
        <f ca="1">IFERROR(__xludf.DUMMYFUNCTION("""COMPUTED_VALUE"""),358.24)</f>
        <v>358.24</v>
      </c>
      <c r="C1652" s="1">
        <f ca="1">IFERROR(__xludf.DUMMYFUNCTION("""COMPUTED_VALUE"""),364.07)</f>
        <v>364.07</v>
      </c>
      <c r="D1652" s="1">
        <f ca="1">IFERROR(__xludf.DUMMYFUNCTION("""COMPUTED_VALUE"""),332.14)</f>
        <v>332.14</v>
      </c>
      <c r="E1652" s="1">
        <f ca="1">IFERROR(__xludf.DUMMYFUNCTION("""COMPUTED_VALUE"""),336.26)</f>
        <v>336.26</v>
      </c>
      <c r="F1652" s="1">
        <f ca="1">IFERROR(__xludf.DUMMYFUNCTION("""COMPUTED_VALUE"""),35138779)</f>
        <v>35138779</v>
      </c>
      <c r="G1652" s="5">
        <f t="shared" ca="1" si="75"/>
        <v>-3.6876226729316871E-3</v>
      </c>
      <c r="H1652" s="14">
        <f t="shared" si="76"/>
        <v>2022</v>
      </c>
      <c r="I1652" s="5">
        <f t="shared" ca="1" si="77"/>
        <v>-6.1355515855292593E-2</v>
      </c>
      <c r="J1652" s="16"/>
    </row>
    <row r="1653" spans="1:10" x14ac:dyDescent="0.2">
      <c r="A1653" s="3">
        <v>44673</v>
      </c>
      <c r="B1653" s="1">
        <f ca="1">IFERROR(__xludf.DUMMYFUNCTION("""COMPUTED_VALUE"""),338.3)</f>
        <v>338.3</v>
      </c>
      <c r="C1653" s="1">
        <f ca="1">IFERROR(__xludf.DUMMYFUNCTION("""COMPUTED_VALUE"""),344.95)</f>
        <v>344.95</v>
      </c>
      <c r="D1653" s="1">
        <f ca="1">IFERROR(__xludf.DUMMYFUNCTION("""COMPUTED_VALUE"""),331.33)</f>
        <v>331.33</v>
      </c>
      <c r="E1653" s="1">
        <f ca="1">IFERROR(__xludf.DUMMYFUNCTION("""COMPUTED_VALUE"""),335.02)</f>
        <v>335.02</v>
      </c>
      <c r="F1653" s="1">
        <f ca="1">IFERROR(__xludf.DUMMYFUNCTION("""COMPUTED_VALUE"""),23232186)</f>
        <v>23232186</v>
      </c>
      <c r="G1653" s="5">
        <f t="shared" ca="1" si="75"/>
        <v>-7.0145065966209959E-3</v>
      </c>
      <c r="H1653" s="14">
        <f t="shared" si="76"/>
        <v>2022</v>
      </c>
      <c r="I1653" s="5">
        <f t="shared" ca="1" si="77"/>
        <v>-9.6955365060597976E-3</v>
      </c>
      <c r="J1653" s="16"/>
    </row>
    <row r="1654" spans="1:10" x14ac:dyDescent="0.2">
      <c r="A1654" s="3">
        <v>44676</v>
      </c>
      <c r="B1654" s="1">
        <f ca="1">IFERROR(__xludf.DUMMYFUNCTION("""COMPUTED_VALUE"""),326.32)</f>
        <v>326.32</v>
      </c>
      <c r="C1654" s="1">
        <f ca="1">IFERROR(__xludf.DUMMYFUNCTION("""COMPUTED_VALUE"""),336.21)</f>
        <v>336.21</v>
      </c>
      <c r="D1654" s="1">
        <f ca="1">IFERROR(__xludf.DUMMYFUNCTION("""COMPUTED_VALUE"""),325.1)</f>
        <v>325.10000000000002</v>
      </c>
      <c r="E1654" s="1">
        <f ca="1">IFERROR(__xludf.DUMMYFUNCTION("""COMPUTED_VALUE"""),332.67)</f>
        <v>332.67</v>
      </c>
      <c r="F1654" s="1">
        <f ca="1">IFERROR(__xludf.DUMMYFUNCTION("""COMPUTED_VALUE"""),22780445)</f>
        <v>22780445</v>
      </c>
      <c r="G1654" s="5">
        <f t="shared" ca="1" si="75"/>
        <v>-0.12183244656867175</v>
      </c>
      <c r="H1654" s="14">
        <f t="shared" si="76"/>
        <v>2022</v>
      </c>
      <c r="I1654" s="5">
        <f t="shared" ca="1" si="77"/>
        <v>1.9459426329982907E-2</v>
      </c>
      <c r="J1654" s="16"/>
    </row>
    <row r="1655" spans="1:10" x14ac:dyDescent="0.2">
      <c r="A1655" s="3">
        <v>44677</v>
      </c>
      <c r="B1655" s="1">
        <f ca="1">IFERROR(__xludf.DUMMYFUNCTION("""COMPUTED_VALUE"""),331.81)</f>
        <v>331.81</v>
      </c>
      <c r="C1655" s="1">
        <f ca="1">IFERROR(__xludf.DUMMYFUNCTION("""COMPUTED_VALUE"""),333.33)</f>
        <v>333.33</v>
      </c>
      <c r="D1655" s="1">
        <f ca="1">IFERROR(__xludf.DUMMYFUNCTION("""COMPUTED_VALUE"""),291.67)</f>
        <v>291.67</v>
      </c>
      <c r="E1655" s="1">
        <f ca="1">IFERROR(__xludf.DUMMYFUNCTION("""COMPUTED_VALUE"""),292.14)</f>
        <v>292.14</v>
      </c>
      <c r="F1655" s="1">
        <f ca="1">IFERROR(__xludf.DUMMYFUNCTION("""COMPUTED_VALUE"""),45377889)</f>
        <v>45377889</v>
      </c>
      <c r="G1655" s="5">
        <f t="shared" ca="1" si="75"/>
        <v>5.8191278154309193E-3</v>
      </c>
      <c r="H1655" s="14">
        <f t="shared" si="76"/>
        <v>2022</v>
      </c>
      <c r="I1655" s="5">
        <f t="shared" ca="1" si="77"/>
        <v>-0.11955637262288664</v>
      </c>
      <c r="J1655" s="16"/>
    </row>
    <row r="1656" spans="1:10" x14ac:dyDescent="0.2">
      <c r="A1656" s="3">
        <v>44678</v>
      </c>
      <c r="B1656" s="1">
        <f ca="1">IFERROR(__xludf.DUMMYFUNCTION("""COMPUTED_VALUE"""),299.53)</f>
        <v>299.52999999999997</v>
      </c>
      <c r="C1656" s="1">
        <f ca="1">IFERROR(__xludf.DUMMYFUNCTION("""COMPUTED_VALUE"""),306)</f>
        <v>306</v>
      </c>
      <c r="D1656" s="1">
        <f ca="1">IFERROR(__xludf.DUMMYFUNCTION("""COMPUTED_VALUE"""),292.45)</f>
        <v>292.45</v>
      </c>
      <c r="E1656" s="1">
        <f ca="1">IFERROR(__xludf.DUMMYFUNCTION("""COMPUTED_VALUE"""),293.84)</f>
        <v>293.83999999999997</v>
      </c>
      <c r="F1656" s="1">
        <f ca="1">IFERROR(__xludf.DUMMYFUNCTION("""COMPUTED_VALUE"""),25652132)</f>
        <v>25652132</v>
      </c>
      <c r="G1656" s="5">
        <f t="shared" ca="1" si="75"/>
        <v>-4.5603049278518078E-3</v>
      </c>
      <c r="H1656" s="14">
        <f t="shared" si="76"/>
        <v>2022</v>
      </c>
      <c r="I1656" s="5">
        <f t="shared" ca="1" si="77"/>
        <v>-1.8996427736787627E-2</v>
      </c>
      <c r="J1656" s="16"/>
    </row>
    <row r="1657" spans="1:10" x14ac:dyDescent="0.2">
      <c r="A1657" s="3">
        <v>44679</v>
      </c>
      <c r="B1657" s="1">
        <f ca="1">IFERROR(__xludf.DUMMYFUNCTION("""COMPUTED_VALUE"""),299.99)</f>
        <v>299.99</v>
      </c>
      <c r="C1657" s="1">
        <f ca="1">IFERROR(__xludf.DUMMYFUNCTION("""COMPUTED_VALUE"""),300)</f>
        <v>300</v>
      </c>
      <c r="D1657" s="1">
        <f ca="1">IFERROR(__xludf.DUMMYFUNCTION("""COMPUTED_VALUE"""),273.9)</f>
        <v>273.89999999999998</v>
      </c>
      <c r="E1657" s="1">
        <f ca="1">IFERROR(__xludf.DUMMYFUNCTION("""COMPUTED_VALUE"""),292.5)</f>
        <v>292.5</v>
      </c>
      <c r="F1657" s="1">
        <f ca="1">IFERROR(__xludf.DUMMYFUNCTION("""COMPUTED_VALUE"""),41649509)</f>
        <v>41649509</v>
      </c>
      <c r="G1657" s="5">
        <f t="shared" ca="1" si="75"/>
        <v>-7.6923076923076927E-3</v>
      </c>
      <c r="H1657" s="14">
        <f t="shared" si="76"/>
        <v>2022</v>
      </c>
      <c r="I1657" s="5">
        <f t="shared" ca="1" si="77"/>
        <v>-2.4967498916630585E-2</v>
      </c>
      <c r="J1657" s="16"/>
    </row>
    <row r="1658" spans="1:10" x14ac:dyDescent="0.2">
      <c r="A1658" s="3">
        <v>44680</v>
      </c>
      <c r="B1658" s="1">
        <f ca="1">IFERROR(__xludf.DUMMYFUNCTION("""COMPUTED_VALUE"""),300.75)</f>
        <v>300.75</v>
      </c>
      <c r="C1658" s="1">
        <f ca="1">IFERROR(__xludf.DUMMYFUNCTION("""COMPUTED_VALUE"""),311.47)</f>
        <v>311.47000000000003</v>
      </c>
      <c r="D1658" s="1">
        <f ca="1">IFERROR(__xludf.DUMMYFUNCTION("""COMPUTED_VALUE"""),290)</f>
        <v>290</v>
      </c>
      <c r="E1658" s="1">
        <f ca="1">IFERROR(__xludf.DUMMYFUNCTION("""COMPUTED_VALUE"""),290.25)</f>
        <v>290.25</v>
      </c>
      <c r="F1658" s="1">
        <f ca="1">IFERROR(__xludf.DUMMYFUNCTION("""COMPUTED_VALUE"""),29377665)</f>
        <v>29377665</v>
      </c>
      <c r="G1658" s="5">
        <f t="shared" ca="1" si="75"/>
        <v>3.6968130921619359E-2</v>
      </c>
      <c r="H1658" s="14">
        <f t="shared" si="76"/>
        <v>2022</v>
      </c>
      <c r="I1658" s="5">
        <f t="shared" ca="1" si="77"/>
        <v>-3.4912718204488775E-2</v>
      </c>
      <c r="J1658" s="16"/>
    </row>
    <row r="1659" spans="1:10" x14ac:dyDescent="0.2">
      <c r="A1659" s="3">
        <v>44683</v>
      </c>
      <c r="B1659" s="1">
        <f ca="1">IFERROR(__xludf.DUMMYFUNCTION("""COMPUTED_VALUE"""),286.92)</f>
        <v>286.92</v>
      </c>
      <c r="C1659" s="1">
        <f ca="1">IFERROR(__xludf.DUMMYFUNCTION("""COMPUTED_VALUE"""),302.12)</f>
        <v>302.12</v>
      </c>
      <c r="D1659" s="1">
        <f ca="1">IFERROR(__xludf.DUMMYFUNCTION("""COMPUTED_VALUE"""),282.68)</f>
        <v>282.68</v>
      </c>
      <c r="E1659" s="1">
        <f ca="1">IFERROR(__xludf.DUMMYFUNCTION("""COMPUTED_VALUE"""),300.98)</f>
        <v>300.98</v>
      </c>
      <c r="F1659" s="1">
        <f ca="1">IFERROR(__xludf.DUMMYFUNCTION("""COMPUTED_VALUE"""),25260457)</f>
        <v>25260457</v>
      </c>
      <c r="G1659" s="5">
        <f t="shared" ca="1" si="75"/>
        <v>6.9772077878927693E-3</v>
      </c>
      <c r="H1659" s="14">
        <f t="shared" si="76"/>
        <v>2022</v>
      </c>
      <c r="I1659" s="5">
        <f t="shared" ca="1" si="77"/>
        <v>4.9003206468702085E-2</v>
      </c>
      <c r="J1659" s="16"/>
    </row>
    <row r="1660" spans="1:10" x14ac:dyDescent="0.2">
      <c r="A1660" s="3">
        <v>44684</v>
      </c>
      <c r="B1660" s="1">
        <f ca="1">IFERROR(__xludf.DUMMYFUNCTION("""COMPUTED_VALUE"""),301.06)</f>
        <v>301.06</v>
      </c>
      <c r="C1660" s="1">
        <f ca="1">IFERROR(__xludf.DUMMYFUNCTION("""COMPUTED_VALUE"""),308.03)</f>
        <v>308.02999999999997</v>
      </c>
      <c r="D1660" s="1">
        <f ca="1">IFERROR(__xludf.DUMMYFUNCTION("""COMPUTED_VALUE"""),296.2)</f>
        <v>296.2</v>
      </c>
      <c r="E1660" s="1">
        <f ca="1">IFERROR(__xludf.DUMMYFUNCTION("""COMPUTED_VALUE"""),303.08)</f>
        <v>303.08</v>
      </c>
      <c r="F1660" s="1">
        <f ca="1">IFERROR(__xludf.DUMMYFUNCTION("""COMPUTED_VALUE"""),21236525)</f>
        <v>21236525</v>
      </c>
      <c r="G1660" s="5">
        <f t="shared" ca="1" si="75"/>
        <v>4.7710175531213005E-2</v>
      </c>
      <c r="H1660" s="14">
        <f t="shared" si="76"/>
        <v>2022</v>
      </c>
      <c r="I1660" s="5">
        <f t="shared" ca="1" si="77"/>
        <v>6.7096259881750542E-3</v>
      </c>
      <c r="J1660" s="16"/>
    </row>
    <row r="1661" spans="1:10" x14ac:dyDescent="0.2">
      <c r="A1661" s="3">
        <v>44685</v>
      </c>
      <c r="B1661" s="1">
        <f ca="1">IFERROR(__xludf.DUMMYFUNCTION("""COMPUTED_VALUE"""),301.31)</f>
        <v>301.31</v>
      </c>
      <c r="C1661" s="1">
        <f ca="1">IFERROR(__xludf.DUMMYFUNCTION("""COMPUTED_VALUE"""),318.5)</f>
        <v>318.5</v>
      </c>
      <c r="D1661" s="1">
        <f ca="1">IFERROR(__xludf.DUMMYFUNCTION("""COMPUTED_VALUE"""),295.09)</f>
        <v>295.08999999999997</v>
      </c>
      <c r="E1661" s="1">
        <f ca="1">IFERROR(__xludf.DUMMYFUNCTION("""COMPUTED_VALUE"""),317.54)</f>
        <v>317.54000000000002</v>
      </c>
      <c r="F1661" s="1">
        <f ca="1">IFERROR(__xludf.DUMMYFUNCTION("""COMPUTED_VALUE"""),27214568)</f>
        <v>27214568</v>
      </c>
      <c r="G1661" s="5">
        <f t="shared" ca="1" si="75"/>
        <v>-8.3296592555268764E-2</v>
      </c>
      <c r="H1661" s="14">
        <f t="shared" si="76"/>
        <v>2022</v>
      </c>
      <c r="I1661" s="5">
        <f t="shared" ca="1" si="77"/>
        <v>5.3864790415187075E-2</v>
      </c>
      <c r="J1661" s="16"/>
    </row>
    <row r="1662" spans="1:10" x14ac:dyDescent="0.2">
      <c r="A1662" s="3">
        <v>44686</v>
      </c>
      <c r="B1662" s="1">
        <f ca="1">IFERROR(__xludf.DUMMYFUNCTION("""COMPUTED_VALUE"""),313.07)</f>
        <v>313.07</v>
      </c>
      <c r="C1662" s="1">
        <f ca="1">IFERROR(__xludf.DUMMYFUNCTION("""COMPUTED_VALUE"""),315.2)</f>
        <v>315.2</v>
      </c>
      <c r="D1662" s="1">
        <f ca="1">IFERROR(__xludf.DUMMYFUNCTION("""COMPUTED_VALUE"""),285.9)</f>
        <v>285.89999999999998</v>
      </c>
      <c r="E1662" s="1">
        <f ca="1">IFERROR(__xludf.DUMMYFUNCTION("""COMPUTED_VALUE"""),291.09)</f>
        <v>291.08999999999997</v>
      </c>
      <c r="F1662" s="1">
        <f ca="1">IFERROR(__xludf.DUMMYFUNCTION("""COMPUTED_VALUE"""),30839731)</f>
        <v>30839731</v>
      </c>
      <c r="G1662" s="5">
        <f t="shared" ca="1" si="75"/>
        <v>-8.725823628430945E-3</v>
      </c>
      <c r="H1662" s="14">
        <f t="shared" si="76"/>
        <v>2022</v>
      </c>
      <c r="I1662" s="5">
        <f t="shared" ca="1" si="77"/>
        <v>-7.0207940716133829E-2</v>
      </c>
      <c r="J1662" s="16"/>
    </row>
    <row r="1663" spans="1:10" x14ac:dyDescent="0.2">
      <c r="A1663" s="3">
        <v>44687</v>
      </c>
      <c r="B1663" s="1">
        <f ca="1">IFERROR(__xludf.DUMMYFUNCTION("""COMPUTED_VALUE"""),295.67)</f>
        <v>295.67</v>
      </c>
      <c r="C1663" s="1">
        <f ca="1">IFERROR(__xludf.DUMMYFUNCTION("""COMPUTED_VALUE"""),296)</f>
        <v>296</v>
      </c>
      <c r="D1663" s="1">
        <f ca="1">IFERROR(__xludf.DUMMYFUNCTION("""COMPUTED_VALUE"""),281.04)</f>
        <v>281.04000000000002</v>
      </c>
      <c r="E1663" s="1">
        <f ca="1">IFERROR(__xludf.DUMMYFUNCTION("""COMPUTED_VALUE"""),288.55)</f>
        <v>288.55</v>
      </c>
      <c r="F1663" s="1">
        <f ca="1">IFERROR(__xludf.DUMMYFUNCTION("""COMPUTED_VALUE"""),24301037)</f>
        <v>24301037</v>
      </c>
      <c r="G1663" s="5">
        <f t="shared" ca="1" si="75"/>
        <v>-9.0729509617050785E-2</v>
      </c>
      <c r="H1663" s="14">
        <f t="shared" si="76"/>
        <v>2022</v>
      </c>
      <c r="I1663" s="5">
        <f t="shared" ca="1" si="77"/>
        <v>-2.4080901004498272E-2</v>
      </c>
      <c r="J1663" s="16"/>
    </row>
    <row r="1664" spans="1:10" x14ac:dyDescent="0.2">
      <c r="A1664" s="3">
        <v>44690</v>
      </c>
      <c r="B1664" s="1">
        <f ca="1">IFERROR(__xludf.DUMMYFUNCTION("""COMPUTED_VALUE"""),278.82)</f>
        <v>278.82</v>
      </c>
      <c r="C1664" s="1">
        <f ca="1">IFERROR(__xludf.DUMMYFUNCTION("""COMPUTED_VALUE"""),281.88)</f>
        <v>281.88</v>
      </c>
      <c r="D1664" s="1">
        <f ca="1">IFERROR(__xludf.DUMMYFUNCTION("""COMPUTED_VALUE"""),260.38)</f>
        <v>260.38</v>
      </c>
      <c r="E1664" s="1">
        <f ca="1">IFERROR(__xludf.DUMMYFUNCTION("""COMPUTED_VALUE"""),262.37)</f>
        <v>262.37</v>
      </c>
      <c r="F1664" s="1">
        <f ca="1">IFERROR(__xludf.DUMMYFUNCTION("""COMPUTED_VALUE"""),30270074)</f>
        <v>30270074</v>
      </c>
      <c r="G1664" s="5">
        <f t="shared" ca="1" si="75"/>
        <v>1.6427182985859674E-2</v>
      </c>
      <c r="H1664" s="14">
        <f t="shared" si="76"/>
        <v>2022</v>
      </c>
      <c r="I1664" s="5">
        <f t="shared" ca="1" si="77"/>
        <v>-5.8998637113549919E-2</v>
      </c>
      <c r="J1664" s="16"/>
    </row>
    <row r="1665" spans="1:10" x14ac:dyDescent="0.2">
      <c r="A1665" s="3">
        <v>44691</v>
      </c>
      <c r="B1665" s="1">
        <f ca="1">IFERROR(__xludf.DUMMYFUNCTION("""COMPUTED_VALUE"""),273.1)</f>
        <v>273.10000000000002</v>
      </c>
      <c r="C1665" s="1">
        <f ca="1">IFERROR(__xludf.DUMMYFUNCTION("""COMPUTED_VALUE"""),275.12)</f>
        <v>275.12</v>
      </c>
      <c r="D1665" s="1">
        <f ca="1">IFERROR(__xludf.DUMMYFUNCTION("""COMPUTED_VALUE"""),258.08)</f>
        <v>258.08</v>
      </c>
      <c r="E1665" s="1">
        <f ca="1">IFERROR(__xludf.DUMMYFUNCTION("""COMPUTED_VALUE"""),266.68)</f>
        <v>266.68</v>
      </c>
      <c r="F1665" s="1">
        <f ca="1">IFERROR(__xludf.DUMMYFUNCTION("""COMPUTED_VALUE"""),28133877)</f>
        <v>28133877</v>
      </c>
      <c r="G1665" s="5">
        <f t="shared" ca="1" si="75"/>
        <v>-8.2533373331333509E-2</v>
      </c>
      <c r="H1665" s="14">
        <f t="shared" si="76"/>
        <v>2022</v>
      </c>
      <c r="I1665" s="5">
        <f t="shared" ca="1" si="77"/>
        <v>-2.3507872574148721E-2</v>
      </c>
      <c r="J1665" s="16"/>
    </row>
    <row r="1666" spans="1:10" x14ac:dyDescent="0.2">
      <c r="A1666" s="3">
        <v>44692</v>
      </c>
      <c r="B1666" s="1">
        <f ca="1">IFERROR(__xludf.DUMMYFUNCTION("""COMPUTED_VALUE"""),265)</f>
        <v>265</v>
      </c>
      <c r="C1666" s="1">
        <f ca="1">IFERROR(__xludf.DUMMYFUNCTION("""COMPUTED_VALUE"""),269.92)</f>
        <v>269.92</v>
      </c>
      <c r="D1666" s="1">
        <f ca="1">IFERROR(__xludf.DUMMYFUNCTION("""COMPUTED_VALUE"""),242.4)</f>
        <v>242.4</v>
      </c>
      <c r="E1666" s="1">
        <f ca="1">IFERROR(__xludf.DUMMYFUNCTION("""COMPUTED_VALUE"""),244.67)</f>
        <v>244.67</v>
      </c>
      <c r="F1666" s="1">
        <f ca="1">IFERROR(__xludf.DUMMYFUNCTION("""COMPUTED_VALUE"""),32408153)</f>
        <v>32408153</v>
      </c>
      <c r="G1666" s="5">
        <f t="shared" ca="1" si="75"/>
        <v>-8.1742755548289536E-3</v>
      </c>
      <c r="H1666" s="14">
        <f t="shared" si="76"/>
        <v>2022</v>
      </c>
      <c r="I1666" s="5">
        <f t="shared" ca="1" si="77"/>
        <v>-7.6716981132075521E-2</v>
      </c>
      <c r="J1666" s="16"/>
    </row>
    <row r="1667" spans="1:10" x14ac:dyDescent="0.2">
      <c r="A1667" s="3">
        <v>44693</v>
      </c>
      <c r="B1667" s="1">
        <f ca="1">IFERROR(__xludf.DUMMYFUNCTION("""COMPUTED_VALUE"""),233.67)</f>
        <v>233.67</v>
      </c>
      <c r="C1667" s="1">
        <f ca="1">IFERROR(__xludf.DUMMYFUNCTION("""COMPUTED_VALUE"""),253.22)</f>
        <v>253.22</v>
      </c>
      <c r="D1667" s="1">
        <f ca="1">IFERROR(__xludf.DUMMYFUNCTION("""COMPUTED_VALUE"""),226.67)</f>
        <v>226.67</v>
      </c>
      <c r="E1667" s="1">
        <f ca="1">IFERROR(__xludf.DUMMYFUNCTION("""COMPUTED_VALUE"""),242.67)</f>
        <v>242.67</v>
      </c>
      <c r="F1667" s="1">
        <f ca="1">IFERROR(__xludf.DUMMYFUNCTION("""COMPUTED_VALUE"""),46770954)</f>
        <v>46770954</v>
      </c>
      <c r="G1667" s="5">
        <f t="shared" ref="G1667:G1730" ca="1" si="78">(E1668-E1667)/E1667</f>
        <v>5.7114600074174744E-2</v>
      </c>
      <c r="H1667" s="14">
        <f t="shared" ref="H1667:H1730" si="79">YEAR(A1667)</f>
        <v>2022</v>
      </c>
      <c r="I1667" s="5">
        <f t="shared" ref="I1667:I1730" ca="1" si="80">((E1667 - B1667) / B1667)</f>
        <v>3.8515855693927334E-2</v>
      </c>
      <c r="J1667" s="16"/>
    </row>
    <row r="1668" spans="1:10" x14ac:dyDescent="0.2">
      <c r="A1668" s="3">
        <v>44694</v>
      </c>
      <c r="B1668" s="1">
        <f ca="1">IFERROR(__xludf.DUMMYFUNCTION("""COMPUTED_VALUE"""),257.83)</f>
        <v>257.83</v>
      </c>
      <c r="C1668" s="1">
        <f ca="1">IFERROR(__xludf.DUMMYFUNCTION("""COMPUTED_VALUE"""),262.45)</f>
        <v>262.45</v>
      </c>
      <c r="D1668" s="1">
        <f ca="1">IFERROR(__xludf.DUMMYFUNCTION("""COMPUTED_VALUE"""),250.52)</f>
        <v>250.52</v>
      </c>
      <c r="E1668" s="1">
        <f ca="1">IFERROR(__xludf.DUMMYFUNCTION("""COMPUTED_VALUE"""),256.53)</f>
        <v>256.52999999999997</v>
      </c>
      <c r="F1668" s="1">
        <f ca="1">IFERROR(__xludf.DUMMYFUNCTION("""COMPUTED_VALUE"""),30716908)</f>
        <v>30716908</v>
      </c>
      <c r="G1668" s="5">
        <f t="shared" ca="1" si="78"/>
        <v>-5.8745565820761576E-2</v>
      </c>
      <c r="H1668" s="14">
        <f t="shared" si="79"/>
        <v>2022</v>
      </c>
      <c r="I1668" s="5">
        <f t="shared" ca="1" si="80"/>
        <v>-5.0420819920102833E-3</v>
      </c>
      <c r="J1668" s="16"/>
    </row>
    <row r="1669" spans="1:10" x14ac:dyDescent="0.2">
      <c r="A1669" s="3">
        <v>44697</v>
      </c>
      <c r="B1669" s="1">
        <f ca="1">IFERROR(__xludf.DUMMYFUNCTION("""COMPUTED_VALUE"""),255.72)</f>
        <v>255.72</v>
      </c>
      <c r="C1669" s="1">
        <f ca="1">IFERROR(__xludf.DUMMYFUNCTION("""COMPUTED_VALUE"""),256.59)</f>
        <v>256.58999999999997</v>
      </c>
      <c r="D1669" s="1">
        <f ca="1">IFERROR(__xludf.DUMMYFUNCTION("""COMPUTED_VALUE"""),239.7)</f>
        <v>239.7</v>
      </c>
      <c r="E1669" s="1">
        <f ca="1">IFERROR(__xludf.DUMMYFUNCTION("""COMPUTED_VALUE"""),241.46)</f>
        <v>241.46</v>
      </c>
      <c r="F1669" s="1">
        <f ca="1">IFERROR(__xludf.DUMMYFUNCTION("""COMPUTED_VALUE"""),28699513)</f>
        <v>28699513</v>
      </c>
      <c r="G1669" s="5">
        <f t="shared" ca="1" si="78"/>
        <v>5.139567630249315E-2</v>
      </c>
      <c r="H1669" s="14">
        <f t="shared" si="79"/>
        <v>2022</v>
      </c>
      <c r="I1669" s="5">
        <f t="shared" ca="1" si="80"/>
        <v>-5.5764117002971965E-2</v>
      </c>
      <c r="J1669" s="16"/>
    </row>
    <row r="1670" spans="1:10" x14ac:dyDescent="0.2">
      <c r="A1670" s="3">
        <v>44698</v>
      </c>
      <c r="B1670" s="1">
        <f ca="1">IFERROR(__xludf.DUMMYFUNCTION("""COMPUTED_VALUE"""),249.12)</f>
        <v>249.12</v>
      </c>
      <c r="C1670" s="1">
        <f ca="1">IFERROR(__xludf.DUMMYFUNCTION("""COMPUTED_VALUE"""),254.83)</f>
        <v>254.83</v>
      </c>
      <c r="D1670" s="1">
        <f ca="1">IFERROR(__xludf.DUMMYFUNCTION("""COMPUTED_VALUE"""),242.95)</f>
        <v>242.95</v>
      </c>
      <c r="E1670" s="1">
        <f ca="1">IFERROR(__xludf.DUMMYFUNCTION("""COMPUTED_VALUE"""),253.87)</f>
        <v>253.87</v>
      </c>
      <c r="F1670" s="1">
        <f ca="1">IFERROR(__xludf.DUMMYFUNCTION("""COMPUTED_VALUE"""),26745370)</f>
        <v>26745370</v>
      </c>
      <c r="G1670" s="5">
        <f t="shared" ca="1" si="78"/>
        <v>-6.8026942923543582E-2</v>
      </c>
      <c r="H1670" s="14">
        <f t="shared" si="79"/>
        <v>2022</v>
      </c>
      <c r="I1670" s="5">
        <f t="shared" ca="1" si="80"/>
        <v>1.9067116249197175E-2</v>
      </c>
      <c r="J1670" s="16"/>
    </row>
    <row r="1671" spans="1:10" x14ac:dyDescent="0.2">
      <c r="A1671" s="3">
        <v>44699</v>
      </c>
      <c r="B1671" s="1">
        <f ca="1">IFERROR(__xludf.DUMMYFUNCTION("""COMPUTED_VALUE"""),248.17)</f>
        <v>248.17</v>
      </c>
      <c r="C1671" s="1">
        <f ca="1">IFERROR(__xludf.DUMMYFUNCTION("""COMPUTED_VALUE"""),253.5)</f>
        <v>253.5</v>
      </c>
      <c r="D1671" s="1">
        <f ca="1">IFERROR(__xludf.DUMMYFUNCTION("""COMPUTED_VALUE"""),233.6)</f>
        <v>233.6</v>
      </c>
      <c r="E1671" s="1">
        <f ca="1">IFERROR(__xludf.DUMMYFUNCTION("""COMPUTED_VALUE"""),236.6)</f>
        <v>236.6</v>
      </c>
      <c r="F1671" s="1">
        <f ca="1">IFERROR(__xludf.DUMMYFUNCTION("""COMPUTED_VALUE"""),29270604)</f>
        <v>29270604</v>
      </c>
      <c r="G1671" s="5">
        <f t="shared" ca="1" si="78"/>
        <v>-5.4945054945053026E-4</v>
      </c>
      <c r="H1671" s="14">
        <f t="shared" si="79"/>
        <v>2022</v>
      </c>
      <c r="I1671" s="5">
        <f t="shared" ca="1" si="80"/>
        <v>-4.6621267679413284E-2</v>
      </c>
      <c r="J1671" s="16"/>
    </row>
    <row r="1672" spans="1:10" x14ac:dyDescent="0.2">
      <c r="A1672" s="3">
        <v>44700</v>
      </c>
      <c r="B1672" s="1">
        <f ca="1">IFERROR(__xludf.DUMMYFUNCTION("""COMPUTED_VALUE"""),235.67)</f>
        <v>235.67</v>
      </c>
      <c r="C1672" s="1">
        <f ca="1">IFERROR(__xludf.DUMMYFUNCTION("""COMPUTED_VALUE"""),244.67)</f>
        <v>244.67</v>
      </c>
      <c r="D1672" s="1">
        <f ca="1">IFERROR(__xludf.DUMMYFUNCTION("""COMPUTED_VALUE"""),231.37)</f>
        <v>231.37</v>
      </c>
      <c r="E1672" s="1">
        <f ca="1">IFERROR(__xludf.DUMMYFUNCTION("""COMPUTED_VALUE"""),236.47)</f>
        <v>236.47</v>
      </c>
      <c r="F1672" s="1">
        <f ca="1">IFERROR(__xludf.DUMMYFUNCTION("""COMPUTED_VALUE"""),30098891)</f>
        <v>30098891</v>
      </c>
      <c r="G1672" s="5">
        <f t="shared" ca="1" si="78"/>
        <v>-6.4151900875375256E-2</v>
      </c>
      <c r="H1672" s="14">
        <f t="shared" si="79"/>
        <v>2022</v>
      </c>
      <c r="I1672" s="5">
        <f t="shared" ca="1" si="80"/>
        <v>3.3945771629821844E-3</v>
      </c>
      <c r="J1672" s="16"/>
    </row>
    <row r="1673" spans="1:10" x14ac:dyDescent="0.2">
      <c r="A1673" s="3">
        <v>44701</v>
      </c>
      <c r="B1673" s="1">
        <f ca="1">IFERROR(__xludf.DUMMYFUNCTION("""COMPUTED_VALUE"""),238)</f>
        <v>238</v>
      </c>
      <c r="C1673" s="1">
        <f ca="1">IFERROR(__xludf.DUMMYFUNCTION("""COMPUTED_VALUE"""),240.53)</f>
        <v>240.53</v>
      </c>
      <c r="D1673" s="1">
        <f ca="1">IFERROR(__xludf.DUMMYFUNCTION("""COMPUTED_VALUE"""),211)</f>
        <v>211</v>
      </c>
      <c r="E1673" s="1">
        <f ca="1">IFERROR(__xludf.DUMMYFUNCTION("""COMPUTED_VALUE"""),221.3)</f>
        <v>221.3</v>
      </c>
      <c r="F1673" s="1">
        <f ca="1">IFERROR(__xludf.DUMMYFUNCTION("""COMPUTED_VALUE"""),48324435)</f>
        <v>48324435</v>
      </c>
      <c r="G1673" s="5">
        <f t="shared" ca="1" si="78"/>
        <v>1.6583822864889235E-2</v>
      </c>
      <c r="H1673" s="14">
        <f t="shared" si="79"/>
        <v>2022</v>
      </c>
      <c r="I1673" s="5">
        <f t="shared" ca="1" si="80"/>
        <v>-7.0168067226890715E-2</v>
      </c>
      <c r="J1673" s="16"/>
    </row>
    <row r="1674" spans="1:10" x14ac:dyDescent="0.2">
      <c r="A1674" s="3">
        <v>44704</v>
      </c>
      <c r="B1674" s="1">
        <f ca="1">IFERROR(__xludf.DUMMYFUNCTION("""COMPUTED_VALUE"""),218.34)</f>
        <v>218.34</v>
      </c>
      <c r="C1674" s="1">
        <f ca="1">IFERROR(__xludf.DUMMYFUNCTION("""COMPUTED_VALUE"""),226.65)</f>
        <v>226.65</v>
      </c>
      <c r="D1674" s="1">
        <f ca="1">IFERROR(__xludf.DUMMYFUNCTION("""COMPUTED_VALUE"""),212.69)</f>
        <v>212.69</v>
      </c>
      <c r="E1674" s="1">
        <f ca="1">IFERROR(__xludf.DUMMYFUNCTION("""COMPUTED_VALUE"""),224.97)</f>
        <v>224.97</v>
      </c>
      <c r="F1674" s="1">
        <f ca="1">IFERROR(__xludf.DUMMYFUNCTION("""COMPUTED_VALUE"""),29634546)</f>
        <v>29634546</v>
      </c>
      <c r="G1674" s="5">
        <f t="shared" ca="1" si="78"/>
        <v>-6.9253678268213589E-2</v>
      </c>
      <c r="H1674" s="14">
        <f t="shared" si="79"/>
        <v>2022</v>
      </c>
      <c r="I1674" s="5">
        <f t="shared" ca="1" si="80"/>
        <v>3.0365485023358046E-2</v>
      </c>
      <c r="J1674" s="16"/>
    </row>
    <row r="1675" spans="1:10" x14ac:dyDescent="0.2">
      <c r="A1675" s="3">
        <v>44705</v>
      </c>
      <c r="B1675" s="1">
        <f ca="1">IFERROR(__xludf.DUMMYFUNCTION("""COMPUTED_VALUE"""),217.84)</f>
        <v>217.84</v>
      </c>
      <c r="C1675" s="1">
        <f ca="1">IFERROR(__xludf.DUMMYFUNCTION("""COMPUTED_VALUE"""),217.97)</f>
        <v>217.97</v>
      </c>
      <c r="D1675" s="1">
        <f ca="1">IFERROR(__xludf.DUMMYFUNCTION("""COMPUTED_VALUE"""),206.86)</f>
        <v>206.86</v>
      </c>
      <c r="E1675" s="1">
        <f ca="1">IFERROR(__xludf.DUMMYFUNCTION("""COMPUTED_VALUE"""),209.39)</f>
        <v>209.39</v>
      </c>
      <c r="F1675" s="1">
        <f ca="1">IFERROR(__xludf.DUMMYFUNCTION("""COMPUTED_VALUE"""),29697505)</f>
        <v>29697505</v>
      </c>
      <c r="G1675" s="5">
        <f t="shared" ca="1" si="78"/>
        <v>4.8760685801614252E-2</v>
      </c>
      <c r="H1675" s="14">
        <f t="shared" si="79"/>
        <v>2022</v>
      </c>
      <c r="I1675" s="5">
        <f t="shared" ca="1" si="80"/>
        <v>-3.8789937568857957E-2</v>
      </c>
      <c r="J1675" s="16"/>
    </row>
    <row r="1676" spans="1:10" x14ac:dyDescent="0.2">
      <c r="A1676" s="3">
        <v>44706</v>
      </c>
      <c r="B1676" s="1">
        <f ca="1">IFERROR(__xludf.DUMMYFUNCTION("""COMPUTED_VALUE"""),207.95)</f>
        <v>207.95</v>
      </c>
      <c r="C1676" s="1">
        <f ca="1">IFERROR(__xludf.DUMMYFUNCTION("""COMPUTED_VALUE"""),223.11)</f>
        <v>223.11</v>
      </c>
      <c r="D1676" s="1">
        <f ca="1">IFERROR(__xludf.DUMMYFUNCTION("""COMPUTED_VALUE"""),207.67)</f>
        <v>207.67</v>
      </c>
      <c r="E1676" s="1">
        <f ca="1">IFERROR(__xludf.DUMMYFUNCTION("""COMPUTED_VALUE"""),219.6)</f>
        <v>219.6</v>
      </c>
      <c r="F1676" s="1">
        <f ca="1">IFERROR(__xludf.DUMMYFUNCTION("""COMPUTED_VALUE"""),30713108)</f>
        <v>30713108</v>
      </c>
      <c r="G1676" s="5">
        <f t="shared" ca="1" si="78"/>
        <v>7.4271402550091084E-2</v>
      </c>
      <c r="H1676" s="14">
        <f t="shared" si="79"/>
        <v>2022</v>
      </c>
      <c r="I1676" s="5">
        <f t="shared" ca="1" si="80"/>
        <v>5.6023082471748045E-2</v>
      </c>
      <c r="J1676" s="16"/>
    </row>
    <row r="1677" spans="1:10" x14ac:dyDescent="0.2">
      <c r="A1677" s="3">
        <v>44707</v>
      </c>
      <c r="B1677" s="1">
        <f ca="1">IFERROR(__xludf.DUMMYFUNCTION("""COMPUTED_VALUE"""),220.47)</f>
        <v>220.47</v>
      </c>
      <c r="C1677" s="1">
        <f ca="1">IFERROR(__xludf.DUMMYFUNCTION("""COMPUTED_VALUE"""),239.56)</f>
        <v>239.56</v>
      </c>
      <c r="D1677" s="1">
        <f ca="1">IFERROR(__xludf.DUMMYFUNCTION("""COMPUTED_VALUE"""),217.89)</f>
        <v>217.89</v>
      </c>
      <c r="E1677" s="1">
        <f ca="1">IFERROR(__xludf.DUMMYFUNCTION("""COMPUTED_VALUE"""),235.91)</f>
        <v>235.91</v>
      </c>
      <c r="F1677" s="1">
        <f ca="1">IFERROR(__xludf.DUMMYFUNCTION("""COMPUTED_VALUE"""),35334448)</f>
        <v>35334448</v>
      </c>
      <c r="G1677" s="5">
        <f t="shared" ca="1" si="78"/>
        <v>7.3333050739688918E-2</v>
      </c>
      <c r="H1677" s="14">
        <f t="shared" si="79"/>
        <v>2022</v>
      </c>
      <c r="I1677" s="5">
        <f t="shared" ca="1" si="80"/>
        <v>7.0032203927972048E-2</v>
      </c>
      <c r="J1677" s="16"/>
    </row>
    <row r="1678" spans="1:10" x14ac:dyDescent="0.2">
      <c r="A1678" s="3">
        <v>44708</v>
      </c>
      <c r="B1678" s="1">
        <f ca="1">IFERROR(__xludf.DUMMYFUNCTION("""COMPUTED_VALUE"""),241.08)</f>
        <v>241.08</v>
      </c>
      <c r="C1678" s="1">
        <f ca="1">IFERROR(__xludf.DUMMYFUNCTION("""COMPUTED_VALUE"""),253.27)</f>
        <v>253.27</v>
      </c>
      <c r="D1678" s="1">
        <f ca="1">IFERROR(__xludf.DUMMYFUNCTION("""COMPUTED_VALUE"""),240.18)</f>
        <v>240.18</v>
      </c>
      <c r="E1678" s="1">
        <f ca="1">IFERROR(__xludf.DUMMYFUNCTION("""COMPUTED_VALUE"""),253.21)</f>
        <v>253.21</v>
      </c>
      <c r="F1678" s="1">
        <f ca="1">IFERROR(__xludf.DUMMYFUNCTION("""COMPUTED_VALUE"""),29764994)</f>
        <v>29764994</v>
      </c>
      <c r="G1678" s="5">
        <f t="shared" ca="1" si="78"/>
        <v>-1.8166739070337187E-3</v>
      </c>
      <c r="H1678" s="14">
        <f t="shared" si="79"/>
        <v>2022</v>
      </c>
      <c r="I1678" s="5">
        <f t="shared" ca="1" si="80"/>
        <v>5.0315248050439666E-2</v>
      </c>
      <c r="J1678" s="16"/>
    </row>
    <row r="1679" spans="1:10" x14ac:dyDescent="0.2">
      <c r="A1679" s="3">
        <v>44712</v>
      </c>
      <c r="B1679" s="1">
        <f ca="1">IFERROR(__xludf.DUMMYFUNCTION("""COMPUTED_VALUE"""),257.95)</f>
        <v>257.95</v>
      </c>
      <c r="C1679" s="1">
        <f ca="1">IFERROR(__xludf.DUMMYFUNCTION("""COMPUTED_VALUE"""),259.6)</f>
        <v>259.60000000000002</v>
      </c>
      <c r="D1679" s="1">
        <f ca="1">IFERROR(__xludf.DUMMYFUNCTION("""COMPUTED_VALUE"""),244.74)</f>
        <v>244.74</v>
      </c>
      <c r="E1679" s="1">
        <f ca="1">IFERROR(__xludf.DUMMYFUNCTION("""COMPUTED_VALUE"""),252.75)</f>
        <v>252.75</v>
      </c>
      <c r="F1679" s="1">
        <f ca="1">IFERROR(__xludf.DUMMYFUNCTION("""COMPUTED_VALUE"""),33971457)</f>
        <v>33971457</v>
      </c>
      <c r="G1679" s="5">
        <f t="shared" ca="1" si="78"/>
        <v>-2.358061325420379E-2</v>
      </c>
      <c r="H1679" s="14">
        <f t="shared" si="79"/>
        <v>2022</v>
      </c>
      <c r="I1679" s="5">
        <f t="shared" ca="1" si="80"/>
        <v>-2.0158945532079819E-2</v>
      </c>
      <c r="J1679" s="16"/>
    </row>
    <row r="1680" spans="1:10" x14ac:dyDescent="0.2">
      <c r="A1680" s="3">
        <v>44713</v>
      </c>
      <c r="B1680" s="1">
        <f ca="1">IFERROR(__xludf.DUMMYFUNCTION("""COMPUTED_VALUE"""),251.72)</f>
        <v>251.72</v>
      </c>
      <c r="C1680" s="1">
        <f ca="1">IFERROR(__xludf.DUMMYFUNCTION("""COMPUTED_VALUE"""),257.33)</f>
        <v>257.33</v>
      </c>
      <c r="D1680" s="1">
        <f ca="1">IFERROR(__xludf.DUMMYFUNCTION("""COMPUTED_VALUE"""),243.64)</f>
        <v>243.64</v>
      </c>
      <c r="E1680" s="1">
        <f ca="1">IFERROR(__xludf.DUMMYFUNCTION("""COMPUTED_VALUE"""),246.79)</f>
        <v>246.79</v>
      </c>
      <c r="F1680" s="1">
        <f ca="1">IFERROR(__xludf.DUMMYFUNCTION("""COMPUTED_VALUE"""),25749321)</f>
        <v>25749321</v>
      </c>
      <c r="G1680" s="5">
        <f t="shared" ca="1" si="78"/>
        <v>4.6760403581992759E-2</v>
      </c>
      <c r="H1680" s="14">
        <f t="shared" si="79"/>
        <v>2022</v>
      </c>
      <c r="I1680" s="5">
        <f t="shared" ca="1" si="80"/>
        <v>-1.9585253456221224E-2</v>
      </c>
      <c r="J1680" s="16"/>
    </row>
    <row r="1681" spans="1:10" x14ac:dyDescent="0.2">
      <c r="A1681" s="3">
        <v>44714</v>
      </c>
      <c r="B1681" s="1">
        <f ca="1">IFERROR(__xludf.DUMMYFUNCTION("""COMPUTED_VALUE"""),244.16)</f>
        <v>244.16</v>
      </c>
      <c r="C1681" s="1">
        <f ca="1">IFERROR(__xludf.DUMMYFUNCTION("""COMPUTED_VALUE"""),264.21)</f>
        <v>264.20999999999998</v>
      </c>
      <c r="D1681" s="1">
        <f ca="1">IFERROR(__xludf.DUMMYFUNCTION("""COMPUTED_VALUE"""),242.07)</f>
        <v>242.07</v>
      </c>
      <c r="E1681" s="1">
        <f ca="1">IFERROR(__xludf.DUMMYFUNCTION("""COMPUTED_VALUE"""),258.33)</f>
        <v>258.33</v>
      </c>
      <c r="F1681" s="1">
        <f ca="1">IFERROR(__xludf.DUMMYFUNCTION("""COMPUTED_VALUE"""),31157706)</f>
        <v>31157706</v>
      </c>
      <c r="G1681" s="5">
        <f t="shared" ca="1" si="78"/>
        <v>-9.216893121201554E-2</v>
      </c>
      <c r="H1681" s="14">
        <f t="shared" si="79"/>
        <v>2022</v>
      </c>
      <c r="I1681" s="5">
        <f t="shared" ca="1" si="80"/>
        <v>5.8035714285714232E-2</v>
      </c>
      <c r="J1681" s="16"/>
    </row>
    <row r="1682" spans="1:10" x14ac:dyDescent="0.2">
      <c r="A1682" s="3">
        <v>44715</v>
      </c>
      <c r="B1682" s="1">
        <f ca="1">IFERROR(__xludf.DUMMYFUNCTION("""COMPUTED_VALUE"""),243.23)</f>
        <v>243.23</v>
      </c>
      <c r="C1682" s="1">
        <f ca="1">IFERROR(__xludf.DUMMYFUNCTION("""COMPUTED_VALUE"""),247.8)</f>
        <v>247.8</v>
      </c>
      <c r="D1682" s="1">
        <f ca="1">IFERROR(__xludf.DUMMYFUNCTION("""COMPUTED_VALUE"""),233.42)</f>
        <v>233.42</v>
      </c>
      <c r="E1682" s="1">
        <f ca="1">IFERROR(__xludf.DUMMYFUNCTION("""COMPUTED_VALUE"""),234.52)</f>
        <v>234.52</v>
      </c>
      <c r="F1682" s="1">
        <f ca="1">IFERROR(__xludf.DUMMYFUNCTION("""COMPUTED_VALUE"""),37464579)</f>
        <v>37464579</v>
      </c>
      <c r="G1682" s="5">
        <f t="shared" ca="1" si="78"/>
        <v>1.6032747740064773E-2</v>
      </c>
      <c r="H1682" s="14">
        <f t="shared" si="79"/>
        <v>2022</v>
      </c>
      <c r="I1682" s="5">
        <f t="shared" ca="1" si="80"/>
        <v>-3.5809727418492705E-2</v>
      </c>
      <c r="J1682" s="16"/>
    </row>
    <row r="1683" spans="1:10" x14ac:dyDescent="0.2">
      <c r="A1683" s="3">
        <v>44718</v>
      </c>
      <c r="B1683" s="1">
        <f ca="1">IFERROR(__xludf.DUMMYFUNCTION("""COMPUTED_VALUE"""),244.35)</f>
        <v>244.35</v>
      </c>
      <c r="C1683" s="1">
        <f ca="1">IFERROR(__xludf.DUMMYFUNCTION("""COMPUTED_VALUE"""),244.87)</f>
        <v>244.87</v>
      </c>
      <c r="D1683" s="1">
        <f ca="1">IFERROR(__xludf.DUMMYFUNCTION("""COMPUTED_VALUE"""),234.35)</f>
        <v>234.35</v>
      </c>
      <c r="E1683" s="1">
        <f ca="1">IFERROR(__xludf.DUMMYFUNCTION("""COMPUTED_VALUE"""),238.28)</f>
        <v>238.28</v>
      </c>
      <c r="F1683" s="1">
        <f ca="1">IFERROR(__xludf.DUMMYFUNCTION("""COMPUTED_VALUE"""),28068174)</f>
        <v>28068174</v>
      </c>
      <c r="G1683" s="5">
        <f t="shared" ca="1" si="78"/>
        <v>2.5600134295785848E-3</v>
      </c>
      <c r="H1683" s="14">
        <f t="shared" si="79"/>
        <v>2022</v>
      </c>
      <c r="I1683" s="5">
        <f t="shared" ca="1" si="80"/>
        <v>-2.484141600163697E-2</v>
      </c>
      <c r="J1683" s="16"/>
    </row>
    <row r="1684" spans="1:10" x14ac:dyDescent="0.2">
      <c r="A1684" s="3">
        <v>44719</v>
      </c>
      <c r="B1684" s="1">
        <f ca="1">IFERROR(__xludf.DUMMYFUNCTION("""COMPUTED_VALUE"""),234)</f>
        <v>234</v>
      </c>
      <c r="C1684" s="1">
        <f ca="1">IFERROR(__xludf.DUMMYFUNCTION("""COMPUTED_VALUE"""),240)</f>
        <v>240</v>
      </c>
      <c r="D1684" s="1">
        <f ca="1">IFERROR(__xludf.DUMMYFUNCTION("""COMPUTED_VALUE"""),230.09)</f>
        <v>230.09</v>
      </c>
      <c r="E1684" s="1">
        <f ca="1">IFERROR(__xludf.DUMMYFUNCTION("""COMPUTED_VALUE"""),238.89)</f>
        <v>238.89</v>
      </c>
      <c r="F1684" s="1">
        <f ca="1">IFERROR(__xludf.DUMMYFUNCTION("""COMPUTED_VALUE"""),24269534)</f>
        <v>24269534</v>
      </c>
      <c r="G1684" s="5">
        <f t="shared" ca="1" si="78"/>
        <v>1.2474360584369452E-2</v>
      </c>
      <c r="H1684" s="14">
        <f t="shared" si="79"/>
        <v>2022</v>
      </c>
      <c r="I1684" s="5">
        <f t="shared" ca="1" si="80"/>
        <v>2.089743589743584E-2</v>
      </c>
      <c r="J1684" s="16"/>
    </row>
    <row r="1685" spans="1:10" x14ac:dyDescent="0.2">
      <c r="A1685" s="3">
        <v>44720</v>
      </c>
      <c r="B1685" s="1">
        <f ca="1">IFERROR(__xludf.DUMMYFUNCTION("""COMPUTED_VALUE"""),240.09)</f>
        <v>240.09</v>
      </c>
      <c r="C1685" s="1">
        <f ca="1">IFERROR(__xludf.DUMMYFUNCTION("""COMPUTED_VALUE"""),249.96)</f>
        <v>249.96</v>
      </c>
      <c r="D1685" s="1">
        <f ca="1">IFERROR(__xludf.DUMMYFUNCTION("""COMPUTED_VALUE"""),239.18)</f>
        <v>239.18</v>
      </c>
      <c r="E1685" s="1">
        <f ca="1">IFERROR(__xludf.DUMMYFUNCTION("""COMPUTED_VALUE"""),241.87)</f>
        <v>241.87</v>
      </c>
      <c r="F1685" s="1">
        <f ca="1">IFERROR(__xludf.DUMMYFUNCTION("""COMPUTED_VALUE"""),25403540)</f>
        <v>25403540</v>
      </c>
      <c r="G1685" s="5">
        <f t="shared" ca="1" si="78"/>
        <v>-8.9304171662463166E-3</v>
      </c>
      <c r="H1685" s="14">
        <f t="shared" si="79"/>
        <v>2022</v>
      </c>
      <c r="I1685" s="5">
        <f t="shared" ca="1" si="80"/>
        <v>7.4138864592444547E-3</v>
      </c>
      <c r="J1685" s="16"/>
    </row>
    <row r="1686" spans="1:10" x14ac:dyDescent="0.2">
      <c r="A1686" s="3">
        <v>44721</v>
      </c>
      <c r="B1686" s="1">
        <f ca="1">IFERROR(__xludf.DUMMYFUNCTION("""COMPUTED_VALUE"""),249.34)</f>
        <v>249.34</v>
      </c>
      <c r="C1686" s="1">
        <f ca="1">IFERROR(__xludf.DUMMYFUNCTION("""COMPUTED_VALUE"""),255.55)</f>
        <v>255.55</v>
      </c>
      <c r="D1686" s="1">
        <f ca="1">IFERROR(__xludf.DUMMYFUNCTION("""COMPUTED_VALUE"""),239.33)</f>
        <v>239.33</v>
      </c>
      <c r="E1686" s="1">
        <f ca="1">IFERROR(__xludf.DUMMYFUNCTION("""COMPUTED_VALUE"""),239.71)</f>
        <v>239.71</v>
      </c>
      <c r="F1686" s="1">
        <f ca="1">IFERROR(__xludf.DUMMYFUNCTION("""COMPUTED_VALUE"""),32163769)</f>
        <v>32163769</v>
      </c>
      <c r="G1686" s="5">
        <f t="shared" ca="1" si="78"/>
        <v>-3.120437194943898E-2</v>
      </c>
      <c r="H1686" s="14">
        <f t="shared" si="79"/>
        <v>2022</v>
      </c>
      <c r="I1686" s="5">
        <f t="shared" ca="1" si="80"/>
        <v>-3.8621961979626196E-2</v>
      </c>
      <c r="J1686" s="16"/>
    </row>
    <row r="1687" spans="1:10" x14ac:dyDescent="0.2">
      <c r="A1687" s="3">
        <v>44722</v>
      </c>
      <c r="B1687" s="1">
        <f ca="1">IFERROR(__xludf.DUMMYFUNCTION("""COMPUTED_VALUE"""),235.16)</f>
        <v>235.16</v>
      </c>
      <c r="C1687" s="1">
        <f ca="1">IFERROR(__xludf.DUMMYFUNCTION("""COMPUTED_VALUE"""),239.5)</f>
        <v>239.5</v>
      </c>
      <c r="D1687" s="1">
        <f ca="1">IFERROR(__xludf.DUMMYFUNCTION("""COMPUTED_VALUE"""),227.91)</f>
        <v>227.91</v>
      </c>
      <c r="E1687" s="1">
        <f ca="1">IFERROR(__xludf.DUMMYFUNCTION("""COMPUTED_VALUE"""),232.23)</f>
        <v>232.23</v>
      </c>
      <c r="F1687" s="1">
        <f ca="1">IFERROR(__xludf.DUMMYFUNCTION("""COMPUTED_VALUE"""),32696966)</f>
        <v>32696966</v>
      </c>
      <c r="G1687" s="5">
        <f t="shared" ca="1" si="78"/>
        <v>-7.1007191146707921E-2</v>
      </c>
      <c r="H1687" s="14">
        <f t="shared" si="79"/>
        <v>2022</v>
      </c>
      <c r="I1687" s="5">
        <f t="shared" ca="1" si="80"/>
        <v>-1.245960197312471E-2</v>
      </c>
      <c r="J1687" s="16"/>
    </row>
    <row r="1688" spans="1:10" x14ac:dyDescent="0.2">
      <c r="A1688" s="3">
        <v>44725</v>
      </c>
      <c r="B1688" s="1">
        <f ca="1">IFERROR(__xludf.DUMMYFUNCTION("""COMPUTED_VALUE"""),223.17)</f>
        <v>223.17</v>
      </c>
      <c r="C1688" s="1">
        <f ca="1">IFERROR(__xludf.DUMMYFUNCTION("""COMPUTED_VALUE"""),226.63)</f>
        <v>226.63</v>
      </c>
      <c r="D1688" s="1">
        <f ca="1">IFERROR(__xludf.DUMMYFUNCTION("""COMPUTED_VALUE"""),214.68)</f>
        <v>214.68</v>
      </c>
      <c r="E1688" s="1">
        <f ca="1">IFERROR(__xludf.DUMMYFUNCTION("""COMPUTED_VALUE"""),215.74)</f>
        <v>215.74</v>
      </c>
      <c r="F1688" s="1">
        <f ca="1">IFERROR(__xludf.DUMMYFUNCTION("""COMPUTED_VALUE"""),34255754)</f>
        <v>34255754</v>
      </c>
      <c r="G1688" s="5">
        <f t="shared" ca="1" si="78"/>
        <v>2.3871326596829411E-2</v>
      </c>
      <c r="H1688" s="14">
        <f t="shared" si="79"/>
        <v>2022</v>
      </c>
      <c r="I1688" s="5">
        <f t="shared" ca="1" si="80"/>
        <v>-3.3293005332257826E-2</v>
      </c>
      <c r="J1688" s="16"/>
    </row>
    <row r="1689" spans="1:10" x14ac:dyDescent="0.2">
      <c r="A1689" s="3">
        <v>44726</v>
      </c>
      <c r="B1689" s="1">
        <f ca="1">IFERROR(__xludf.DUMMYFUNCTION("""COMPUTED_VALUE"""),218.29)</f>
        <v>218.29</v>
      </c>
      <c r="C1689" s="1">
        <f ca="1">IFERROR(__xludf.DUMMYFUNCTION("""COMPUTED_VALUE"""),226.33)</f>
        <v>226.33</v>
      </c>
      <c r="D1689" s="1">
        <f ca="1">IFERROR(__xludf.DUMMYFUNCTION("""COMPUTED_VALUE"""),211.74)</f>
        <v>211.74</v>
      </c>
      <c r="E1689" s="1">
        <f ca="1">IFERROR(__xludf.DUMMYFUNCTION("""COMPUTED_VALUE"""),220.89)</f>
        <v>220.89</v>
      </c>
      <c r="F1689" s="1">
        <f ca="1">IFERROR(__xludf.DUMMYFUNCTION("""COMPUTED_VALUE"""),32662932)</f>
        <v>32662932</v>
      </c>
      <c r="G1689" s="5">
        <f t="shared" ca="1" si="78"/>
        <v>5.4823667888994586E-2</v>
      </c>
      <c r="H1689" s="14">
        <f t="shared" si="79"/>
        <v>2022</v>
      </c>
      <c r="I1689" s="5">
        <f t="shared" ca="1" si="80"/>
        <v>1.1910760914379927E-2</v>
      </c>
      <c r="J1689" s="16"/>
    </row>
    <row r="1690" spans="1:10" x14ac:dyDescent="0.2">
      <c r="A1690" s="3">
        <v>44727</v>
      </c>
      <c r="B1690" s="1">
        <f ca="1">IFERROR(__xludf.DUMMYFUNCTION("""COMPUTED_VALUE"""),220.92)</f>
        <v>220.92</v>
      </c>
      <c r="C1690" s="1">
        <f ca="1">IFERROR(__xludf.DUMMYFUNCTION("""COMPUTED_VALUE"""),235.66)</f>
        <v>235.66</v>
      </c>
      <c r="D1690" s="1">
        <f ca="1">IFERROR(__xludf.DUMMYFUNCTION("""COMPUTED_VALUE"""),218.15)</f>
        <v>218.15</v>
      </c>
      <c r="E1690" s="1">
        <f ca="1">IFERROR(__xludf.DUMMYFUNCTION("""COMPUTED_VALUE"""),233)</f>
        <v>233</v>
      </c>
      <c r="F1690" s="1">
        <f ca="1">IFERROR(__xludf.DUMMYFUNCTION("""COMPUTED_VALUE"""),39710645)</f>
        <v>39710645</v>
      </c>
      <c r="G1690" s="5">
        <f t="shared" ca="1" si="78"/>
        <v>-8.5407725321888436E-2</v>
      </c>
      <c r="H1690" s="14">
        <f t="shared" si="79"/>
        <v>2022</v>
      </c>
      <c r="I1690" s="5">
        <f t="shared" ca="1" si="80"/>
        <v>5.4680427304001508E-2</v>
      </c>
      <c r="J1690" s="16"/>
    </row>
    <row r="1691" spans="1:10" x14ac:dyDescent="0.2">
      <c r="A1691" s="3">
        <v>44728</v>
      </c>
      <c r="B1691" s="1">
        <f ca="1">IFERROR(__xludf.DUMMYFUNCTION("""COMPUTED_VALUE"""),222.74)</f>
        <v>222.74</v>
      </c>
      <c r="C1691" s="1">
        <f ca="1">IFERROR(__xludf.DUMMYFUNCTION("""COMPUTED_VALUE"""),225.17)</f>
        <v>225.17</v>
      </c>
      <c r="D1691" s="1">
        <f ca="1">IFERROR(__xludf.DUMMYFUNCTION("""COMPUTED_VALUE"""),208.69)</f>
        <v>208.69</v>
      </c>
      <c r="E1691" s="1">
        <f ca="1">IFERROR(__xludf.DUMMYFUNCTION("""COMPUTED_VALUE"""),213.1)</f>
        <v>213.1</v>
      </c>
      <c r="F1691" s="1">
        <f ca="1">IFERROR(__xludf.DUMMYFUNCTION("""COMPUTED_VALUE"""),35796900)</f>
        <v>35796900</v>
      </c>
      <c r="G1691" s="5">
        <f t="shared" ca="1" si="78"/>
        <v>1.7175035194744236E-2</v>
      </c>
      <c r="H1691" s="14">
        <f t="shared" si="79"/>
        <v>2022</v>
      </c>
      <c r="I1691" s="5">
        <f t="shared" ca="1" si="80"/>
        <v>-4.3279159558229391E-2</v>
      </c>
      <c r="J1691" s="16"/>
    </row>
    <row r="1692" spans="1:10" x14ac:dyDescent="0.2">
      <c r="A1692" s="3">
        <v>44729</v>
      </c>
      <c r="B1692" s="1">
        <f ca="1">IFERROR(__xludf.DUMMYFUNCTION("""COMPUTED_VALUE"""),213.43)</f>
        <v>213.43</v>
      </c>
      <c r="C1692" s="1">
        <f ca="1">IFERROR(__xludf.DUMMYFUNCTION("""COMPUTED_VALUE"""),220.97)</f>
        <v>220.97</v>
      </c>
      <c r="D1692" s="1">
        <f ca="1">IFERROR(__xludf.DUMMYFUNCTION("""COMPUTED_VALUE"""),213.2)</f>
        <v>213.2</v>
      </c>
      <c r="E1692" s="1">
        <f ca="1">IFERROR(__xludf.DUMMYFUNCTION("""COMPUTED_VALUE"""),216.76)</f>
        <v>216.76</v>
      </c>
      <c r="F1692" s="1">
        <f ca="1">IFERROR(__xludf.DUMMYFUNCTION("""COMPUTED_VALUE"""),30880590)</f>
        <v>30880590</v>
      </c>
      <c r="G1692" s="5">
        <f t="shared" ca="1" si="78"/>
        <v>9.3559697361136757E-2</v>
      </c>
      <c r="H1692" s="14">
        <f t="shared" si="79"/>
        <v>2022</v>
      </c>
      <c r="I1692" s="5">
        <f t="shared" ca="1" si="80"/>
        <v>1.5602305205453703E-2</v>
      </c>
      <c r="J1692" s="16"/>
    </row>
    <row r="1693" spans="1:10" x14ac:dyDescent="0.2">
      <c r="A1693" s="3">
        <v>44733</v>
      </c>
      <c r="B1693" s="1">
        <f ca="1">IFERROR(__xludf.DUMMYFUNCTION("""COMPUTED_VALUE"""),224.6)</f>
        <v>224.6</v>
      </c>
      <c r="C1693" s="1">
        <f ca="1">IFERROR(__xludf.DUMMYFUNCTION("""COMPUTED_VALUE"""),243.58)</f>
        <v>243.58</v>
      </c>
      <c r="D1693" s="1">
        <f ca="1">IFERROR(__xludf.DUMMYFUNCTION("""COMPUTED_VALUE"""),224.33)</f>
        <v>224.33</v>
      </c>
      <c r="E1693" s="1">
        <f ca="1">IFERROR(__xludf.DUMMYFUNCTION("""COMPUTED_VALUE"""),237.04)</f>
        <v>237.04</v>
      </c>
      <c r="F1693" s="1">
        <f ca="1">IFERROR(__xludf.DUMMYFUNCTION("""COMPUTED_VALUE"""),40930985)</f>
        <v>40930985</v>
      </c>
      <c r="G1693" s="5">
        <f t="shared" ca="1" si="78"/>
        <v>-4.007762402969915E-3</v>
      </c>
      <c r="H1693" s="14">
        <f t="shared" si="79"/>
        <v>2022</v>
      </c>
      <c r="I1693" s="5">
        <f t="shared" ca="1" si="80"/>
        <v>5.5387355298308093E-2</v>
      </c>
      <c r="J1693" s="16"/>
    </row>
    <row r="1694" spans="1:10" x14ac:dyDescent="0.2">
      <c r="A1694" s="3">
        <v>44734</v>
      </c>
      <c r="B1694" s="1">
        <f ca="1">IFERROR(__xludf.DUMMYFUNCTION("""COMPUTED_VALUE"""),234.5)</f>
        <v>234.5</v>
      </c>
      <c r="C1694" s="1">
        <f ca="1">IFERROR(__xludf.DUMMYFUNCTION("""COMPUTED_VALUE"""),246.83)</f>
        <v>246.83</v>
      </c>
      <c r="D1694" s="1">
        <f ca="1">IFERROR(__xludf.DUMMYFUNCTION("""COMPUTED_VALUE"""),233.83)</f>
        <v>233.83</v>
      </c>
      <c r="E1694" s="1">
        <f ca="1">IFERROR(__xludf.DUMMYFUNCTION("""COMPUTED_VALUE"""),236.09)</f>
        <v>236.09</v>
      </c>
      <c r="F1694" s="1">
        <f ca="1">IFERROR(__xludf.DUMMYFUNCTION("""COMPUTED_VALUE"""),33842420)</f>
        <v>33842420</v>
      </c>
      <c r="G1694" s="5">
        <f t="shared" ca="1" si="78"/>
        <v>-4.3203862933627437E-3</v>
      </c>
      <c r="H1694" s="14">
        <f t="shared" si="79"/>
        <v>2022</v>
      </c>
      <c r="I1694" s="5">
        <f t="shared" ca="1" si="80"/>
        <v>6.7803837953091832E-3</v>
      </c>
      <c r="J1694" s="16"/>
    </row>
    <row r="1695" spans="1:10" x14ac:dyDescent="0.2">
      <c r="A1695" s="3">
        <v>44735</v>
      </c>
      <c r="B1695" s="1">
        <f ca="1">IFERROR(__xludf.DUMMYFUNCTION("""COMPUTED_VALUE"""),237.91)</f>
        <v>237.91</v>
      </c>
      <c r="C1695" s="1">
        <f ca="1">IFERROR(__xludf.DUMMYFUNCTION("""COMPUTED_VALUE"""),239.32)</f>
        <v>239.32</v>
      </c>
      <c r="D1695" s="1">
        <f ca="1">IFERROR(__xludf.DUMMYFUNCTION("""COMPUTED_VALUE"""),228.64)</f>
        <v>228.64</v>
      </c>
      <c r="E1695" s="1">
        <f ca="1">IFERROR(__xludf.DUMMYFUNCTION("""COMPUTED_VALUE"""),235.07)</f>
        <v>235.07</v>
      </c>
      <c r="F1695" s="1">
        <f ca="1">IFERROR(__xludf.DUMMYFUNCTION("""COMPUTED_VALUE"""),34734226)</f>
        <v>34734226</v>
      </c>
      <c r="G1695" s="5">
        <f t="shared" ca="1" si="78"/>
        <v>4.526311311524233E-2</v>
      </c>
      <c r="H1695" s="14">
        <f t="shared" si="79"/>
        <v>2022</v>
      </c>
      <c r="I1695" s="5">
        <f t="shared" ca="1" si="80"/>
        <v>-1.1937287209448966E-2</v>
      </c>
      <c r="J1695" s="16"/>
    </row>
    <row r="1696" spans="1:10" x14ac:dyDescent="0.2">
      <c r="A1696" s="3">
        <v>44736</v>
      </c>
      <c r="B1696" s="1">
        <f ca="1">IFERROR(__xludf.DUMMYFUNCTION("""COMPUTED_VALUE"""),237.47)</f>
        <v>237.47</v>
      </c>
      <c r="C1696" s="1">
        <f ca="1">IFERROR(__xludf.DUMMYFUNCTION("""COMPUTED_VALUE"""),246.07)</f>
        <v>246.07</v>
      </c>
      <c r="D1696" s="1">
        <f ca="1">IFERROR(__xludf.DUMMYFUNCTION("""COMPUTED_VALUE"""),236.09)</f>
        <v>236.09</v>
      </c>
      <c r="E1696" s="1">
        <f ca="1">IFERROR(__xludf.DUMMYFUNCTION("""COMPUTED_VALUE"""),245.71)</f>
        <v>245.71</v>
      </c>
      <c r="F1696" s="1">
        <f ca="1">IFERROR(__xludf.DUMMYFUNCTION("""COMPUTED_VALUE"""),31923565)</f>
        <v>31923565</v>
      </c>
      <c r="G1696" s="5">
        <f t="shared" ca="1" si="78"/>
        <v>-3.215172357657484E-3</v>
      </c>
      <c r="H1696" s="14">
        <f t="shared" si="79"/>
        <v>2022</v>
      </c>
      <c r="I1696" s="5">
        <f t="shared" ca="1" si="80"/>
        <v>3.4699119888828102E-2</v>
      </c>
      <c r="J1696" s="16"/>
    </row>
    <row r="1697" spans="1:10" x14ac:dyDescent="0.2">
      <c r="A1697" s="3">
        <v>44739</v>
      </c>
      <c r="B1697" s="1">
        <f ca="1">IFERROR(__xludf.DUMMYFUNCTION("""COMPUTED_VALUE"""),249.37)</f>
        <v>249.37</v>
      </c>
      <c r="C1697" s="1">
        <f ca="1">IFERROR(__xludf.DUMMYFUNCTION("""COMPUTED_VALUE"""),252.07)</f>
        <v>252.07</v>
      </c>
      <c r="D1697" s="1">
        <f ca="1">IFERROR(__xludf.DUMMYFUNCTION("""COMPUTED_VALUE"""),242.57)</f>
        <v>242.57</v>
      </c>
      <c r="E1697" s="1">
        <f ca="1">IFERROR(__xludf.DUMMYFUNCTION("""COMPUTED_VALUE"""),244.92)</f>
        <v>244.92</v>
      </c>
      <c r="F1697" s="1">
        <f ca="1">IFERROR(__xludf.DUMMYFUNCTION("""COMPUTED_VALUE"""),29726104)</f>
        <v>29726104</v>
      </c>
      <c r="G1697" s="5">
        <f t="shared" ca="1" si="78"/>
        <v>-5.0057161522129641E-2</v>
      </c>
      <c r="H1697" s="14">
        <f t="shared" si="79"/>
        <v>2022</v>
      </c>
      <c r="I1697" s="5">
        <f t="shared" ca="1" si="80"/>
        <v>-1.7844969322693256E-2</v>
      </c>
      <c r="J1697" s="16"/>
    </row>
    <row r="1698" spans="1:10" x14ac:dyDescent="0.2">
      <c r="A1698" s="3">
        <v>44740</v>
      </c>
      <c r="B1698" s="1">
        <f ca="1">IFERROR(__xludf.DUMMYFUNCTION("""COMPUTED_VALUE"""),244.48)</f>
        <v>244.48</v>
      </c>
      <c r="C1698" s="1">
        <f ca="1">IFERROR(__xludf.DUMMYFUNCTION("""COMPUTED_VALUE"""),249.97)</f>
        <v>249.97</v>
      </c>
      <c r="D1698" s="1">
        <f ca="1">IFERROR(__xludf.DUMMYFUNCTION("""COMPUTED_VALUE"""),232.34)</f>
        <v>232.34</v>
      </c>
      <c r="E1698" s="1">
        <f ca="1">IFERROR(__xludf.DUMMYFUNCTION("""COMPUTED_VALUE"""),232.66)</f>
        <v>232.66</v>
      </c>
      <c r="F1698" s="1">
        <f ca="1">IFERROR(__xludf.DUMMYFUNCTION("""COMPUTED_VALUE"""),30222167)</f>
        <v>30222167</v>
      </c>
      <c r="G1698" s="5">
        <f t="shared" ca="1" si="78"/>
        <v>-1.7923149660448671E-2</v>
      </c>
      <c r="H1698" s="14">
        <f t="shared" si="79"/>
        <v>2022</v>
      </c>
      <c r="I1698" s="5">
        <f t="shared" ca="1" si="80"/>
        <v>-4.8347513089005208E-2</v>
      </c>
      <c r="J1698" s="16"/>
    </row>
    <row r="1699" spans="1:10" x14ac:dyDescent="0.2">
      <c r="A1699" s="3">
        <v>44741</v>
      </c>
      <c r="B1699" s="1">
        <f ca="1">IFERROR(__xludf.DUMMYFUNCTION("""COMPUTED_VALUE"""),230.5)</f>
        <v>230.5</v>
      </c>
      <c r="C1699" s="1">
        <f ca="1">IFERROR(__xludf.DUMMYFUNCTION("""COMPUTED_VALUE"""),231.17)</f>
        <v>231.17</v>
      </c>
      <c r="D1699" s="1">
        <f ca="1">IFERROR(__xludf.DUMMYFUNCTION("""COMPUTED_VALUE"""),222.27)</f>
        <v>222.27</v>
      </c>
      <c r="E1699" s="1">
        <f ca="1">IFERROR(__xludf.DUMMYFUNCTION("""COMPUTED_VALUE"""),228.49)</f>
        <v>228.49</v>
      </c>
      <c r="F1699" s="1">
        <f ca="1">IFERROR(__xludf.DUMMYFUNCTION("""COMPUTED_VALUE"""),27632418)</f>
        <v>27632418</v>
      </c>
      <c r="G1699" s="5">
        <f t="shared" ca="1" si="78"/>
        <v>-1.7593767779771587E-2</v>
      </c>
      <c r="H1699" s="14">
        <f t="shared" si="79"/>
        <v>2022</v>
      </c>
      <c r="I1699" s="5">
        <f t="shared" ca="1" si="80"/>
        <v>-8.7201735357917178E-3</v>
      </c>
      <c r="J1699" s="16"/>
    </row>
    <row r="1700" spans="1:10" x14ac:dyDescent="0.2">
      <c r="A1700" s="3">
        <v>44742</v>
      </c>
      <c r="B1700" s="1">
        <f ca="1">IFERROR(__xludf.DUMMYFUNCTION("""COMPUTED_VALUE"""),224.51)</f>
        <v>224.51</v>
      </c>
      <c r="C1700" s="1">
        <f ca="1">IFERROR(__xludf.DUMMYFUNCTION("""COMPUTED_VALUE"""),229.46)</f>
        <v>229.46</v>
      </c>
      <c r="D1700" s="1">
        <f ca="1">IFERROR(__xludf.DUMMYFUNCTION("""COMPUTED_VALUE"""),218.86)</f>
        <v>218.86</v>
      </c>
      <c r="E1700" s="1">
        <f ca="1">IFERROR(__xludf.DUMMYFUNCTION("""COMPUTED_VALUE"""),224.47)</f>
        <v>224.47</v>
      </c>
      <c r="F1700" s="1">
        <f ca="1">IFERROR(__xludf.DUMMYFUNCTION("""COMPUTED_VALUE"""),31533484)</f>
        <v>31533484</v>
      </c>
      <c r="G1700" s="5">
        <f t="shared" ca="1" si="78"/>
        <v>1.242927785450168E-2</v>
      </c>
      <c r="H1700" s="14">
        <f t="shared" si="79"/>
        <v>2022</v>
      </c>
      <c r="I1700" s="5">
        <f t="shared" ca="1" si="80"/>
        <v>-1.7816578326128923E-4</v>
      </c>
      <c r="J1700" s="16"/>
    </row>
    <row r="1701" spans="1:10" x14ac:dyDescent="0.2">
      <c r="A1701" s="3">
        <v>44743</v>
      </c>
      <c r="B1701" s="1">
        <f ca="1">IFERROR(__xludf.DUMMYFUNCTION("""COMPUTED_VALUE"""),227)</f>
        <v>227</v>
      </c>
      <c r="C1701" s="1">
        <f ca="1">IFERROR(__xludf.DUMMYFUNCTION("""COMPUTED_VALUE"""),230.23)</f>
        <v>230.23</v>
      </c>
      <c r="D1701" s="1">
        <f ca="1">IFERROR(__xludf.DUMMYFUNCTION("""COMPUTED_VALUE"""),222.12)</f>
        <v>222.12</v>
      </c>
      <c r="E1701" s="1">
        <f ca="1">IFERROR(__xludf.DUMMYFUNCTION("""COMPUTED_VALUE"""),227.26)</f>
        <v>227.26</v>
      </c>
      <c r="F1701" s="1">
        <f ca="1">IFERROR(__xludf.DUMMYFUNCTION("""COMPUTED_VALUE"""),24820148)</f>
        <v>24820148</v>
      </c>
      <c r="G1701" s="5">
        <f t="shared" ca="1" si="78"/>
        <v>2.5565431664173206E-2</v>
      </c>
      <c r="H1701" s="14">
        <f t="shared" si="79"/>
        <v>2022</v>
      </c>
      <c r="I1701" s="5">
        <f t="shared" ca="1" si="80"/>
        <v>1.145374449339167E-3</v>
      </c>
      <c r="J1701" s="16"/>
    </row>
    <row r="1702" spans="1:10" x14ac:dyDescent="0.2">
      <c r="A1702" s="3">
        <v>44747</v>
      </c>
      <c r="B1702" s="1">
        <f ca="1">IFERROR(__xludf.DUMMYFUNCTION("""COMPUTED_VALUE"""),223)</f>
        <v>223</v>
      </c>
      <c r="C1702" s="1">
        <f ca="1">IFERROR(__xludf.DUMMYFUNCTION("""COMPUTED_VALUE"""),233.15)</f>
        <v>233.15</v>
      </c>
      <c r="D1702" s="1">
        <f ca="1">IFERROR(__xludf.DUMMYFUNCTION("""COMPUTED_VALUE"""),216.17)</f>
        <v>216.17</v>
      </c>
      <c r="E1702" s="1">
        <f ca="1">IFERROR(__xludf.DUMMYFUNCTION("""COMPUTED_VALUE"""),233.07)</f>
        <v>233.07</v>
      </c>
      <c r="F1702" s="1">
        <f ca="1">IFERROR(__xludf.DUMMYFUNCTION("""COMPUTED_VALUE"""),28259704)</f>
        <v>28259704</v>
      </c>
      <c r="G1702" s="5">
        <f t="shared" ca="1" si="78"/>
        <v>-5.749345690136025E-3</v>
      </c>
      <c r="H1702" s="14">
        <f t="shared" si="79"/>
        <v>2022</v>
      </c>
      <c r="I1702" s="5">
        <f t="shared" ca="1" si="80"/>
        <v>4.5156950672645711E-2</v>
      </c>
      <c r="J1702" s="16"/>
    </row>
    <row r="1703" spans="1:10" x14ac:dyDescent="0.2">
      <c r="A1703" s="3">
        <v>44748</v>
      </c>
      <c r="B1703" s="1">
        <f ca="1">IFERROR(__xludf.DUMMYFUNCTION("""COMPUTED_VALUE"""),230.78)</f>
        <v>230.78</v>
      </c>
      <c r="C1703" s="1">
        <f ca="1">IFERROR(__xludf.DUMMYFUNCTION("""COMPUTED_VALUE"""),234.56)</f>
        <v>234.56</v>
      </c>
      <c r="D1703" s="1">
        <f ca="1">IFERROR(__xludf.DUMMYFUNCTION("""COMPUTED_VALUE"""),227.19)</f>
        <v>227.19</v>
      </c>
      <c r="E1703" s="1">
        <f ca="1">IFERROR(__xludf.DUMMYFUNCTION("""COMPUTED_VALUE"""),231.73)</f>
        <v>231.73</v>
      </c>
      <c r="F1703" s="1">
        <f ca="1">IFERROR(__xludf.DUMMYFUNCTION("""COMPUTED_VALUE"""),23951210)</f>
        <v>23951210</v>
      </c>
      <c r="G1703" s="5">
        <f t="shared" ca="1" si="78"/>
        <v>5.5279851551374458E-2</v>
      </c>
      <c r="H1703" s="14">
        <f t="shared" si="79"/>
        <v>2022</v>
      </c>
      <c r="I1703" s="5">
        <f t="shared" ca="1" si="80"/>
        <v>4.1164745645202727E-3</v>
      </c>
      <c r="J1703" s="16"/>
    </row>
    <row r="1704" spans="1:10" x14ac:dyDescent="0.2">
      <c r="A1704" s="3">
        <v>44749</v>
      </c>
      <c r="B1704" s="1">
        <f ca="1">IFERROR(__xludf.DUMMYFUNCTION("""COMPUTED_VALUE"""),233.92)</f>
        <v>233.92</v>
      </c>
      <c r="C1704" s="1">
        <f ca="1">IFERROR(__xludf.DUMMYFUNCTION("""COMPUTED_VALUE"""),245.36)</f>
        <v>245.36</v>
      </c>
      <c r="D1704" s="1">
        <f ca="1">IFERROR(__xludf.DUMMYFUNCTION("""COMPUTED_VALUE"""),232.21)</f>
        <v>232.21</v>
      </c>
      <c r="E1704" s="1">
        <f ca="1">IFERROR(__xludf.DUMMYFUNCTION("""COMPUTED_VALUE"""),244.54)</f>
        <v>244.54</v>
      </c>
      <c r="F1704" s="1">
        <f ca="1">IFERROR(__xludf.DUMMYFUNCTION("""COMPUTED_VALUE"""),27310230)</f>
        <v>27310230</v>
      </c>
      <c r="G1704" s="5">
        <f t="shared" ca="1" si="78"/>
        <v>2.5435511572748832E-2</v>
      </c>
      <c r="H1704" s="14">
        <f t="shared" si="79"/>
        <v>2022</v>
      </c>
      <c r="I1704" s="5">
        <f t="shared" ca="1" si="80"/>
        <v>4.540013679890563E-2</v>
      </c>
      <c r="J1704" s="16"/>
    </row>
    <row r="1705" spans="1:10" x14ac:dyDescent="0.2">
      <c r="A1705" s="3">
        <v>44750</v>
      </c>
      <c r="B1705" s="1">
        <f ca="1">IFERROR(__xludf.DUMMYFUNCTION("""COMPUTED_VALUE"""),242.33)</f>
        <v>242.33</v>
      </c>
      <c r="C1705" s="1">
        <f ca="1">IFERROR(__xludf.DUMMYFUNCTION("""COMPUTED_VALUE"""),254.98)</f>
        <v>254.98</v>
      </c>
      <c r="D1705" s="1">
        <f ca="1">IFERROR(__xludf.DUMMYFUNCTION("""COMPUTED_VALUE"""),241.16)</f>
        <v>241.16</v>
      </c>
      <c r="E1705" s="1">
        <f ca="1">IFERROR(__xludf.DUMMYFUNCTION("""COMPUTED_VALUE"""),250.76)</f>
        <v>250.76</v>
      </c>
      <c r="F1705" s="1">
        <f ca="1">IFERROR(__xludf.DUMMYFUNCTION("""COMPUTED_VALUE"""),33951362)</f>
        <v>33951362</v>
      </c>
      <c r="G1705" s="5">
        <f t="shared" ca="1" si="78"/>
        <v>-6.5480937948636103E-2</v>
      </c>
      <c r="H1705" s="14">
        <f t="shared" si="79"/>
        <v>2022</v>
      </c>
      <c r="I1705" s="5">
        <f t="shared" ca="1" si="80"/>
        <v>3.4787273552593478E-2</v>
      </c>
      <c r="J1705" s="16"/>
    </row>
    <row r="1706" spans="1:10" x14ac:dyDescent="0.2">
      <c r="A1706" s="3">
        <v>44753</v>
      </c>
      <c r="B1706" s="1">
        <f ca="1">IFERROR(__xludf.DUMMYFUNCTION("""COMPUTED_VALUE"""),252.1)</f>
        <v>252.1</v>
      </c>
      <c r="C1706" s="1">
        <f ca="1">IFERROR(__xludf.DUMMYFUNCTION("""COMPUTED_VALUE"""),253.06)</f>
        <v>253.06</v>
      </c>
      <c r="D1706" s="1">
        <f ca="1">IFERROR(__xludf.DUMMYFUNCTION("""COMPUTED_VALUE"""),233.63)</f>
        <v>233.63</v>
      </c>
      <c r="E1706" s="1">
        <f ca="1">IFERROR(__xludf.DUMMYFUNCTION("""COMPUTED_VALUE"""),234.34)</f>
        <v>234.34</v>
      </c>
      <c r="F1706" s="1">
        <f ca="1">IFERROR(__xludf.DUMMYFUNCTION("""COMPUTED_VALUE"""),33169740)</f>
        <v>33169740</v>
      </c>
      <c r="G1706" s="5">
        <f t="shared" ca="1" si="78"/>
        <v>-5.4194759750789889E-3</v>
      </c>
      <c r="H1706" s="14">
        <f t="shared" si="79"/>
        <v>2022</v>
      </c>
      <c r="I1706" s="5">
        <f t="shared" ca="1" si="80"/>
        <v>-7.0448234827449385E-2</v>
      </c>
      <c r="J1706" s="16"/>
    </row>
    <row r="1707" spans="1:10" x14ac:dyDescent="0.2">
      <c r="A1707" s="3">
        <v>44754</v>
      </c>
      <c r="B1707" s="1">
        <f ca="1">IFERROR(__xludf.DUMMYFUNCTION("""COMPUTED_VALUE"""),236.85)</f>
        <v>236.85</v>
      </c>
      <c r="C1707" s="1">
        <f ca="1">IFERROR(__xludf.DUMMYFUNCTION("""COMPUTED_VALUE"""),239.77)</f>
        <v>239.77</v>
      </c>
      <c r="D1707" s="1">
        <f ca="1">IFERROR(__xludf.DUMMYFUNCTION("""COMPUTED_VALUE"""),228.37)</f>
        <v>228.37</v>
      </c>
      <c r="E1707" s="1">
        <f ca="1">IFERROR(__xludf.DUMMYFUNCTION("""COMPUTED_VALUE"""),233.07)</f>
        <v>233.07</v>
      </c>
      <c r="F1707" s="1">
        <f ca="1">IFERROR(__xludf.DUMMYFUNCTION("""COMPUTED_VALUE"""),29310320)</f>
        <v>29310320</v>
      </c>
      <c r="G1707" s="5">
        <f t="shared" ca="1" si="78"/>
        <v>1.7033509246149221E-2</v>
      </c>
      <c r="H1707" s="14">
        <f t="shared" si="79"/>
        <v>2022</v>
      </c>
      <c r="I1707" s="5">
        <f t="shared" ca="1" si="80"/>
        <v>-1.5959468017732747E-2</v>
      </c>
      <c r="J1707" s="16"/>
    </row>
    <row r="1708" spans="1:10" x14ac:dyDescent="0.2">
      <c r="A1708" s="3">
        <v>44755</v>
      </c>
      <c r="B1708" s="1">
        <f ca="1">IFERROR(__xludf.DUMMYFUNCTION("""COMPUTED_VALUE"""),225.5)</f>
        <v>225.5</v>
      </c>
      <c r="C1708" s="1">
        <f ca="1">IFERROR(__xludf.DUMMYFUNCTION("""COMPUTED_VALUE"""),242.06)</f>
        <v>242.06</v>
      </c>
      <c r="D1708" s="1">
        <f ca="1">IFERROR(__xludf.DUMMYFUNCTION("""COMPUTED_VALUE"""),225.03)</f>
        <v>225.03</v>
      </c>
      <c r="E1708" s="1">
        <f ca="1">IFERROR(__xludf.DUMMYFUNCTION("""COMPUTED_VALUE"""),237.04)</f>
        <v>237.04</v>
      </c>
      <c r="F1708" s="1">
        <f ca="1">IFERROR(__xludf.DUMMYFUNCTION("""COMPUTED_VALUE"""),32651499)</f>
        <v>32651499</v>
      </c>
      <c r="G1708" s="5">
        <f t="shared" ca="1" si="78"/>
        <v>5.3577455281809414E-3</v>
      </c>
      <c r="H1708" s="14">
        <f t="shared" si="79"/>
        <v>2022</v>
      </c>
      <c r="I1708" s="5">
        <f t="shared" ca="1" si="80"/>
        <v>5.1175166297117484E-2</v>
      </c>
      <c r="J1708" s="16"/>
    </row>
    <row r="1709" spans="1:10" x14ac:dyDescent="0.2">
      <c r="A1709" s="3">
        <v>44756</v>
      </c>
      <c r="B1709" s="1">
        <f ca="1">IFERROR(__xludf.DUMMYFUNCTION("""COMPUTED_VALUE"""),234.9)</f>
        <v>234.9</v>
      </c>
      <c r="C1709" s="1">
        <f ca="1">IFERROR(__xludf.DUMMYFUNCTION("""COMPUTED_VALUE"""),238.65)</f>
        <v>238.65</v>
      </c>
      <c r="D1709" s="1">
        <f ca="1">IFERROR(__xludf.DUMMYFUNCTION("""COMPUTED_VALUE"""),229.33)</f>
        <v>229.33</v>
      </c>
      <c r="E1709" s="1">
        <f ca="1">IFERROR(__xludf.DUMMYFUNCTION("""COMPUTED_VALUE"""),238.31)</f>
        <v>238.31</v>
      </c>
      <c r="F1709" s="1">
        <f ca="1">IFERROR(__xludf.DUMMYFUNCTION("""COMPUTED_VALUE"""),26185833)</f>
        <v>26185833</v>
      </c>
      <c r="G1709" s="5">
        <f t="shared" ca="1" si="78"/>
        <v>7.3853384247408458E-3</v>
      </c>
      <c r="H1709" s="14">
        <f t="shared" si="79"/>
        <v>2022</v>
      </c>
      <c r="I1709" s="5">
        <f t="shared" ca="1" si="80"/>
        <v>1.4516815666240938E-2</v>
      </c>
      <c r="J1709" s="16"/>
    </row>
    <row r="1710" spans="1:10" x14ac:dyDescent="0.2">
      <c r="A1710" s="3">
        <v>44757</v>
      </c>
      <c r="B1710" s="1">
        <f ca="1">IFERROR(__xludf.DUMMYFUNCTION("""COMPUTED_VALUE"""),240)</f>
        <v>240</v>
      </c>
      <c r="C1710" s="1">
        <f ca="1">IFERROR(__xludf.DUMMYFUNCTION("""COMPUTED_VALUE"""),243.62)</f>
        <v>243.62</v>
      </c>
      <c r="D1710" s="1">
        <f ca="1">IFERROR(__xludf.DUMMYFUNCTION("""COMPUTED_VALUE"""),236.89)</f>
        <v>236.89</v>
      </c>
      <c r="E1710" s="1">
        <f ca="1">IFERROR(__xludf.DUMMYFUNCTION("""COMPUTED_VALUE"""),240.07)</f>
        <v>240.07</v>
      </c>
      <c r="F1710" s="1">
        <f ca="1">IFERROR(__xludf.DUMMYFUNCTION("""COMPUTED_VALUE"""),23227673)</f>
        <v>23227673</v>
      </c>
      <c r="G1710" s="5">
        <f t="shared" ca="1" si="78"/>
        <v>1.9994168367560221E-3</v>
      </c>
      <c r="H1710" s="14">
        <f t="shared" si="79"/>
        <v>2022</v>
      </c>
      <c r="I1710" s="5">
        <f t="shared" ca="1" si="80"/>
        <v>2.9166666666663823E-4</v>
      </c>
      <c r="J1710" s="16"/>
    </row>
    <row r="1711" spans="1:10" x14ac:dyDescent="0.2">
      <c r="A1711" s="3">
        <v>44760</v>
      </c>
      <c r="B1711" s="1">
        <f ca="1">IFERROR(__xludf.DUMMYFUNCTION("""COMPUTED_VALUE"""),244.94)</f>
        <v>244.94</v>
      </c>
      <c r="C1711" s="1">
        <f ca="1">IFERROR(__xludf.DUMMYFUNCTION("""COMPUTED_VALUE"""),250.52)</f>
        <v>250.52</v>
      </c>
      <c r="D1711" s="1">
        <f ca="1">IFERROR(__xludf.DUMMYFUNCTION("""COMPUTED_VALUE"""),239.6)</f>
        <v>239.6</v>
      </c>
      <c r="E1711" s="1">
        <f ca="1">IFERROR(__xludf.DUMMYFUNCTION("""COMPUTED_VALUE"""),240.55)</f>
        <v>240.55</v>
      </c>
      <c r="F1711" s="1">
        <f ca="1">IFERROR(__xludf.DUMMYFUNCTION("""COMPUTED_VALUE"""),27512476)</f>
        <v>27512476</v>
      </c>
      <c r="G1711" s="5">
        <f t="shared" ca="1" si="78"/>
        <v>2.0702556641030927E-2</v>
      </c>
      <c r="H1711" s="14">
        <f t="shared" si="79"/>
        <v>2022</v>
      </c>
      <c r="I1711" s="5">
        <f t="shared" ca="1" si="80"/>
        <v>-1.7922756593451401E-2</v>
      </c>
      <c r="J1711" s="16"/>
    </row>
    <row r="1712" spans="1:10" x14ac:dyDescent="0.2">
      <c r="A1712" s="3">
        <v>44761</v>
      </c>
      <c r="B1712" s="1">
        <f ca="1">IFERROR(__xludf.DUMMYFUNCTION("""COMPUTED_VALUE"""),245)</f>
        <v>245</v>
      </c>
      <c r="C1712" s="1">
        <f ca="1">IFERROR(__xludf.DUMMYFUNCTION("""COMPUTED_VALUE"""),247.14)</f>
        <v>247.14</v>
      </c>
      <c r="D1712" s="1">
        <f ca="1">IFERROR(__xludf.DUMMYFUNCTION("""COMPUTED_VALUE"""),236.98)</f>
        <v>236.98</v>
      </c>
      <c r="E1712" s="1">
        <f ca="1">IFERROR(__xludf.DUMMYFUNCTION("""COMPUTED_VALUE"""),245.53)</f>
        <v>245.53</v>
      </c>
      <c r="F1712" s="1">
        <f ca="1">IFERROR(__xludf.DUMMYFUNCTION("""COMPUTED_VALUE"""),26963370)</f>
        <v>26963370</v>
      </c>
      <c r="G1712" s="5">
        <f t="shared" ca="1" si="78"/>
        <v>8.0234594550564042E-3</v>
      </c>
      <c r="H1712" s="14">
        <f t="shared" si="79"/>
        <v>2022</v>
      </c>
      <c r="I1712" s="5">
        <f t="shared" ca="1" si="80"/>
        <v>2.1632653061224535E-3</v>
      </c>
      <c r="J1712" s="16"/>
    </row>
    <row r="1713" spans="1:10" x14ac:dyDescent="0.2">
      <c r="A1713" s="3">
        <v>44762</v>
      </c>
      <c r="B1713" s="1">
        <f ca="1">IFERROR(__xludf.DUMMYFUNCTION("""COMPUTED_VALUE"""),246.78)</f>
        <v>246.78</v>
      </c>
      <c r="C1713" s="1">
        <f ca="1">IFERROR(__xludf.DUMMYFUNCTION("""COMPUTED_VALUE"""),250.66)</f>
        <v>250.66</v>
      </c>
      <c r="D1713" s="1">
        <f ca="1">IFERROR(__xludf.DUMMYFUNCTION("""COMPUTED_VALUE"""),243.48)</f>
        <v>243.48</v>
      </c>
      <c r="E1713" s="1">
        <f ca="1">IFERROR(__xludf.DUMMYFUNCTION("""COMPUTED_VALUE"""),247.5)</f>
        <v>247.5</v>
      </c>
      <c r="F1713" s="1">
        <f ca="1">IFERROR(__xludf.DUMMYFUNCTION("""COMPUTED_VALUE"""),29621363)</f>
        <v>29621363</v>
      </c>
      <c r="G1713" s="5">
        <f t="shared" ca="1" si="78"/>
        <v>9.7818181818181735E-2</v>
      </c>
      <c r="H1713" s="14">
        <f t="shared" si="79"/>
        <v>2022</v>
      </c>
      <c r="I1713" s="5">
        <f t="shared" ca="1" si="80"/>
        <v>2.9175784099197619E-3</v>
      </c>
      <c r="J1713" s="16"/>
    </row>
    <row r="1714" spans="1:10" x14ac:dyDescent="0.2">
      <c r="A1714" s="3">
        <v>44763</v>
      </c>
      <c r="B1714" s="1">
        <f ca="1">IFERROR(__xludf.DUMMYFUNCTION("""COMPUTED_VALUE"""),255.11)</f>
        <v>255.11</v>
      </c>
      <c r="C1714" s="1">
        <f ca="1">IFERROR(__xludf.DUMMYFUNCTION("""COMPUTED_VALUE"""),273.27)</f>
        <v>273.27</v>
      </c>
      <c r="D1714" s="1">
        <f ca="1">IFERROR(__xludf.DUMMYFUNCTION("""COMPUTED_VALUE"""),254.87)</f>
        <v>254.87</v>
      </c>
      <c r="E1714" s="1">
        <f ca="1">IFERROR(__xludf.DUMMYFUNCTION("""COMPUTED_VALUE"""),271.71)</f>
        <v>271.70999999999998</v>
      </c>
      <c r="F1714" s="1">
        <f ca="1">IFERROR(__xludf.DUMMYFUNCTION("""COMPUTED_VALUE"""),47344059)</f>
        <v>47344059</v>
      </c>
      <c r="G1714" s="5">
        <f t="shared" ca="1" si="78"/>
        <v>1.9506091052961967E-3</v>
      </c>
      <c r="H1714" s="14">
        <f t="shared" si="79"/>
        <v>2022</v>
      </c>
      <c r="I1714" s="5">
        <f t="shared" ca="1" si="80"/>
        <v>6.5069969816941575E-2</v>
      </c>
      <c r="J1714" s="16"/>
    </row>
    <row r="1715" spans="1:10" x14ac:dyDescent="0.2">
      <c r="A1715" s="3">
        <v>44764</v>
      </c>
      <c r="B1715" s="1">
        <f ca="1">IFERROR(__xludf.DUMMYFUNCTION("""COMPUTED_VALUE"""),276.22)</f>
        <v>276.22000000000003</v>
      </c>
      <c r="C1715" s="1">
        <f ca="1">IFERROR(__xludf.DUMMYFUNCTION("""COMPUTED_VALUE"""),280.79)</f>
        <v>280.79000000000002</v>
      </c>
      <c r="D1715" s="1">
        <f ca="1">IFERROR(__xludf.DUMMYFUNCTION("""COMPUTED_VALUE"""),270.71)</f>
        <v>270.70999999999998</v>
      </c>
      <c r="E1715" s="1">
        <f ca="1">IFERROR(__xludf.DUMMYFUNCTION("""COMPUTED_VALUE"""),272.24)</f>
        <v>272.24</v>
      </c>
      <c r="F1715" s="1">
        <f ca="1">IFERROR(__xludf.DUMMYFUNCTION("""COMPUTED_VALUE"""),34490949)</f>
        <v>34490949</v>
      </c>
      <c r="G1715" s="5">
        <f t="shared" ca="1" si="78"/>
        <v>-1.3995004407875412E-2</v>
      </c>
      <c r="H1715" s="14">
        <f t="shared" si="79"/>
        <v>2022</v>
      </c>
      <c r="I1715" s="5">
        <f t="shared" ca="1" si="80"/>
        <v>-1.4408804576062624E-2</v>
      </c>
      <c r="J1715" s="16"/>
    </row>
    <row r="1716" spans="1:10" x14ac:dyDescent="0.2">
      <c r="A1716" s="3">
        <v>44767</v>
      </c>
      <c r="B1716" s="1">
        <f ca="1">IFERROR(__xludf.DUMMYFUNCTION("""COMPUTED_VALUE"""),272.22)</f>
        <v>272.22000000000003</v>
      </c>
      <c r="C1716" s="1">
        <f ca="1">IFERROR(__xludf.DUMMYFUNCTION("""COMPUTED_VALUE"""),274.15)</f>
        <v>274.14999999999998</v>
      </c>
      <c r="D1716" s="1">
        <f ca="1">IFERROR(__xludf.DUMMYFUNCTION("""COMPUTED_VALUE"""),267.4)</f>
        <v>267.39999999999998</v>
      </c>
      <c r="E1716" s="1">
        <f ca="1">IFERROR(__xludf.DUMMYFUNCTION("""COMPUTED_VALUE"""),268.43)</f>
        <v>268.43</v>
      </c>
      <c r="F1716" s="1">
        <f ca="1">IFERROR(__xludf.DUMMYFUNCTION("""COMPUTED_VALUE"""),21357835)</f>
        <v>21357835</v>
      </c>
      <c r="G1716" s="5">
        <f t="shared" ca="1" si="78"/>
        <v>-3.5651752784711069E-2</v>
      </c>
      <c r="H1716" s="14">
        <f t="shared" si="79"/>
        <v>2022</v>
      </c>
      <c r="I1716" s="5">
        <f t="shared" ca="1" si="80"/>
        <v>-1.3922562633164427E-2</v>
      </c>
      <c r="J1716" s="16"/>
    </row>
    <row r="1717" spans="1:10" x14ac:dyDescent="0.2">
      <c r="A1717" s="3">
        <v>44768</v>
      </c>
      <c r="B1717" s="1">
        <f ca="1">IFERROR(__xludf.DUMMYFUNCTION("""COMPUTED_VALUE"""),266.51)</f>
        <v>266.51</v>
      </c>
      <c r="C1717" s="1">
        <f ca="1">IFERROR(__xludf.DUMMYFUNCTION("""COMPUTED_VALUE"""),267.31)</f>
        <v>267.31</v>
      </c>
      <c r="D1717" s="1">
        <f ca="1">IFERROR(__xludf.DUMMYFUNCTION("""COMPUTED_VALUE"""),256.26)</f>
        <v>256.26</v>
      </c>
      <c r="E1717" s="1">
        <f ca="1">IFERROR(__xludf.DUMMYFUNCTION("""COMPUTED_VALUE"""),258.86)</f>
        <v>258.86</v>
      </c>
      <c r="F1717" s="1">
        <f ca="1">IFERROR(__xludf.DUMMYFUNCTION("""COMPUTED_VALUE"""),22273586)</f>
        <v>22273586</v>
      </c>
      <c r="G1717" s="5">
        <f t="shared" ca="1" si="78"/>
        <v>6.1654948620876067E-2</v>
      </c>
      <c r="H1717" s="14">
        <f t="shared" si="79"/>
        <v>2022</v>
      </c>
      <c r="I1717" s="5">
        <f t="shared" ca="1" si="80"/>
        <v>-2.8704363813740488E-2</v>
      </c>
      <c r="J1717" s="16"/>
    </row>
    <row r="1718" spans="1:10" x14ac:dyDescent="0.2">
      <c r="A1718" s="3">
        <v>44769</v>
      </c>
      <c r="B1718" s="1">
        <f ca="1">IFERROR(__xludf.DUMMYFUNCTION("""COMPUTED_VALUE"""),263.81)</f>
        <v>263.81</v>
      </c>
      <c r="C1718" s="1">
        <f ca="1">IFERROR(__xludf.DUMMYFUNCTION("""COMPUTED_VALUE"""),275.93)</f>
        <v>275.93</v>
      </c>
      <c r="D1718" s="1">
        <f ca="1">IFERROR(__xludf.DUMMYFUNCTION("""COMPUTED_VALUE"""),261.79)</f>
        <v>261.79000000000002</v>
      </c>
      <c r="E1718" s="1">
        <f ca="1">IFERROR(__xludf.DUMMYFUNCTION("""COMPUTED_VALUE"""),274.82)</f>
        <v>274.82</v>
      </c>
      <c r="F1718" s="1">
        <f ca="1">IFERROR(__xludf.DUMMYFUNCTION("""COMPUTED_VALUE"""),29369996)</f>
        <v>29369996</v>
      </c>
      <c r="G1718" s="5">
        <f t="shared" ca="1" si="78"/>
        <v>2.2123571792445906E-2</v>
      </c>
      <c r="H1718" s="14">
        <f t="shared" si="79"/>
        <v>2022</v>
      </c>
      <c r="I1718" s="5">
        <f t="shared" ca="1" si="80"/>
        <v>4.1734581706531181E-2</v>
      </c>
      <c r="J1718" s="16"/>
    </row>
    <row r="1719" spans="1:10" x14ac:dyDescent="0.2">
      <c r="A1719" s="3">
        <v>44770</v>
      </c>
      <c r="B1719" s="1">
        <f ca="1">IFERROR(__xludf.DUMMYFUNCTION("""COMPUTED_VALUE"""),280.07)</f>
        <v>280.07</v>
      </c>
      <c r="C1719" s="1">
        <f ca="1">IFERROR(__xludf.DUMMYFUNCTION("""COMPUTED_VALUE"""),283.3)</f>
        <v>283.3</v>
      </c>
      <c r="D1719" s="1">
        <f ca="1">IFERROR(__xludf.DUMMYFUNCTION("""COMPUTED_VALUE"""),272.8)</f>
        <v>272.8</v>
      </c>
      <c r="E1719" s="1">
        <f ca="1">IFERROR(__xludf.DUMMYFUNCTION("""COMPUTED_VALUE"""),280.9)</f>
        <v>280.89999999999998</v>
      </c>
      <c r="F1719" s="1">
        <f ca="1">IFERROR(__xludf.DUMMYFUNCTION("""COMPUTED_VALUE"""),28240997)</f>
        <v>28240997</v>
      </c>
      <c r="G1719" s="5">
        <f t="shared" ca="1" si="78"/>
        <v>5.7849768600925604E-2</v>
      </c>
      <c r="H1719" s="14">
        <f t="shared" si="79"/>
        <v>2022</v>
      </c>
      <c r="I1719" s="5">
        <f t="shared" ca="1" si="80"/>
        <v>2.963544828078638E-3</v>
      </c>
      <c r="J1719" s="16"/>
    </row>
    <row r="1720" spans="1:10" x14ac:dyDescent="0.2">
      <c r="A1720" s="3">
        <v>44771</v>
      </c>
      <c r="B1720" s="1">
        <f ca="1">IFERROR(__xludf.DUMMYFUNCTION("""COMPUTED_VALUE"""),280.7)</f>
        <v>280.7</v>
      </c>
      <c r="C1720" s="1">
        <f ca="1">IFERROR(__xludf.DUMMYFUNCTION("""COMPUTED_VALUE"""),298.32)</f>
        <v>298.32</v>
      </c>
      <c r="D1720" s="1">
        <f ca="1">IFERROR(__xludf.DUMMYFUNCTION("""COMPUTED_VALUE"""),279.1)</f>
        <v>279.10000000000002</v>
      </c>
      <c r="E1720" s="1">
        <f ca="1">IFERROR(__xludf.DUMMYFUNCTION("""COMPUTED_VALUE"""),297.15)</f>
        <v>297.14999999999998</v>
      </c>
      <c r="F1720" s="1">
        <f ca="1">IFERROR(__xludf.DUMMYFUNCTION("""COMPUTED_VALUE"""),31770961)</f>
        <v>31770961</v>
      </c>
      <c r="G1720" s="5">
        <f t="shared" ca="1" si="78"/>
        <v>4.374894834258639E-4</v>
      </c>
      <c r="H1720" s="14">
        <f t="shared" si="79"/>
        <v>2022</v>
      </c>
      <c r="I1720" s="5">
        <f t="shared" ca="1" si="80"/>
        <v>5.8603491271820414E-2</v>
      </c>
      <c r="J1720" s="16"/>
    </row>
    <row r="1721" spans="1:10" x14ac:dyDescent="0.2">
      <c r="A1721" s="3">
        <v>44774</v>
      </c>
      <c r="B1721" s="1">
        <f ca="1">IFERROR(__xludf.DUMMYFUNCTION("""COMPUTED_VALUE"""),301.27)</f>
        <v>301.27</v>
      </c>
      <c r="C1721" s="1">
        <f ca="1">IFERROR(__xludf.DUMMYFUNCTION("""COMPUTED_VALUE"""),311.88)</f>
        <v>311.88</v>
      </c>
      <c r="D1721" s="1">
        <f ca="1">IFERROR(__xludf.DUMMYFUNCTION("""COMPUTED_VALUE"""),295)</f>
        <v>295</v>
      </c>
      <c r="E1721" s="1">
        <f ca="1">IFERROR(__xludf.DUMMYFUNCTION("""COMPUTED_VALUE"""),297.28)</f>
        <v>297.27999999999997</v>
      </c>
      <c r="F1721" s="1">
        <f ca="1">IFERROR(__xludf.DUMMYFUNCTION("""COMPUTED_VALUE"""),39014296)</f>
        <v>39014296</v>
      </c>
      <c r="G1721" s="5">
        <f t="shared" ca="1" si="78"/>
        <v>1.1134284176533915E-2</v>
      </c>
      <c r="H1721" s="14">
        <f t="shared" si="79"/>
        <v>2022</v>
      </c>
      <c r="I1721" s="5">
        <f t="shared" ca="1" si="80"/>
        <v>-1.3243934012679688E-2</v>
      </c>
      <c r="J1721" s="16"/>
    </row>
    <row r="1722" spans="1:10" x14ac:dyDescent="0.2">
      <c r="A1722" s="3">
        <v>44775</v>
      </c>
      <c r="B1722" s="1">
        <f ca="1">IFERROR(__xludf.DUMMYFUNCTION("""COMPUTED_VALUE"""),294)</f>
        <v>294</v>
      </c>
      <c r="C1722" s="1">
        <f ca="1">IFERROR(__xludf.DUMMYFUNCTION("""COMPUTED_VALUE"""),307.83)</f>
        <v>307.83</v>
      </c>
      <c r="D1722" s="1">
        <f ca="1">IFERROR(__xludf.DUMMYFUNCTION("""COMPUTED_VALUE"""),292.67)</f>
        <v>292.67</v>
      </c>
      <c r="E1722" s="1">
        <f ca="1">IFERROR(__xludf.DUMMYFUNCTION("""COMPUTED_VALUE"""),300.59)</f>
        <v>300.58999999999997</v>
      </c>
      <c r="F1722" s="1">
        <f ca="1">IFERROR(__xludf.DUMMYFUNCTION("""COMPUTED_VALUE"""),31859156)</f>
        <v>31859156</v>
      </c>
      <c r="G1722" s="5">
        <f t="shared" ca="1" si="78"/>
        <v>2.2655444292890656E-2</v>
      </c>
      <c r="H1722" s="14">
        <f t="shared" si="79"/>
        <v>2022</v>
      </c>
      <c r="I1722" s="5">
        <f t="shared" ca="1" si="80"/>
        <v>2.2414965986394472E-2</v>
      </c>
      <c r="J1722" s="16"/>
    </row>
    <row r="1723" spans="1:10" x14ac:dyDescent="0.2">
      <c r="A1723" s="3">
        <v>44776</v>
      </c>
      <c r="B1723" s="1">
        <f ca="1">IFERROR(__xludf.DUMMYFUNCTION("""COMPUTED_VALUE"""),305)</f>
        <v>305</v>
      </c>
      <c r="C1723" s="1">
        <f ca="1">IFERROR(__xludf.DUMMYFUNCTION("""COMPUTED_VALUE"""),309.55)</f>
        <v>309.55</v>
      </c>
      <c r="D1723" s="1">
        <f ca="1">IFERROR(__xludf.DUMMYFUNCTION("""COMPUTED_VALUE"""),301.15)</f>
        <v>301.14999999999998</v>
      </c>
      <c r="E1723" s="1">
        <f ca="1">IFERROR(__xludf.DUMMYFUNCTION("""COMPUTED_VALUE"""),307.4)</f>
        <v>307.39999999999998</v>
      </c>
      <c r="F1723" s="1">
        <f ca="1">IFERROR(__xludf.DUMMYFUNCTION("""COMPUTED_VALUE"""),26697035)</f>
        <v>26697035</v>
      </c>
      <c r="G1723" s="5">
        <f t="shared" ca="1" si="78"/>
        <v>4.0013012361744251E-3</v>
      </c>
      <c r="H1723" s="14">
        <f t="shared" si="79"/>
        <v>2022</v>
      </c>
      <c r="I1723" s="5">
        <f t="shared" ca="1" si="80"/>
        <v>7.8688524590163188E-3</v>
      </c>
      <c r="J1723" s="16"/>
    </row>
    <row r="1724" spans="1:10" x14ac:dyDescent="0.2">
      <c r="A1724" s="3">
        <v>44777</v>
      </c>
      <c r="B1724" s="1">
        <f ca="1">IFERROR(__xludf.DUMMYFUNCTION("""COMPUTED_VALUE"""),311)</f>
        <v>311</v>
      </c>
      <c r="C1724" s="1">
        <f ca="1">IFERROR(__xludf.DUMMYFUNCTION("""COMPUTED_VALUE"""),313.61)</f>
        <v>313.61</v>
      </c>
      <c r="D1724" s="1">
        <f ca="1">IFERROR(__xludf.DUMMYFUNCTION("""COMPUTED_VALUE"""),305)</f>
        <v>305</v>
      </c>
      <c r="E1724" s="1">
        <f ca="1">IFERROR(__xludf.DUMMYFUNCTION("""COMPUTED_VALUE"""),308.63)</f>
        <v>308.63</v>
      </c>
      <c r="F1724" s="1">
        <f ca="1">IFERROR(__xludf.DUMMYFUNCTION("""COMPUTED_VALUE"""),24085439)</f>
        <v>24085439</v>
      </c>
      <c r="G1724" s="5">
        <f t="shared" ca="1" si="78"/>
        <v>-6.6292972167320025E-2</v>
      </c>
      <c r="H1724" s="14">
        <f t="shared" si="79"/>
        <v>2022</v>
      </c>
      <c r="I1724" s="5">
        <f t="shared" ca="1" si="80"/>
        <v>-7.6205787781350627E-3</v>
      </c>
      <c r="J1724" s="16"/>
    </row>
    <row r="1725" spans="1:10" x14ac:dyDescent="0.2">
      <c r="A1725" s="3">
        <v>44778</v>
      </c>
      <c r="B1725" s="1">
        <f ca="1">IFERROR(__xludf.DUMMYFUNCTION("""COMPUTED_VALUE"""),302.67)</f>
        <v>302.67</v>
      </c>
      <c r="C1725" s="1">
        <f ca="1">IFERROR(__xludf.DUMMYFUNCTION("""COMPUTED_VALUE"""),304.61)</f>
        <v>304.61</v>
      </c>
      <c r="D1725" s="1">
        <f ca="1">IFERROR(__xludf.DUMMYFUNCTION("""COMPUTED_VALUE"""),285.54)</f>
        <v>285.54000000000002</v>
      </c>
      <c r="E1725" s="1">
        <f ca="1">IFERROR(__xludf.DUMMYFUNCTION("""COMPUTED_VALUE"""),288.17)</f>
        <v>288.17</v>
      </c>
      <c r="F1725" s="1">
        <f ca="1">IFERROR(__xludf.DUMMYFUNCTION("""COMPUTED_VALUE"""),37724299)</f>
        <v>37724299</v>
      </c>
      <c r="G1725" s="5">
        <f t="shared" ca="1" si="78"/>
        <v>7.8078911753478846E-3</v>
      </c>
      <c r="H1725" s="14">
        <f t="shared" si="79"/>
        <v>2022</v>
      </c>
      <c r="I1725" s="5">
        <f t="shared" ca="1" si="80"/>
        <v>-4.7906961377077339E-2</v>
      </c>
      <c r="J1725" s="16"/>
    </row>
    <row r="1726" spans="1:10" x14ac:dyDescent="0.2">
      <c r="A1726" s="3">
        <v>44781</v>
      </c>
      <c r="B1726" s="1">
        <f ca="1">IFERROR(__xludf.DUMMYFUNCTION("""COMPUTED_VALUE"""),295)</f>
        <v>295</v>
      </c>
      <c r="C1726" s="1">
        <f ca="1">IFERROR(__xludf.DUMMYFUNCTION("""COMPUTED_VALUE"""),305.2)</f>
        <v>305.2</v>
      </c>
      <c r="D1726" s="1">
        <f ca="1">IFERROR(__xludf.DUMMYFUNCTION("""COMPUTED_VALUE"""),289.09)</f>
        <v>289.08999999999997</v>
      </c>
      <c r="E1726" s="1">
        <f ca="1">IFERROR(__xludf.DUMMYFUNCTION("""COMPUTED_VALUE"""),290.42)</f>
        <v>290.42</v>
      </c>
      <c r="F1726" s="1">
        <f ca="1">IFERROR(__xludf.DUMMYFUNCTION("""COMPUTED_VALUE"""),33121758)</f>
        <v>33121758</v>
      </c>
      <c r="G1726" s="5">
        <f t="shared" ca="1" si="78"/>
        <v>-2.441291922043947E-2</v>
      </c>
      <c r="H1726" s="14">
        <f t="shared" si="79"/>
        <v>2022</v>
      </c>
      <c r="I1726" s="5">
        <f t="shared" ca="1" si="80"/>
        <v>-1.5525423728813506E-2</v>
      </c>
      <c r="J1726" s="16"/>
    </row>
    <row r="1727" spans="1:10" x14ac:dyDescent="0.2">
      <c r="A1727" s="3">
        <v>44782</v>
      </c>
      <c r="B1727" s="1">
        <f ca="1">IFERROR(__xludf.DUMMYFUNCTION("""COMPUTED_VALUE"""),290.29)</f>
        <v>290.29000000000002</v>
      </c>
      <c r="C1727" s="1">
        <f ca="1">IFERROR(__xludf.DUMMYFUNCTION("""COMPUTED_VALUE"""),292.4)</f>
        <v>292.39999999999998</v>
      </c>
      <c r="D1727" s="1">
        <f ca="1">IFERROR(__xludf.DUMMYFUNCTION("""COMPUTED_VALUE"""),279.35)</f>
        <v>279.35000000000002</v>
      </c>
      <c r="E1727" s="1">
        <f ca="1">IFERROR(__xludf.DUMMYFUNCTION("""COMPUTED_VALUE"""),283.33)</f>
        <v>283.33</v>
      </c>
      <c r="F1727" s="1">
        <f ca="1">IFERROR(__xludf.DUMMYFUNCTION("""COMPUTED_VALUE"""),28748227)</f>
        <v>28748227</v>
      </c>
      <c r="G1727" s="5">
        <f t="shared" ca="1" si="78"/>
        <v>3.8929869763173794E-2</v>
      </c>
      <c r="H1727" s="14">
        <f t="shared" si="79"/>
        <v>2022</v>
      </c>
      <c r="I1727" s="5">
        <f t="shared" ca="1" si="80"/>
        <v>-2.3976023976024101E-2</v>
      </c>
      <c r="J1727" s="16"/>
    </row>
    <row r="1728" spans="1:10" x14ac:dyDescent="0.2">
      <c r="A1728" s="3">
        <v>44783</v>
      </c>
      <c r="B1728" s="1">
        <f ca="1">IFERROR(__xludf.DUMMYFUNCTION("""COMPUTED_VALUE"""),297.07)</f>
        <v>297.07</v>
      </c>
      <c r="C1728" s="1">
        <f ca="1">IFERROR(__xludf.DUMMYFUNCTION("""COMPUTED_VALUE"""),297.51)</f>
        <v>297.51</v>
      </c>
      <c r="D1728" s="1">
        <f ca="1">IFERROR(__xludf.DUMMYFUNCTION("""COMPUTED_VALUE"""),283.37)</f>
        <v>283.37</v>
      </c>
      <c r="E1728" s="1">
        <f ca="1">IFERROR(__xludf.DUMMYFUNCTION("""COMPUTED_VALUE"""),294.36)</f>
        <v>294.36</v>
      </c>
      <c r="F1728" s="1">
        <f ca="1">IFERROR(__xludf.DUMMYFUNCTION("""COMPUTED_VALUE"""),31639624)</f>
        <v>31639624</v>
      </c>
      <c r="G1728" s="5">
        <f t="shared" ca="1" si="78"/>
        <v>-2.6260361462155244E-2</v>
      </c>
      <c r="H1728" s="14">
        <f t="shared" si="79"/>
        <v>2022</v>
      </c>
      <c r="I1728" s="5">
        <f t="shared" ca="1" si="80"/>
        <v>-9.1224290571245148E-3</v>
      </c>
      <c r="J1728" s="16"/>
    </row>
    <row r="1729" spans="1:10" x14ac:dyDescent="0.2">
      <c r="A1729" s="3">
        <v>44784</v>
      </c>
      <c r="B1729" s="1">
        <f ca="1">IFERROR(__xludf.DUMMYFUNCTION("""COMPUTED_VALUE"""),296.51)</f>
        <v>296.51</v>
      </c>
      <c r="C1729" s="1">
        <f ca="1">IFERROR(__xludf.DUMMYFUNCTION("""COMPUTED_VALUE"""),298.24)</f>
        <v>298.24</v>
      </c>
      <c r="D1729" s="1">
        <f ca="1">IFERROR(__xludf.DUMMYFUNCTION("""COMPUTED_VALUE"""),285.83)</f>
        <v>285.83</v>
      </c>
      <c r="E1729" s="1">
        <f ca="1">IFERROR(__xludf.DUMMYFUNCTION("""COMPUTED_VALUE"""),286.63)</f>
        <v>286.63</v>
      </c>
      <c r="F1729" s="1">
        <f ca="1">IFERROR(__xludf.DUMMYFUNCTION("""COMPUTED_VALUE"""),23385015)</f>
        <v>23385015</v>
      </c>
      <c r="G1729" s="5">
        <f t="shared" ca="1" si="78"/>
        <v>4.6750165718870938E-2</v>
      </c>
      <c r="H1729" s="14">
        <f t="shared" si="79"/>
        <v>2022</v>
      </c>
      <c r="I1729" s="5">
        <f t="shared" ca="1" si="80"/>
        <v>-3.3320967252369216E-2</v>
      </c>
      <c r="J1729" s="16"/>
    </row>
    <row r="1730" spans="1:10" x14ac:dyDescent="0.2">
      <c r="A1730" s="3">
        <v>44785</v>
      </c>
      <c r="B1730" s="1">
        <f ca="1">IFERROR(__xludf.DUMMYFUNCTION("""COMPUTED_VALUE"""),289.42)</f>
        <v>289.42</v>
      </c>
      <c r="C1730" s="1">
        <f ca="1">IFERROR(__xludf.DUMMYFUNCTION("""COMPUTED_VALUE"""),300.16)</f>
        <v>300.16000000000003</v>
      </c>
      <c r="D1730" s="1">
        <f ca="1">IFERROR(__xludf.DUMMYFUNCTION("""COMPUTED_VALUE"""),285.03)</f>
        <v>285.02999999999997</v>
      </c>
      <c r="E1730" s="1">
        <f ca="1">IFERROR(__xludf.DUMMYFUNCTION("""COMPUTED_VALUE"""),300.03)</f>
        <v>300.02999999999997</v>
      </c>
      <c r="F1730" s="1">
        <f ca="1">IFERROR(__xludf.DUMMYFUNCTION("""COMPUTED_VALUE"""),26552429)</f>
        <v>26552429</v>
      </c>
      <c r="G1730" s="5">
        <f t="shared" ca="1" si="78"/>
        <v>3.0963570309635775E-2</v>
      </c>
      <c r="H1730" s="14">
        <f t="shared" si="79"/>
        <v>2022</v>
      </c>
      <c r="I1730" s="5">
        <f t="shared" ca="1" si="80"/>
        <v>3.6659525948448471E-2</v>
      </c>
      <c r="J1730" s="16"/>
    </row>
    <row r="1731" spans="1:10" x14ac:dyDescent="0.2">
      <c r="A1731" s="3">
        <v>44788</v>
      </c>
      <c r="B1731" s="1">
        <f ca="1">IFERROR(__xludf.DUMMYFUNCTION("""COMPUTED_VALUE"""),301.79)</f>
        <v>301.79000000000002</v>
      </c>
      <c r="C1731" s="1">
        <f ca="1">IFERROR(__xludf.DUMMYFUNCTION("""COMPUTED_VALUE"""),313.13)</f>
        <v>313.13</v>
      </c>
      <c r="D1731" s="1">
        <f ca="1">IFERROR(__xludf.DUMMYFUNCTION("""COMPUTED_VALUE"""),301.23)</f>
        <v>301.23</v>
      </c>
      <c r="E1731" s="1">
        <f ca="1">IFERROR(__xludf.DUMMYFUNCTION("""COMPUTED_VALUE"""),309.32)</f>
        <v>309.32</v>
      </c>
      <c r="F1731" s="1">
        <f ca="1">IFERROR(__xludf.DUMMYFUNCTION("""COMPUTED_VALUE"""),29786389)</f>
        <v>29786389</v>
      </c>
      <c r="G1731" s="5">
        <f t="shared" ref="G1731:G1794" ca="1" si="81">(E1732-E1731)/E1731</f>
        <v>-8.9227983964825786E-3</v>
      </c>
      <c r="H1731" s="14">
        <f t="shared" ref="H1731:H1794" si="82">YEAR(A1731)</f>
        <v>2022</v>
      </c>
      <c r="I1731" s="5">
        <f t="shared" ref="I1731:I1794" ca="1" si="83">((E1731 - B1731) / B1731)</f>
        <v>2.4951124954438426E-2</v>
      </c>
      <c r="J1731" s="16"/>
    </row>
    <row r="1732" spans="1:10" x14ac:dyDescent="0.2">
      <c r="A1732" s="3">
        <v>44789</v>
      </c>
      <c r="B1732" s="1">
        <f ca="1">IFERROR(__xludf.DUMMYFUNCTION("""COMPUTED_VALUE"""),311.67)</f>
        <v>311.67</v>
      </c>
      <c r="C1732" s="1">
        <f ca="1">IFERROR(__xludf.DUMMYFUNCTION("""COMPUTED_VALUE"""),314.67)</f>
        <v>314.67</v>
      </c>
      <c r="D1732" s="1">
        <f ca="1">IFERROR(__xludf.DUMMYFUNCTION("""COMPUTED_VALUE"""),302.88)</f>
        <v>302.88</v>
      </c>
      <c r="E1732" s="1">
        <f ca="1">IFERROR(__xludf.DUMMYFUNCTION("""COMPUTED_VALUE"""),306.56)</f>
        <v>306.56</v>
      </c>
      <c r="F1732" s="1">
        <f ca="1">IFERROR(__xludf.DUMMYFUNCTION("""COMPUTED_VALUE"""),29378774)</f>
        <v>29378774</v>
      </c>
      <c r="G1732" s="5">
        <f t="shared" ca="1" si="81"/>
        <v>-8.3507306889352897E-3</v>
      </c>
      <c r="H1732" s="14">
        <f t="shared" si="82"/>
        <v>2022</v>
      </c>
      <c r="I1732" s="5">
        <f t="shared" ca="1" si="83"/>
        <v>-1.6395546571694463E-2</v>
      </c>
      <c r="J1732" s="16"/>
    </row>
    <row r="1733" spans="1:10" x14ac:dyDescent="0.2">
      <c r="A1733" s="3">
        <v>44790</v>
      </c>
      <c r="B1733" s="1">
        <f ca="1">IFERROR(__xludf.DUMMYFUNCTION("""COMPUTED_VALUE"""),303.4)</f>
        <v>303.39999999999998</v>
      </c>
      <c r="C1733" s="1">
        <f ca="1">IFERROR(__xludf.DUMMYFUNCTION("""COMPUTED_VALUE"""),309.66)</f>
        <v>309.66000000000003</v>
      </c>
      <c r="D1733" s="1">
        <f ca="1">IFERROR(__xludf.DUMMYFUNCTION("""COMPUTED_VALUE"""),300.03)</f>
        <v>300.02999999999997</v>
      </c>
      <c r="E1733" s="1">
        <f ca="1">IFERROR(__xludf.DUMMYFUNCTION("""COMPUTED_VALUE"""),304)</f>
        <v>304</v>
      </c>
      <c r="F1733" s="1">
        <f ca="1">IFERROR(__xludf.DUMMYFUNCTION("""COMPUTED_VALUE"""),22921990)</f>
        <v>22921990</v>
      </c>
      <c r="G1733" s="5">
        <f t="shared" ca="1" si="81"/>
        <v>-3.7171052631578797E-3</v>
      </c>
      <c r="H1733" s="14">
        <f t="shared" si="82"/>
        <v>2022</v>
      </c>
      <c r="I1733" s="5">
        <f t="shared" ca="1" si="83"/>
        <v>1.9775873434410771E-3</v>
      </c>
      <c r="J1733" s="16"/>
    </row>
    <row r="1734" spans="1:10" x14ac:dyDescent="0.2">
      <c r="A1734" s="3">
        <v>44791</v>
      </c>
      <c r="B1734" s="1">
        <f ca="1">IFERROR(__xludf.DUMMYFUNCTION("""COMPUTED_VALUE"""),306)</f>
        <v>306</v>
      </c>
      <c r="C1734" s="1">
        <f ca="1">IFERROR(__xludf.DUMMYFUNCTION("""COMPUTED_VALUE"""),306.5)</f>
        <v>306.5</v>
      </c>
      <c r="D1734" s="1">
        <f ca="1">IFERROR(__xludf.DUMMYFUNCTION("""COMPUTED_VALUE"""),301.85)</f>
        <v>301.85000000000002</v>
      </c>
      <c r="E1734" s="1">
        <f ca="1">IFERROR(__xludf.DUMMYFUNCTION("""COMPUTED_VALUE"""),302.87)</f>
        <v>302.87</v>
      </c>
      <c r="F1734" s="1">
        <f ca="1">IFERROR(__xludf.DUMMYFUNCTION("""COMPUTED_VALUE"""),15833512)</f>
        <v>15833512</v>
      </c>
      <c r="G1734" s="5">
        <f t="shared" ca="1" si="81"/>
        <v>-2.0470829068577241E-2</v>
      </c>
      <c r="H1734" s="14">
        <f t="shared" si="82"/>
        <v>2022</v>
      </c>
      <c r="I1734" s="5">
        <f t="shared" ca="1" si="83"/>
        <v>-1.0228758169934626E-2</v>
      </c>
      <c r="J1734" s="16"/>
    </row>
    <row r="1735" spans="1:10" x14ac:dyDescent="0.2">
      <c r="A1735" s="3">
        <v>44792</v>
      </c>
      <c r="B1735" s="1">
        <f ca="1">IFERROR(__xludf.DUMMYFUNCTION("""COMPUTED_VALUE"""),299)</f>
        <v>299</v>
      </c>
      <c r="C1735" s="1">
        <f ca="1">IFERROR(__xludf.DUMMYFUNCTION("""COMPUTED_VALUE"""),300.36)</f>
        <v>300.36</v>
      </c>
      <c r="D1735" s="1">
        <f ca="1">IFERROR(__xludf.DUMMYFUNCTION("""COMPUTED_VALUE"""),292.5)</f>
        <v>292.5</v>
      </c>
      <c r="E1735" s="1">
        <f ca="1">IFERROR(__xludf.DUMMYFUNCTION("""COMPUTED_VALUE"""),296.67)</f>
        <v>296.67</v>
      </c>
      <c r="F1735" s="1">
        <f ca="1">IFERROR(__xludf.DUMMYFUNCTION("""COMPUTED_VALUE"""),20465129)</f>
        <v>20465129</v>
      </c>
      <c r="G1735" s="5">
        <f t="shared" ca="1" si="81"/>
        <v>-2.2786260828529983E-2</v>
      </c>
      <c r="H1735" s="14">
        <f t="shared" si="82"/>
        <v>2022</v>
      </c>
      <c r="I1735" s="5">
        <f t="shared" ca="1" si="83"/>
        <v>-7.7926421404681742E-3</v>
      </c>
      <c r="J1735" s="16"/>
    </row>
    <row r="1736" spans="1:10" x14ac:dyDescent="0.2">
      <c r="A1736" s="3">
        <v>44795</v>
      </c>
      <c r="B1736" s="1">
        <f ca="1">IFERROR(__xludf.DUMMYFUNCTION("""COMPUTED_VALUE"""),291.91)</f>
        <v>291.91000000000003</v>
      </c>
      <c r="C1736" s="1">
        <f ca="1">IFERROR(__xludf.DUMMYFUNCTION("""COMPUTED_VALUE"""),292.4)</f>
        <v>292.39999999999998</v>
      </c>
      <c r="D1736" s="1">
        <f ca="1">IFERROR(__xludf.DUMMYFUNCTION("""COMPUTED_VALUE"""),286.3)</f>
        <v>286.3</v>
      </c>
      <c r="E1736" s="1">
        <f ca="1">IFERROR(__xludf.DUMMYFUNCTION("""COMPUTED_VALUE"""),289.91)</f>
        <v>289.91000000000003</v>
      </c>
      <c r="F1736" s="1">
        <f ca="1">IFERROR(__xludf.DUMMYFUNCTION("""COMPUTED_VALUE"""),18614449)</f>
        <v>18614449</v>
      </c>
      <c r="G1736" s="5">
        <f t="shared" ca="1" si="81"/>
        <v>2.2558725121589331E-2</v>
      </c>
      <c r="H1736" s="14">
        <f t="shared" si="82"/>
        <v>2022</v>
      </c>
      <c r="I1736" s="5">
        <f t="shared" ca="1" si="83"/>
        <v>-6.8514268096331052E-3</v>
      </c>
      <c r="J1736" s="16"/>
    </row>
    <row r="1737" spans="1:10" x14ac:dyDescent="0.2">
      <c r="A1737" s="3">
        <v>44796</v>
      </c>
      <c r="B1737" s="1">
        <f ca="1">IFERROR(__xludf.DUMMYFUNCTION("""COMPUTED_VALUE"""),291.45)</f>
        <v>291.45</v>
      </c>
      <c r="C1737" s="1">
        <f ca="1">IFERROR(__xludf.DUMMYFUNCTION("""COMPUTED_VALUE"""),298.83)</f>
        <v>298.83</v>
      </c>
      <c r="D1737" s="1">
        <f ca="1">IFERROR(__xludf.DUMMYFUNCTION("""COMPUTED_VALUE"""),287.92)</f>
        <v>287.92</v>
      </c>
      <c r="E1737" s="1">
        <f ca="1">IFERROR(__xludf.DUMMYFUNCTION("""COMPUTED_VALUE"""),296.45)</f>
        <v>296.45</v>
      </c>
      <c r="F1737" s="1">
        <f ca="1">IFERROR(__xludf.DUMMYFUNCTION("""COMPUTED_VALUE"""),21328348)</f>
        <v>21328348</v>
      </c>
      <c r="G1737" s="5">
        <f t="shared" ca="1" si="81"/>
        <v>2.192612582223087E-3</v>
      </c>
      <c r="H1737" s="14">
        <f t="shared" si="82"/>
        <v>2022</v>
      </c>
      <c r="I1737" s="5">
        <f t="shared" ca="1" si="83"/>
        <v>1.71556013038257E-2</v>
      </c>
      <c r="J1737" s="16"/>
    </row>
    <row r="1738" spans="1:10" x14ac:dyDescent="0.2">
      <c r="A1738" s="3">
        <v>44797</v>
      </c>
      <c r="B1738" s="1">
        <f ca="1">IFERROR(__xludf.DUMMYFUNCTION("""COMPUTED_VALUE"""),297.56)</f>
        <v>297.56</v>
      </c>
      <c r="C1738" s="1">
        <f ca="1">IFERROR(__xludf.DUMMYFUNCTION("""COMPUTED_VALUE"""),303.65)</f>
        <v>303.64999999999998</v>
      </c>
      <c r="D1738" s="1">
        <f ca="1">IFERROR(__xludf.DUMMYFUNCTION("""COMPUTED_VALUE"""),296.5)</f>
        <v>296.5</v>
      </c>
      <c r="E1738" s="1">
        <f ca="1">IFERROR(__xludf.DUMMYFUNCTION("""COMPUTED_VALUE"""),297.1)</f>
        <v>297.10000000000002</v>
      </c>
      <c r="F1738" s="1">
        <f ca="1">IFERROR(__xludf.DUMMYFUNCTION("""COMPUTED_VALUE"""),19086572)</f>
        <v>19086572</v>
      </c>
      <c r="G1738" s="5">
        <f t="shared" ca="1" si="81"/>
        <v>-3.4668461797375612E-3</v>
      </c>
      <c r="H1738" s="14">
        <f t="shared" si="82"/>
        <v>2022</v>
      </c>
      <c r="I1738" s="5">
        <f t="shared" ca="1" si="83"/>
        <v>-1.5459067078907767E-3</v>
      </c>
      <c r="J1738" s="16"/>
    </row>
    <row r="1739" spans="1:10" x14ac:dyDescent="0.2">
      <c r="A1739" s="3">
        <v>44798</v>
      </c>
      <c r="B1739" s="1">
        <f ca="1">IFERROR(__xludf.DUMMYFUNCTION("""COMPUTED_VALUE"""),302.36)</f>
        <v>302.36</v>
      </c>
      <c r="C1739" s="1">
        <f ca="1">IFERROR(__xludf.DUMMYFUNCTION("""COMPUTED_VALUE"""),302.96)</f>
        <v>302.95999999999998</v>
      </c>
      <c r="D1739" s="1">
        <f ca="1">IFERROR(__xludf.DUMMYFUNCTION("""COMPUTED_VALUE"""),291.6)</f>
        <v>291.60000000000002</v>
      </c>
      <c r="E1739" s="1">
        <f ca="1">IFERROR(__xludf.DUMMYFUNCTION("""COMPUTED_VALUE"""),296.07)</f>
        <v>296.07</v>
      </c>
      <c r="F1739" s="1">
        <f ca="1">IFERROR(__xludf.DUMMYFUNCTION("""COMPUTED_VALUE"""),53230013)</f>
        <v>53230013</v>
      </c>
      <c r="G1739" s="5">
        <f t="shared" ca="1" si="81"/>
        <v>-2.6953085418988814E-2</v>
      </c>
      <c r="H1739" s="14">
        <f t="shared" si="82"/>
        <v>2022</v>
      </c>
      <c r="I1739" s="5">
        <f t="shared" ca="1" si="83"/>
        <v>-2.0803016271993716E-2</v>
      </c>
      <c r="J1739" s="16"/>
    </row>
    <row r="1740" spans="1:10" x14ac:dyDescent="0.2">
      <c r="A1740" s="3">
        <v>44799</v>
      </c>
      <c r="B1740" s="1">
        <f ca="1">IFERROR(__xludf.DUMMYFUNCTION("""COMPUTED_VALUE"""),297.43)</f>
        <v>297.43</v>
      </c>
      <c r="C1740" s="1">
        <f ca="1">IFERROR(__xludf.DUMMYFUNCTION("""COMPUTED_VALUE"""),302)</f>
        <v>302</v>
      </c>
      <c r="D1740" s="1">
        <f ca="1">IFERROR(__xludf.DUMMYFUNCTION("""COMPUTED_VALUE"""),287.47)</f>
        <v>287.47000000000003</v>
      </c>
      <c r="E1740" s="1">
        <f ca="1">IFERROR(__xludf.DUMMYFUNCTION("""COMPUTED_VALUE"""),288.09)</f>
        <v>288.08999999999997</v>
      </c>
      <c r="F1740" s="1">
        <f ca="1">IFERROR(__xludf.DUMMYFUNCTION("""COMPUTED_VALUE"""),57163947)</f>
        <v>57163947</v>
      </c>
      <c r="G1740" s="5">
        <f t="shared" ca="1" si="81"/>
        <v>-1.1350619598042216E-2</v>
      </c>
      <c r="H1740" s="14">
        <f t="shared" si="82"/>
        <v>2022</v>
      </c>
      <c r="I1740" s="5">
        <f t="shared" ca="1" si="83"/>
        <v>-3.1402346770668832E-2</v>
      </c>
      <c r="J1740" s="16"/>
    </row>
    <row r="1741" spans="1:10" x14ac:dyDescent="0.2">
      <c r="A1741" s="3">
        <v>44802</v>
      </c>
      <c r="B1741" s="1">
        <f ca="1">IFERROR(__xludf.DUMMYFUNCTION("""COMPUTED_VALUE"""),282.83)</f>
        <v>282.83</v>
      </c>
      <c r="C1741" s="1">
        <f ca="1">IFERROR(__xludf.DUMMYFUNCTION("""COMPUTED_VALUE"""),287.74)</f>
        <v>287.74</v>
      </c>
      <c r="D1741" s="1">
        <f ca="1">IFERROR(__xludf.DUMMYFUNCTION("""COMPUTED_VALUE"""),280.7)</f>
        <v>280.7</v>
      </c>
      <c r="E1741" s="1">
        <f ca="1">IFERROR(__xludf.DUMMYFUNCTION("""COMPUTED_VALUE"""),284.82)</f>
        <v>284.82</v>
      </c>
      <c r="F1741" s="1">
        <f ca="1">IFERROR(__xludf.DUMMYFUNCTION("""COMPUTED_VALUE"""),41864742)</f>
        <v>41864742</v>
      </c>
      <c r="G1741" s="5">
        <f t="shared" ca="1" si="81"/>
        <v>-2.4998244505301609E-2</v>
      </c>
      <c r="H1741" s="14">
        <f t="shared" si="82"/>
        <v>2022</v>
      </c>
      <c r="I1741" s="5">
        <f t="shared" ca="1" si="83"/>
        <v>7.0360287098257231E-3</v>
      </c>
      <c r="J1741" s="16"/>
    </row>
    <row r="1742" spans="1:10" x14ac:dyDescent="0.2">
      <c r="A1742" s="3">
        <v>44803</v>
      </c>
      <c r="B1742" s="1">
        <f ca="1">IFERROR(__xludf.DUMMYFUNCTION("""COMPUTED_VALUE"""),287.87)</f>
        <v>287.87</v>
      </c>
      <c r="C1742" s="1">
        <f ca="1">IFERROR(__xludf.DUMMYFUNCTION("""COMPUTED_VALUE"""),288.48)</f>
        <v>288.48</v>
      </c>
      <c r="D1742" s="1">
        <f ca="1">IFERROR(__xludf.DUMMYFUNCTION("""COMPUTED_VALUE"""),272.65)</f>
        <v>272.64999999999998</v>
      </c>
      <c r="E1742" s="1">
        <f ca="1">IFERROR(__xludf.DUMMYFUNCTION("""COMPUTED_VALUE"""),277.7)</f>
        <v>277.7</v>
      </c>
      <c r="F1742" s="1">
        <f ca="1">IFERROR(__xludf.DUMMYFUNCTION("""COMPUTED_VALUE"""),50541759)</f>
        <v>50541759</v>
      </c>
      <c r="G1742" s="5">
        <f t="shared" ca="1" si="81"/>
        <v>-7.5261073100467233E-3</v>
      </c>
      <c r="H1742" s="14">
        <f t="shared" si="82"/>
        <v>2022</v>
      </c>
      <c r="I1742" s="5">
        <f t="shared" ca="1" si="83"/>
        <v>-3.532844686837814E-2</v>
      </c>
      <c r="J1742" s="16"/>
    </row>
    <row r="1743" spans="1:10" x14ac:dyDescent="0.2">
      <c r="A1743" s="3">
        <v>44804</v>
      </c>
      <c r="B1743" s="1">
        <f ca="1">IFERROR(__xludf.DUMMYFUNCTION("""COMPUTED_VALUE"""),280.62)</f>
        <v>280.62</v>
      </c>
      <c r="C1743" s="1">
        <f ca="1">IFERROR(__xludf.DUMMYFUNCTION("""COMPUTED_VALUE"""),281.25)</f>
        <v>281.25</v>
      </c>
      <c r="D1743" s="1">
        <f ca="1">IFERROR(__xludf.DUMMYFUNCTION("""COMPUTED_VALUE"""),271.81)</f>
        <v>271.81</v>
      </c>
      <c r="E1743" s="1">
        <f ca="1">IFERROR(__xludf.DUMMYFUNCTION("""COMPUTED_VALUE"""),275.61)</f>
        <v>275.61</v>
      </c>
      <c r="F1743" s="1">
        <f ca="1">IFERROR(__xludf.DUMMYFUNCTION("""COMPUTED_VALUE"""),52107337)</f>
        <v>52107337</v>
      </c>
      <c r="G1743" s="5">
        <f t="shared" ca="1" si="81"/>
        <v>5.6238888284170074E-3</v>
      </c>
      <c r="H1743" s="14">
        <f t="shared" si="82"/>
        <v>2022</v>
      </c>
      <c r="I1743" s="5">
        <f t="shared" ca="1" si="83"/>
        <v>-1.7853324780842388E-2</v>
      </c>
      <c r="J1743" s="16"/>
    </row>
    <row r="1744" spans="1:10" x14ac:dyDescent="0.2">
      <c r="A1744" s="3">
        <v>44805</v>
      </c>
      <c r="B1744" s="1">
        <f ca="1">IFERROR(__xludf.DUMMYFUNCTION("""COMPUTED_VALUE"""),272.58)</f>
        <v>272.58</v>
      </c>
      <c r="C1744" s="1">
        <f ca="1">IFERROR(__xludf.DUMMYFUNCTION("""COMPUTED_VALUE"""),277.58)</f>
        <v>277.58</v>
      </c>
      <c r="D1744" s="1">
        <f ca="1">IFERROR(__xludf.DUMMYFUNCTION("""COMPUTED_VALUE"""),266.15)</f>
        <v>266.14999999999998</v>
      </c>
      <c r="E1744" s="1">
        <f ca="1">IFERROR(__xludf.DUMMYFUNCTION("""COMPUTED_VALUE"""),277.16)</f>
        <v>277.16000000000003</v>
      </c>
      <c r="F1744" s="1">
        <f ca="1">IFERROR(__xludf.DUMMYFUNCTION("""COMPUTED_VALUE"""),54287024)</f>
        <v>54287024</v>
      </c>
      <c r="G1744" s="5">
        <f t="shared" ca="1" si="81"/>
        <v>-2.5075768509164542E-2</v>
      </c>
      <c r="H1744" s="14">
        <f t="shared" si="82"/>
        <v>2022</v>
      </c>
      <c r="I1744" s="5">
        <f t="shared" ca="1" si="83"/>
        <v>1.6802406632915257E-2</v>
      </c>
      <c r="J1744" s="16"/>
    </row>
    <row r="1745" spans="1:10" x14ac:dyDescent="0.2">
      <c r="A1745" s="3">
        <v>44806</v>
      </c>
      <c r="B1745" s="1">
        <f ca="1">IFERROR(__xludf.DUMMYFUNCTION("""COMPUTED_VALUE"""),281.07)</f>
        <v>281.07</v>
      </c>
      <c r="C1745" s="1">
        <f ca="1">IFERROR(__xludf.DUMMYFUNCTION("""COMPUTED_VALUE"""),282.35)</f>
        <v>282.35000000000002</v>
      </c>
      <c r="D1745" s="1">
        <f ca="1">IFERROR(__xludf.DUMMYFUNCTION("""COMPUTED_VALUE"""),269.08)</f>
        <v>269.08</v>
      </c>
      <c r="E1745" s="1">
        <f ca="1">IFERROR(__xludf.DUMMYFUNCTION("""COMPUTED_VALUE"""),270.21)</f>
        <v>270.20999999999998</v>
      </c>
      <c r="F1745" s="1">
        <f ca="1">IFERROR(__xludf.DUMMYFUNCTION("""COMPUTED_VALUE"""),50890090)</f>
        <v>50890090</v>
      </c>
      <c r="G1745" s="5">
        <f t="shared" ca="1" si="81"/>
        <v>1.5580474445801549E-2</v>
      </c>
      <c r="H1745" s="14">
        <f t="shared" si="82"/>
        <v>2022</v>
      </c>
      <c r="I1745" s="5">
        <f t="shared" ca="1" si="83"/>
        <v>-3.8638061692816784E-2</v>
      </c>
      <c r="J1745" s="16"/>
    </row>
    <row r="1746" spans="1:10" x14ac:dyDescent="0.2">
      <c r="A1746" s="3">
        <v>44810</v>
      </c>
      <c r="B1746" s="1">
        <f ca="1">IFERROR(__xludf.DUMMYFUNCTION("""COMPUTED_VALUE"""),272.68)</f>
        <v>272.68</v>
      </c>
      <c r="C1746" s="1">
        <f ca="1">IFERROR(__xludf.DUMMYFUNCTION("""COMPUTED_VALUE"""),275.99)</f>
        <v>275.99</v>
      </c>
      <c r="D1746" s="1">
        <f ca="1">IFERROR(__xludf.DUMMYFUNCTION("""COMPUTED_VALUE"""),265.74)</f>
        <v>265.74</v>
      </c>
      <c r="E1746" s="1">
        <f ca="1">IFERROR(__xludf.DUMMYFUNCTION("""COMPUTED_VALUE"""),274.42)</f>
        <v>274.42</v>
      </c>
      <c r="F1746" s="1">
        <f ca="1">IFERROR(__xludf.DUMMYFUNCTION("""COMPUTED_VALUE"""),55859984)</f>
        <v>55859984</v>
      </c>
      <c r="G1746" s="5">
        <f t="shared" ca="1" si="81"/>
        <v>3.3816777202827678E-2</v>
      </c>
      <c r="H1746" s="14">
        <f t="shared" si="82"/>
        <v>2022</v>
      </c>
      <c r="I1746" s="5">
        <f t="shared" ca="1" si="83"/>
        <v>6.3811060583834865E-3</v>
      </c>
      <c r="J1746" s="16"/>
    </row>
    <row r="1747" spans="1:10" x14ac:dyDescent="0.2">
      <c r="A1747" s="3">
        <v>44811</v>
      </c>
      <c r="B1747" s="1">
        <f ca="1">IFERROR(__xludf.DUMMYFUNCTION("""COMPUTED_VALUE"""),273.1)</f>
        <v>273.10000000000002</v>
      </c>
      <c r="C1747" s="1">
        <f ca="1">IFERROR(__xludf.DUMMYFUNCTION("""COMPUTED_VALUE"""),283.84)</f>
        <v>283.83999999999997</v>
      </c>
      <c r="D1747" s="1">
        <f ca="1">IFERROR(__xludf.DUMMYFUNCTION("""COMPUTED_VALUE"""),272.27)</f>
        <v>272.27</v>
      </c>
      <c r="E1747" s="1">
        <f ca="1">IFERROR(__xludf.DUMMYFUNCTION("""COMPUTED_VALUE"""),283.7)</f>
        <v>283.7</v>
      </c>
      <c r="F1747" s="1">
        <f ca="1">IFERROR(__xludf.DUMMYFUNCTION("""COMPUTED_VALUE"""),50028916)</f>
        <v>50028916</v>
      </c>
      <c r="G1747" s="5">
        <f t="shared" ca="1" si="81"/>
        <v>1.9598167077899197E-2</v>
      </c>
      <c r="H1747" s="14">
        <f t="shared" si="82"/>
        <v>2022</v>
      </c>
      <c r="I1747" s="5">
        <f t="shared" ca="1" si="83"/>
        <v>3.8813621384108259E-2</v>
      </c>
      <c r="J1747" s="16"/>
    </row>
    <row r="1748" spans="1:10" x14ac:dyDescent="0.2">
      <c r="A1748" s="3">
        <v>44812</v>
      </c>
      <c r="B1748" s="1">
        <f ca="1">IFERROR(__xludf.DUMMYFUNCTION("""COMPUTED_VALUE"""),281.3)</f>
        <v>281.3</v>
      </c>
      <c r="C1748" s="1">
        <f ca="1">IFERROR(__xludf.DUMMYFUNCTION("""COMPUTED_VALUE"""),289.5)</f>
        <v>289.5</v>
      </c>
      <c r="D1748" s="1">
        <f ca="1">IFERROR(__xludf.DUMMYFUNCTION("""COMPUTED_VALUE"""),279.76)</f>
        <v>279.76</v>
      </c>
      <c r="E1748" s="1">
        <f ca="1">IFERROR(__xludf.DUMMYFUNCTION("""COMPUTED_VALUE"""),289.26)</f>
        <v>289.26</v>
      </c>
      <c r="F1748" s="1">
        <f ca="1">IFERROR(__xludf.DUMMYFUNCTION("""COMPUTED_VALUE"""),53713124)</f>
        <v>53713124</v>
      </c>
      <c r="G1748" s="5">
        <f t="shared" ca="1" si="81"/>
        <v>3.6022955126875533E-2</v>
      </c>
      <c r="H1748" s="14">
        <f t="shared" si="82"/>
        <v>2022</v>
      </c>
      <c r="I1748" s="5">
        <f t="shared" ca="1" si="83"/>
        <v>2.8297191610380305E-2</v>
      </c>
      <c r="J1748" s="16"/>
    </row>
    <row r="1749" spans="1:10" x14ac:dyDescent="0.2">
      <c r="A1749" s="3">
        <v>44813</v>
      </c>
      <c r="B1749" s="1">
        <f ca="1">IFERROR(__xludf.DUMMYFUNCTION("""COMPUTED_VALUE"""),291.67)</f>
        <v>291.67</v>
      </c>
      <c r="C1749" s="1">
        <f ca="1">IFERROR(__xludf.DUMMYFUNCTION("""COMPUTED_VALUE"""),299.85)</f>
        <v>299.85000000000002</v>
      </c>
      <c r="D1749" s="1">
        <f ca="1">IFERROR(__xludf.DUMMYFUNCTION("""COMPUTED_VALUE"""),291.25)</f>
        <v>291.25</v>
      </c>
      <c r="E1749" s="1">
        <f ca="1">IFERROR(__xludf.DUMMYFUNCTION("""COMPUTED_VALUE"""),299.68)</f>
        <v>299.68</v>
      </c>
      <c r="F1749" s="1">
        <f ca="1">IFERROR(__xludf.DUMMYFUNCTION("""COMPUTED_VALUE"""),54470854)</f>
        <v>54470854</v>
      </c>
      <c r="G1749" s="5">
        <f t="shared" ca="1" si="81"/>
        <v>1.5816871329418076E-2</v>
      </c>
      <c r="H1749" s="14">
        <f t="shared" si="82"/>
        <v>2022</v>
      </c>
      <c r="I1749" s="5">
        <f t="shared" ca="1" si="83"/>
        <v>2.7462543285219566E-2</v>
      </c>
      <c r="J1749" s="16"/>
    </row>
    <row r="1750" spans="1:10" x14ac:dyDescent="0.2">
      <c r="A1750" s="3">
        <v>44816</v>
      </c>
      <c r="B1750" s="1">
        <f ca="1">IFERROR(__xludf.DUMMYFUNCTION("""COMPUTED_VALUE"""),300.72)</f>
        <v>300.72000000000003</v>
      </c>
      <c r="C1750" s="1">
        <f ca="1">IFERROR(__xludf.DUMMYFUNCTION("""COMPUTED_VALUE"""),305.49)</f>
        <v>305.49</v>
      </c>
      <c r="D1750" s="1">
        <f ca="1">IFERROR(__xludf.DUMMYFUNCTION("""COMPUTED_VALUE"""),300.4)</f>
        <v>300.39999999999998</v>
      </c>
      <c r="E1750" s="1">
        <f ca="1">IFERROR(__xludf.DUMMYFUNCTION("""COMPUTED_VALUE"""),304.42)</f>
        <v>304.42</v>
      </c>
      <c r="F1750" s="1">
        <f ca="1">IFERROR(__xludf.DUMMYFUNCTION("""COMPUTED_VALUE"""),48674604)</f>
        <v>48674604</v>
      </c>
      <c r="G1750" s="5">
        <f t="shared" ca="1" si="81"/>
        <v>-4.0371854674462977E-2</v>
      </c>
      <c r="H1750" s="14">
        <f t="shared" si="82"/>
        <v>2022</v>
      </c>
      <c r="I1750" s="5">
        <f t="shared" ca="1" si="83"/>
        <v>1.2303804203245505E-2</v>
      </c>
      <c r="J1750" s="16"/>
    </row>
    <row r="1751" spans="1:10" x14ac:dyDescent="0.2">
      <c r="A1751" s="3">
        <v>44817</v>
      </c>
      <c r="B1751" s="1">
        <f ca="1">IFERROR(__xludf.DUMMYFUNCTION("""COMPUTED_VALUE"""),292.9)</f>
        <v>292.89999999999998</v>
      </c>
      <c r="C1751" s="1">
        <f ca="1">IFERROR(__xludf.DUMMYFUNCTION("""COMPUTED_VALUE"""),297.4)</f>
        <v>297.39999999999998</v>
      </c>
      <c r="D1751" s="1">
        <f ca="1">IFERROR(__xludf.DUMMYFUNCTION("""COMPUTED_VALUE"""),290.4)</f>
        <v>290.39999999999998</v>
      </c>
      <c r="E1751" s="1">
        <f ca="1">IFERROR(__xludf.DUMMYFUNCTION("""COMPUTED_VALUE"""),292.13)</f>
        <v>292.13</v>
      </c>
      <c r="F1751" s="1">
        <f ca="1">IFERROR(__xludf.DUMMYFUNCTION("""COMPUTED_VALUE"""),68229619)</f>
        <v>68229619</v>
      </c>
      <c r="G1751" s="5">
        <f t="shared" ca="1" si="81"/>
        <v>3.587443946188347E-2</v>
      </c>
      <c r="H1751" s="14">
        <f t="shared" si="82"/>
        <v>2022</v>
      </c>
      <c r="I1751" s="5">
        <f t="shared" ca="1" si="83"/>
        <v>-2.6288835780129117E-3</v>
      </c>
      <c r="J1751" s="16"/>
    </row>
    <row r="1752" spans="1:10" x14ac:dyDescent="0.2">
      <c r="A1752" s="3">
        <v>44818</v>
      </c>
      <c r="B1752" s="1">
        <f ca="1">IFERROR(__xludf.DUMMYFUNCTION("""COMPUTED_VALUE"""),292.24)</f>
        <v>292.24</v>
      </c>
      <c r="C1752" s="1">
        <f ca="1">IFERROR(__xludf.DUMMYFUNCTION("""COMPUTED_VALUE"""),306)</f>
        <v>306</v>
      </c>
      <c r="D1752" s="1">
        <f ca="1">IFERROR(__xludf.DUMMYFUNCTION("""COMPUTED_VALUE"""),291.64)</f>
        <v>291.64</v>
      </c>
      <c r="E1752" s="1">
        <f ca="1">IFERROR(__xludf.DUMMYFUNCTION("""COMPUTED_VALUE"""),302.61)</f>
        <v>302.61</v>
      </c>
      <c r="F1752" s="1">
        <f ca="1">IFERROR(__xludf.DUMMYFUNCTION("""COMPUTED_VALUE"""),72628653)</f>
        <v>72628653</v>
      </c>
      <c r="G1752" s="5">
        <f t="shared" ca="1" si="81"/>
        <v>3.7672251412708977E-3</v>
      </c>
      <c r="H1752" s="14">
        <f t="shared" si="82"/>
        <v>2022</v>
      </c>
      <c r="I1752" s="5">
        <f t="shared" ca="1" si="83"/>
        <v>3.5484533260333989E-2</v>
      </c>
      <c r="J1752" s="16"/>
    </row>
    <row r="1753" spans="1:10" x14ac:dyDescent="0.2">
      <c r="A1753" s="3">
        <v>44819</v>
      </c>
      <c r="B1753" s="1">
        <f ca="1">IFERROR(__xludf.DUMMYFUNCTION("""COMPUTED_VALUE"""),301.83)</f>
        <v>301.83</v>
      </c>
      <c r="C1753" s="1">
        <f ca="1">IFERROR(__xludf.DUMMYFUNCTION("""COMPUTED_VALUE"""),309.12)</f>
        <v>309.12</v>
      </c>
      <c r="D1753" s="1">
        <f ca="1">IFERROR(__xludf.DUMMYFUNCTION("""COMPUTED_VALUE"""),300.72)</f>
        <v>300.72000000000003</v>
      </c>
      <c r="E1753" s="1">
        <f ca="1">IFERROR(__xludf.DUMMYFUNCTION("""COMPUTED_VALUE"""),303.75)</f>
        <v>303.75</v>
      </c>
      <c r="F1753" s="1">
        <f ca="1">IFERROR(__xludf.DUMMYFUNCTION("""COMPUTED_VALUE"""),64795523)</f>
        <v>64795523</v>
      </c>
      <c r="G1753" s="5">
        <f t="shared" ca="1" si="81"/>
        <v>-1.3168724279834642E-3</v>
      </c>
      <c r="H1753" s="14">
        <f t="shared" si="82"/>
        <v>2022</v>
      </c>
      <c r="I1753" s="5">
        <f t="shared" ca="1" si="83"/>
        <v>6.3611967001292648E-3</v>
      </c>
      <c r="J1753" s="16"/>
    </row>
    <row r="1754" spans="1:10" x14ac:dyDescent="0.2">
      <c r="A1754" s="3">
        <v>44820</v>
      </c>
      <c r="B1754" s="1">
        <f ca="1">IFERROR(__xludf.DUMMYFUNCTION("""COMPUTED_VALUE"""),299.61)</f>
        <v>299.61</v>
      </c>
      <c r="C1754" s="1">
        <f ca="1">IFERROR(__xludf.DUMMYFUNCTION("""COMPUTED_VALUE"""),303.71)</f>
        <v>303.70999999999998</v>
      </c>
      <c r="D1754" s="1">
        <f ca="1">IFERROR(__xludf.DUMMYFUNCTION("""COMPUTED_VALUE"""),295.6)</f>
        <v>295.60000000000002</v>
      </c>
      <c r="E1754" s="1">
        <f ca="1">IFERROR(__xludf.DUMMYFUNCTION("""COMPUTED_VALUE"""),303.35)</f>
        <v>303.35000000000002</v>
      </c>
      <c r="F1754" s="1">
        <f ca="1">IFERROR(__xludf.DUMMYFUNCTION("""COMPUTED_VALUE"""),87087786)</f>
        <v>87087786</v>
      </c>
      <c r="G1754" s="5">
        <f t="shared" ca="1" si="81"/>
        <v>1.8856106807318182E-2</v>
      </c>
      <c r="H1754" s="14">
        <f t="shared" si="82"/>
        <v>2022</v>
      </c>
      <c r="I1754" s="5">
        <f t="shared" ca="1" si="83"/>
        <v>1.2482894429424948E-2</v>
      </c>
      <c r="J1754" s="16"/>
    </row>
    <row r="1755" spans="1:10" x14ac:dyDescent="0.2">
      <c r="A1755" s="3">
        <v>44823</v>
      </c>
      <c r="B1755" s="1">
        <f ca="1">IFERROR(__xludf.DUMMYFUNCTION("""COMPUTED_VALUE"""),300.09)</f>
        <v>300.08999999999997</v>
      </c>
      <c r="C1755" s="1">
        <f ca="1">IFERROR(__xludf.DUMMYFUNCTION("""COMPUTED_VALUE"""),309.84)</f>
        <v>309.83999999999997</v>
      </c>
      <c r="D1755" s="1">
        <f ca="1">IFERROR(__xludf.DUMMYFUNCTION("""COMPUTED_VALUE"""),297.8)</f>
        <v>297.8</v>
      </c>
      <c r="E1755" s="1">
        <f ca="1">IFERROR(__xludf.DUMMYFUNCTION("""COMPUTED_VALUE"""),309.07)</f>
        <v>309.07</v>
      </c>
      <c r="F1755" s="1">
        <f ca="1">IFERROR(__xludf.DUMMYFUNCTION("""COMPUTED_VALUE"""),60231156)</f>
        <v>60231156</v>
      </c>
      <c r="G1755" s="5">
        <f t="shared" ca="1" si="81"/>
        <v>-1.1000744167987025E-3</v>
      </c>
      <c r="H1755" s="14">
        <f t="shared" si="82"/>
        <v>2022</v>
      </c>
      <c r="I1755" s="5">
        <f t="shared" ca="1" si="83"/>
        <v>2.9924356026525437E-2</v>
      </c>
      <c r="J1755" s="16"/>
    </row>
    <row r="1756" spans="1:10" x14ac:dyDescent="0.2">
      <c r="A1756" s="3">
        <v>44824</v>
      </c>
      <c r="B1756" s="1">
        <f ca="1">IFERROR(__xludf.DUMMYFUNCTION("""COMPUTED_VALUE"""),306.91)</f>
        <v>306.91000000000003</v>
      </c>
      <c r="C1756" s="1">
        <f ca="1">IFERROR(__xludf.DUMMYFUNCTION("""COMPUTED_VALUE"""),313.33)</f>
        <v>313.33</v>
      </c>
      <c r="D1756" s="1">
        <f ca="1">IFERROR(__xludf.DUMMYFUNCTION("""COMPUTED_VALUE"""),305.58)</f>
        <v>305.58</v>
      </c>
      <c r="E1756" s="1">
        <f ca="1">IFERROR(__xludf.DUMMYFUNCTION("""COMPUTED_VALUE"""),308.73)</f>
        <v>308.73</v>
      </c>
      <c r="F1756" s="1">
        <f ca="1">IFERROR(__xludf.DUMMYFUNCTION("""COMPUTED_VALUE"""),61642783)</f>
        <v>61642783</v>
      </c>
      <c r="G1756" s="5">
        <f t="shared" ca="1" si="81"/>
        <v>-2.5685874388624384E-2</v>
      </c>
      <c r="H1756" s="14">
        <f t="shared" si="82"/>
        <v>2022</v>
      </c>
      <c r="I1756" s="5">
        <f t="shared" ca="1" si="83"/>
        <v>5.9300772213352225E-3</v>
      </c>
      <c r="J1756" s="16"/>
    </row>
    <row r="1757" spans="1:10" x14ac:dyDescent="0.2">
      <c r="A1757" s="3">
        <v>44825</v>
      </c>
      <c r="B1757" s="1">
        <f ca="1">IFERROR(__xludf.DUMMYFUNCTION("""COMPUTED_VALUE"""),308.29)</f>
        <v>308.29000000000002</v>
      </c>
      <c r="C1757" s="1">
        <f ca="1">IFERROR(__xludf.DUMMYFUNCTION("""COMPUTED_VALUE"""),313.8)</f>
        <v>313.8</v>
      </c>
      <c r="D1757" s="1">
        <f ca="1">IFERROR(__xludf.DUMMYFUNCTION("""COMPUTED_VALUE"""),300.63)</f>
        <v>300.63</v>
      </c>
      <c r="E1757" s="1">
        <f ca="1">IFERROR(__xludf.DUMMYFUNCTION("""COMPUTED_VALUE"""),300.8)</f>
        <v>300.8</v>
      </c>
      <c r="F1757" s="1">
        <f ca="1">IFERROR(__xludf.DUMMYFUNCTION("""COMPUTED_VALUE"""),62555656)</f>
        <v>62555656</v>
      </c>
      <c r="G1757" s="5">
        <f t="shared" ca="1" si="81"/>
        <v>-4.0591755319149055E-2</v>
      </c>
      <c r="H1757" s="14">
        <f t="shared" si="82"/>
        <v>2022</v>
      </c>
      <c r="I1757" s="5">
        <f t="shared" ca="1" si="83"/>
        <v>-2.4295306367381388E-2</v>
      </c>
      <c r="J1757" s="16"/>
    </row>
    <row r="1758" spans="1:10" x14ac:dyDescent="0.2">
      <c r="A1758" s="3">
        <v>44826</v>
      </c>
      <c r="B1758" s="1">
        <f ca="1">IFERROR(__xludf.DUMMYFUNCTION("""COMPUTED_VALUE"""),299.86)</f>
        <v>299.86</v>
      </c>
      <c r="C1758" s="1">
        <f ca="1">IFERROR(__xludf.DUMMYFUNCTION("""COMPUTED_VALUE"""),301.29)</f>
        <v>301.29000000000002</v>
      </c>
      <c r="D1758" s="1">
        <f ca="1">IFERROR(__xludf.DUMMYFUNCTION("""COMPUTED_VALUE"""),285.82)</f>
        <v>285.82</v>
      </c>
      <c r="E1758" s="1">
        <f ca="1">IFERROR(__xludf.DUMMYFUNCTION("""COMPUTED_VALUE"""),288.59)</f>
        <v>288.58999999999997</v>
      </c>
      <c r="F1758" s="1">
        <f ca="1">IFERROR(__xludf.DUMMYFUNCTION("""COMPUTED_VALUE"""),70545413)</f>
        <v>70545413</v>
      </c>
      <c r="G1758" s="5">
        <f t="shared" ca="1" si="81"/>
        <v>-4.5947538029730735E-2</v>
      </c>
      <c r="H1758" s="14">
        <f t="shared" si="82"/>
        <v>2022</v>
      </c>
      <c r="I1758" s="5">
        <f t="shared" ca="1" si="83"/>
        <v>-3.7584205962782759E-2</v>
      </c>
      <c r="J1758" s="16"/>
    </row>
    <row r="1759" spans="1:10" x14ac:dyDescent="0.2">
      <c r="A1759" s="3">
        <v>44827</v>
      </c>
      <c r="B1759" s="1">
        <f ca="1">IFERROR(__xludf.DUMMYFUNCTION("""COMPUTED_VALUE"""),283.09)</f>
        <v>283.08999999999997</v>
      </c>
      <c r="C1759" s="1">
        <f ca="1">IFERROR(__xludf.DUMMYFUNCTION("""COMPUTED_VALUE"""),284.5)</f>
        <v>284.5</v>
      </c>
      <c r="D1759" s="1">
        <f ca="1">IFERROR(__xludf.DUMMYFUNCTION("""COMPUTED_VALUE"""),272.82)</f>
        <v>272.82</v>
      </c>
      <c r="E1759" s="1">
        <f ca="1">IFERROR(__xludf.DUMMYFUNCTION("""COMPUTED_VALUE"""),275.33)</f>
        <v>275.33</v>
      </c>
      <c r="F1759" s="1">
        <f ca="1">IFERROR(__xludf.DUMMYFUNCTION("""COMPUTED_VALUE"""),63748362)</f>
        <v>63748362</v>
      </c>
      <c r="G1759" s="5">
        <f t="shared" ca="1" si="81"/>
        <v>2.4697635564595462E-3</v>
      </c>
      <c r="H1759" s="14">
        <f t="shared" si="82"/>
        <v>2022</v>
      </c>
      <c r="I1759" s="5">
        <f t="shared" ca="1" si="83"/>
        <v>-2.7411777173337072E-2</v>
      </c>
      <c r="J1759" s="16"/>
    </row>
    <row r="1760" spans="1:10" x14ac:dyDescent="0.2">
      <c r="A1760" s="3">
        <v>44830</v>
      </c>
      <c r="B1760" s="1">
        <f ca="1">IFERROR(__xludf.DUMMYFUNCTION("""COMPUTED_VALUE"""),271.83)</f>
        <v>271.83</v>
      </c>
      <c r="C1760" s="1">
        <f ca="1">IFERROR(__xludf.DUMMYFUNCTION("""COMPUTED_VALUE"""),284.09)</f>
        <v>284.08999999999997</v>
      </c>
      <c r="D1760" s="1">
        <f ca="1">IFERROR(__xludf.DUMMYFUNCTION("""COMPUTED_VALUE"""),270.31)</f>
        <v>270.31</v>
      </c>
      <c r="E1760" s="1">
        <f ca="1">IFERROR(__xludf.DUMMYFUNCTION("""COMPUTED_VALUE"""),276.01)</f>
        <v>276.01</v>
      </c>
      <c r="F1760" s="1">
        <f ca="1">IFERROR(__xludf.DUMMYFUNCTION("""COMPUTED_VALUE"""),58076913)</f>
        <v>58076913</v>
      </c>
      <c r="G1760" s="5">
        <f t="shared" ca="1" si="81"/>
        <v>2.5107785949784453E-2</v>
      </c>
      <c r="H1760" s="14">
        <f t="shared" si="82"/>
        <v>2022</v>
      </c>
      <c r="I1760" s="5">
        <f t="shared" ca="1" si="83"/>
        <v>1.5377257844976665E-2</v>
      </c>
      <c r="J1760" s="16"/>
    </row>
    <row r="1761" spans="1:10" x14ac:dyDescent="0.2">
      <c r="A1761" s="3">
        <v>44831</v>
      </c>
      <c r="B1761" s="1">
        <f ca="1">IFERROR(__xludf.DUMMYFUNCTION("""COMPUTED_VALUE"""),283.84)</f>
        <v>283.83999999999997</v>
      </c>
      <c r="C1761" s="1">
        <f ca="1">IFERROR(__xludf.DUMMYFUNCTION("""COMPUTED_VALUE"""),288.67)</f>
        <v>288.67</v>
      </c>
      <c r="D1761" s="1">
        <f ca="1">IFERROR(__xludf.DUMMYFUNCTION("""COMPUTED_VALUE"""),277.51)</f>
        <v>277.51</v>
      </c>
      <c r="E1761" s="1">
        <f ca="1">IFERROR(__xludf.DUMMYFUNCTION("""COMPUTED_VALUE"""),282.94)</f>
        <v>282.94</v>
      </c>
      <c r="F1761" s="1">
        <f ca="1">IFERROR(__xludf.DUMMYFUNCTION("""COMPUTED_VALUE"""),61925185)</f>
        <v>61925185</v>
      </c>
      <c r="G1761" s="5">
        <f t="shared" ca="1" si="81"/>
        <v>1.7212129780165421E-2</v>
      </c>
      <c r="H1761" s="14">
        <f t="shared" si="82"/>
        <v>2022</v>
      </c>
      <c r="I1761" s="5">
        <f t="shared" ca="1" si="83"/>
        <v>-3.1708004509582066E-3</v>
      </c>
      <c r="J1761" s="16"/>
    </row>
    <row r="1762" spans="1:10" x14ac:dyDescent="0.2">
      <c r="A1762" s="3">
        <v>44832</v>
      </c>
      <c r="B1762" s="1">
        <f ca="1">IFERROR(__xludf.DUMMYFUNCTION("""COMPUTED_VALUE"""),283.08)</f>
        <v>283.08</v>
      </c>
      <c r="C1762" s="1">
        <f ca="1">IFERROR(__xludf.DUMMYFUNCTION("""COMPUTED_VALUE"""),289)</f>
        <v>289</v>
      </c>
      <c r="D1762" s="1">
        <f ca="1">IFERROR(__xludf.DUMMYFUNCTION("""COMPUTED_VALUE"""),277.57)</f>
        <v>277.57</v>
      </c>
      <c r="E1762" s="1">
        <f ca="1">IFERROR(__xludf.DUMMYFUNCTION("""COMPUTED_VALUE"""),287.81)</f>
        <v>287.81</v>
      </c>
      <c r="F1762" s="1">
        <f ca="1">IFERROR(__xludf.DUMMYFUNCTION("""COMPUTED_VALUE"""),54664809)</f>
        <v>54664809</v>
      </c>
      <c r="G1762" s="5">
        <f t="shared" ca="1" si="81"/>
        <v>-6.8100482957506772E-2</v>
      </c>
      <c r="H1762" s="14">
        <f t="shared" si="82"/>
        <v>2022</v>
      </c>
      <c r="I1762" s="5">
        <f t="shared" ca="1" si="83"/>
        <v>1.670905751024452E-2</v>
      </c>
      <c r="J1762" s="16"/>
    </row>
    <row r="1763" spans="1:10" x14ac:dyDescent="0.2">
      <c r="A1763" s="3">
        <v>44833</v>
      </c>
      <c r="B1763" s="1">
        <f ca="1">IFERROR(__xludf.DUMMYFUNCTION("""COMPUTED_VALUE"""),282.76)</f>
        <v>282.76</v>
      </c>
      <c r="C1763" s="1">
        <f ca="1">IFERROR(__xludf.DUMMYFUNCTION("""COMPUTED_VALUE"""),283.65)</f>
        <v>283.64999999999998</v>
      </c>
      <c r="D1763" s="1">
        <f ca="1">IFERROR(__xludf.DUMMYFUNCTION("""COMPUTED_VALUE"""),265.78)</f>
        <v>265.77999999999997</v>
      </c>
      <c r="E1763" s="1">
        <f ca="1">IFERROR(__xludf.DUMMYFUNCTION("""COMPUTED_VALUE"""),268.21)</f>
        <v>268.20999999999998</v>
      </c>
      <c r="F1763" s="1">
        <f ca="1">IFERROR(__xludf.DUMMYFUNCTION("""COMPUTED_VALUE"""),77620642)</f>
        <v>77620642</v>
      </c>
      <c r="G1763" s="5">
        <f t="shared" ca="1" si="81"/>
        <v>-1.1036128406845307E-2</v>
      </c>
      <c r="H1763" s="14">
        <f t="shared" si="82"/>
        <v>2022</v>
      </c>
      <c r="I1763" s="5">
        <f t="shared" ca="1" si="83"/>
        <v>-5.1457066063092416E-2</v>
      </c>
      <c r="J1763" s="16"/>
    </row>
    <row r="1764" spans="1:10" x14ac:dyDescent="0.2">
      <c r="A1764" s="3">
        <v>44834</v>
      </c>
      <c r="B1764" s="1">
        <f ca="1">IFERROR(__xludf.DUMMYFUNCTION("""COMPUTED_VALUE"""),266.15)</f>
        <v>266.14999999999998</v>
      </c>
      <c r="C1764" s="1">
        <f ca="1">IFERROR(__xludf.DUMMYFUNCTION("""COMPUTED_VALUE"""),275.57)</f>
        <v>275.57</v>
      </c>
      <c r="D1764" s="1">
        <f ca="1">IFERROR(__xludf.DUMMYFUNCTION("""COMPUTED_VALUE"""),262.47)</f>
        <v>262.47000000000003</v>
      </c>
      <c r="E1764" s="1">
        <f ca="1">IFERROR(__xludf.DUMMYFUNCTION("""COMPUTED_VALUE"""),265.25)</f>
        <v>265.25</v>
      </c>
      <c r="F1764" s="1">
        <f ca="1">IFERROR(__xludf.DUMMYFUNCTION("""COMPUTED_VALUE"""),67726598)</f>
        <v>67726598</v>
      </c>
      <c r="G1764" s="5">
        <f t="shared" ca="1" si="81"/>
        <v>-8.6145146088595637E-2</v>
      </c>
      <c r="H1764" s="14">
        <f t="shared" si="82"/>
        <v>2022</v>
      </c>
      <c r="I1764" s="5">
        <f t="shared" ca="1" si="83"/>
        <v>-3.3815517565281882E-3</v>
      </c>
      <c r="J1764" s="16"/>
    </row>
    <row r="1765" spans="1:10" x14ac:dyDescent="0.2">
      <c r="A1765" s="3">
        <v>44837</v>
      </c>
      <c r="B1765" s="1">
        <f ca="1">IFERROR(__xludf.DUMMYFUNCTION("""COMPUTED_VALUE"""),254.5)</f>
        <v>254.5</v>
      </c>
      <c r="C1765" s="1">
        <f ca="1">IFERROR(__xludf.DUMMYFUNCTION("""COMPUTED_VALUE"""),255.16)</f>
        <v>255.16</v>
      </c>
      <c r="D1765" s="1">
        <f ca="1">IFERROR(__xludf.DUMMYFUNCTION("""COMPUTED_VALUE"""),241.01)</f>
        <v>241.01</v>
      </c>
      <c r="E1765" s="1">
        <f ca="1">IFERROR(__xludf.DUMMYFUNCTION("""COMPUTED_VALUE"""),242.4)</f>
        <v>242.4</v>
      </c>
      <c r="F1765" s="1">
        <f ca="1">IFERROR(__xludf.DUMMYFUNCTION("""COMPUTED_VALUE"""),98363541)</f>
        <v>98363541</v>
      </c>
      <c r="G1765" s="5">
        <f t="shared" ca="1" si="81"/>
        <v>2.9042904290429009E-2</v>
      </c>
      <c r="H1765" s="14">
        <f t="shared" si="82"/>
        <v>2022</v>
      </c>
      <c r="I1765" s="5">
        <f t="shared" ca="1" si="83"/>
        <v>-4.754420432220037E-2</v>
      </c>
      <c r="J1765" s="16"/>
    </row>
    <row r="1766" spans="1:10" x14ac:dyDescent="0.2">
      <c r="A1766" s="3">
        <v>44838</v>
      </c>
      <c r="B1766" s="1">
        <f ca="1">IFERROR(__xludf.DUMMYFUNCTION("""COMPUTED_VALUE"""),250.52)</f>
        <v>250.52</v>
      </c>
      <c r="C1766" s="1">
        <f ca="1">IFERROR(__xludf.DUMMYFUNCTION("""COMPUTED_VALUE"""),257.5)</f>
        <v>257.5</v>
      </c>
      <c r="D1766" s="1">
        <f ca="1">IFERROR(__xludf.DUMMYFUNCTION("""COMPUTED_VALUE"""),242.01)</f>
        <v>242.01</v>
      </c>
      <c r="E1766" s="1">
        <f ca="1">IFERROR(__xludf.DUMMYFUNCTION("""COMPUTED_VALUE"""),249.44)</f>
        <v>249.44</v>
      </c>
      <c r="F1766" s="1">
        <f ca="1">IFERROR(__xludf.DUMMYFUNCTION("""COMPUTED_VALUE"""),109578535)</f>
        <v>109578535</v>
      </c>
      <c r="G1766" s="5">
        <f t="shared" ca="1" si="81"/>
        <v>-3.4597498396407939E-2</v>
      </c>
      <c r="H1766" s="14">
        <f t="shared" si="82"/>
        <v>2022</v>
      </c>
      <c r="I1766" s="5">
        <f t="shared" ca="1" si="83"/>
        <v>-4.311033051253443E-3</v>
      </c>
      <c r="J1766" s="16"/>
    </row>
    <row r="1767" spans="1:10" x14ac:dyDescent="0.2">
      <c r="A1767" s="3">
        <v>44839</v>
      </c>
      <c r="B1767" s="1">
        <f ca="1">IFERROR(__xludf.DUMMYFUNCTION("""COMPUTED_VALUE"""),245.01)</f>
        <v>245.01</v>
      </c>
      <c r="C1767" s="1">
        <f ca="1">IFERROR(__xludf.DUMMYFUNCTION("""COMPUTED_VALUE"""),246.67)</f>
        <v>246.67</v>
      </c>
      <c r="D1767" s="1">
        <f ca="1">IFERROR(__xludf.DUMMYFUNCTION("""COMPUTED_VALUE"""),233.27)</f>
        <v>233.27</v>
      </c>
      <c r="E1767" s="1">
        <f ca="1">IFERROR(__xludf.DUMMYFUNCTION("""COMPUTED_VALUE"""),240.81)</f>
        <v>240.81</v>
      </c>
      <c r="F1767" s="1">
        <f ca="1">IFERROR(__xludf.DUMMYFUNCTION("""COMPUTED_VALUE"""),86982673)</f>
        <v>86982673</v>
      </c>
      <c r="G1767" s="5">
        <f t="shared" ca="1" si="81"/>
        <v>-1.1129105934138976E-2</v>
      </c>
      <c r="H1767" s="14">
        <f t="shared" si="82"/>
        <v>2022</v>
      </c>
      <c r="I1767" s="5">
        <f t="shared" ca="1" si="83"/>
        <v>-1.7142157462960651E-2</v>
      </c>
      <c r="J1767" s="16"/>
    </row>
    <row r="1768" spans="1:10" x14ac:dyDescent="0.2">
      <c r="A1768" s="3">
        <v>44840</v>
      </c>
      <c r="B1768" s="1">
        <f ca="1">IFERROR(__xludf.DUMMYFUNCTION("""COMPUTED_VALUE"""),239.44)</f>
        <v>239.44</v>
      </c>
      <c r="C1768" s="1">
        <f ca="1">IFERROR(__xludf.DUMMYFUNCTION("""COMPUTED_VALUE"""),244.58)</f>
        <v>244.58</v>
      </c>
      <c r="D1768" s="1">
        <f ca="1">IFERROR(__xludf.DUMMYFUNCTION("""COMPUTED_VALUE"""),235.35)</f>
        <v>235.35</v>
      </c>
      <c r="E1768" s="1">
        <f ca="1">IFERROR(__xludf.DUMMYFUNCTION("""COMPUTED_VALUE"""),238.13)</f>
        <v>238.13</v>
      </c>
      <c r="F1768" s="1">
        <f ca="1">IFERROR(__xludf.DUMMYFUNCTION("""COMPUTED_VALUE"""),69298437)</f>
        <v>69298437</v>
      </c>
      <c r="G1768" s="5">
        <f t="shared" ca="1" si="81"/>
        <v>-6.3242766556082824E-2</v>
      </c>
      <c r="H1768" s="14">
        <f t="shared" si="82"/>
        <v>2022</v>
      </c>
      <c r="I1768" s="5">
        <f t="shared" ca="1" si="83"/>
        <v>-5.4710992315402706E-3</v>
      </c>
      <c r="J1768" s="16"/>
    </row>
    <row r="1769" spans="1:10" x14ac:dyDescent="0.2">
      <c r="A1769" s="3">
        <v>44841</v>
      </c>
      <c r="B1769" s="1">
        <f ca="1">IFERROR(__xludf.DUMMYFUNCTION("""COMPUTED_VALUE"""),233.94)</f>
        <v>233.94</v>
      </c>
      <c r="C1769" s="1">
        <f ca="1">IFERROR(__xludf.DUMMYFUNCTION("""COMPUTED_VALUE"""),234.57)</f>
        <v>234.57</v>
      </c>
      <c r="D1769" s="1">
        <f ca="1">IFERROR(__xludf.DUMMYFUNCTION("""COMPUTED_VALUE"""),222.02)</f>
        <v>222.02</v>
      </c>
      <c r="E1769" s="1">
        <f ca="1">IFERROR(__xludf.DUMMYFUNCTION("""COMPUTED_VALUE"""),223.07)</f>
        <v>223.07</v>
      </c>
      <c r="F1769" s="1">
        <f ca="1">IFERROR(__xludf.DUMMYFUNCTION("""COMPUTED_VALUE"""),83916800)</f>
        <v>83916800</v>
      </c>
      <c r="G1769" s="5">
        <f t="shared" ca="1" si="81"/>
        <v>-4.9311875196120149E-4</v>
      </c>
      <c r="H1769" s="14">
        <f t="shared" si="82"/>
        <v>2022</v>
      </c>
      <c r="I1769" s="5">
        <f t="shared" ca="1" si="83"/>
        <v>-4.646490553133284E-2</v>
      </c>
      <c r="J1769" s="16"/>
    </row>
    <row r="1770" spans="1:10" x14ac:dyDescent="0.2">
      <c r="A1770" s="3">
        <v>44844</v>
      </c>
      <c r="B1770" s="1">
        <f ca="1">IFERROR(__xludf.DUMMYFUNCTION("""COMPUTED_VALUE"""),223.93)</f>
        <v>223.93</v>
      </c>
      <c r="C1770" s="1">
        <f ca="1">IFERROR(__xludf.DUMMYFUNCTION("""COMPUTED_VALUE"""),226.99)</f>
        <v>226.99</v>
      </c>
      <c r="D1770" s="1">
        <f ca="1">IFERROR(__xludf.DUMMYFUNCTION("""COMPUTED_VALUE"""),218.36)</f>
        <v>218.36</v>
      </c>
      <c r="E1770" s="1">
        <f ca="1">IFERROR(__xludf.DUMMYFUNCTION("""COMPUTED_VALUE"""),222.96)</f>
        <v>222.96</v>
      </c>
      <c r="F1770" s="1">
        <f ca="1">IFERROR(__xludf.DUMMYFUNCTION("""COMPUTED_VALUE"""),67925018)</f>
        <v>67925018</v>
      </c>
      <c r="G1770" s="5">
        <f t="shared" ca="1" si="81"/>
        <v>-2.8973806960889879E-2</v>
      </c>
      <c r="H1770" s="14">
        <f t="shared" si="82"/>
        <v>2022</v>
      </c>
      <c r="I1770" s="5">
        <f t="shared" ca="1" si="83"/>
        <v>-4.3317108024829134E-3</v>
      </c>
      <c r="J1770" s="16"/>
    </row>
    <row r="1771" spans="1:10" x14ac:dyDescent="0.2">
      <c r="A1771" s="3">
        <v>44845</v>
      </c>
      <c r="B1771" s="1">
        <f ca="1">IFERROR(__xludf.DUMMYFUNCTION("""COMPUTED_VALUE"""),220.95)</f>
        <v>220.95</v>
      </c>
      <c r="C1771" s="1">
        <f ca="1">IFERROR(__xludf.DUMMYFUNCTION("""COMPUTED_VALUE"""),225.75)</f>
        <v>225.75</v>
      </c>
      <c r="D1771" s="1">
        <f ca="1">IFERROR(__xludf.DUMMYFUNCTION("""COMPUTED_VALUE"""),215)</f>
        <v>215</v>
      </c>
      <c r="E1771" s="1">
        <f ca="1">IFERROR(__xludf.DUMMYFUNCTION("""COMPUTED_VALUE"""),216.5)</f>
        <v>216.5</v>
      </c>
      <c r="F1771" s="1">
        <f ca="1">IFERROR(__xludf.DUMMYFUNCTION("""COMPUTED_VALUE"""),77013202)</f>
        <v>77013202</v>
      </c>
      <c r="G1771" s="5">
        <f t="shared" ca="1" si="81"/>
        <v>3.4180138568129749E-3</v>
      </c>
      <c r="H1771" s="14">
        <f t="shared" si="82"/>
        <v>2022</v>
      </c>
      <c r="I1771" s="5">
        <f t="shared" ca="1" si="83"/>
        <v>-2.01403032360262E-2</v>
      </c>
      <c r="J1771" s="16"/>
    </row>
    <row r="1772" spans="1:10" x14ac:dyDescent="0.2">
      <c r="A1772" s="3">
        <v>44846</v>
      </c>
      <c r="B1772" s="1">
        <f ca="1">IFERROR(__xludf.DUMMYFUNCTION("""COMPUTED_VALUE"""),215.33)</f>
        <v>215.33</v>
      </c>
      <c r="C1772" s="1">
        <f ca="1">IFERROR(__xludf.DUMMYFUNCTION("""COMPUTED_VALUE"""),219.3)</f>
        <v>219.3</v>
      </c>
      <c r="D1772" s="1">
        <f ca="1">IFERROR(__xludf.DUMMYFUNCTION("""COMPUTED_VALUE"""),211.51)</f>
        <v>211.51</v>
      </c>
      <c r="E1772" s="1">
        <f ca="1">IFERROR(__xludf.DUMMYFUNCTION("""COMPUTED_VALUE"""),217.24)</f>
        <v>217.24</v>
      </c>
      <c r="F1772" s="1">
        <f ca="1">IFERROR(__xludf.DUMMYFUNCTION("""COMPUTED_VALUE"""),66860699)</f>
        <v>66860699</v>
      </c>
      <c r="G1772" s="5">
        <f t="shared" ca="1" si="81"/>
        <v>2.0622353157797778E-2</v>
      </c>
      <c r="H1772" s="14">
        <f t="shared" si="82"/>
        <v>2022</v>
      </c>
      <c r="I1772" s="5">
        <f t="shared" ca="1" si="83"/>
        <v>8.8701063483954696E-3</v>
      </c>
      <c r="J1772" s="16"/>
    </row>
    <row r="1773" spans="1:10" x14ac:dyDescent="0.2">
      <c r="A1773" s="3">
        <v>44847</v>
      </c>
      <c r="B1773" s="1">
        <f ca="1">IFERROR(__xludf.DUMMYFUNCTION("""COMPUTED_VALUE"""),208.3)</f>
        <v>208.3</v>
      </c>
      <c r="C1773" s="1">
        <f ca="1">IFERROR(__xludf.DUMMYFUNCTION("""COMPUTED_VALUE"""),222.99)</f>
        <v>222.99</v>
      </c>
      <c r="D1773" s="1">
        <f ca="1">IFERROR(__xludf.DUMMYFUNCTION("""COMPUTED_VALUE"""),206.22)</f>
        <v>206.22</v>
      </c>
      <c r="E1773" s="1">
        <f ca="1">IFERROR(__xludf.DUMMYFUNCTION("""COMPUTED_VALUE"""),221.72)</f>
        <v>221.72</v>
      </c>
      <c r="F1773" s="1">
        <f ca="1">IFERROR(__xludf.DUMMYFUNCTION("""COMPUTED_VALUE"""),91483045)</f>
        <v>91483045</v>
      </c>
      <c r="G1773" s="5">
        <f t="shared" ca="1" si="81"/>
        <v>-7.5455529496662413E-2</v>
      </c>
      <c r="H1773" s="14">
        <f t="shared" si="82"/>
        <v>2022</v>
      </c>
      <c r="I1773" s="5">
        <f t="shared" ca="1" si="83"/>
        <v>6.4426308209313429E-2</v>
      </c>
      <c r="J1773" s="16"/>
    </row>
    <row r="1774" spans="1:10" x14ac:dyDescent="0.2">
      <c r="A1774" s="3">
        <v>44848</v>
      </c>
      <c r="B1774" s="1">
        <f ca="1">IFERROR(__xludf.DUMMYFUNCTION("""COMPUTED_VALUE"""),224.01)</f>
        <v>224.01</v>
      </c>
      <c r="C1774" s="1">
        <f ca="1">IFERROR(__xludf.DUMMYFUNCTION("""COMPUTED_VALUE"""),226.26)</f>
        <v>226.26</v>
      </c>
      <c r="D1774" s="1">
        <f ca="1">IFERROR(__xludf.DUMMYFUNCTION("""COMPUTED_VALUE"""),204.16)</f>
        <v>204.16</v>
      </c>
      <c r="E1774" s="1">
        <f ca="1">IFERROR(__xludf.DUMMYFUNCTION("""COMPUTED_VALUE"""),204.99)</f>
        <v>204.99</v>
      </c>
      <c r="F1774" s="1">
        <f ca="1">IFERROR(__xludf.DUMMYFUNCTION("""COMPUTED_VALUE"""),94124511)</f>
        <v>94124511</v>
      </c>
      <c r="G1774" s="5">
        <f t="shared" ca="1" si="81"/>
        <v>7.0052197668178856E-2</v>
      </c>
      <c r="H1774" s="14">
        <f t="shared" si="82"/>
        <v>2022</v>
      </c>
      <c r="I1774" s="5">
        <f t="shared" ca="1" si="83"/>
        <v>-8.4906923798044653E-2</v>
      </c>
      <c r="J1774" s="16"/>
    </row>
    <row r="1775" spans="1:10" x14ac:dyDescent="0.2">
      <c r="A1775" s="3">
        <v>44851</v>
      </c>
      <c r="B1775" s="1">
        <f ca="1">IFERROR(__xludf.DUMMYFUNCTION("""COMPUTED_VALUE"""),210.04)</f>
        <v>210.04</v>
      </c>
      <c r="C1775" s="1">
        <f ca="1">IFERROR(__xludf.DUMMYFUNCTION("""COMPUTED_VALUE"""),221.86)</f>
        <v>221.86</v>
      </c>
      <c r="D1775" s="1">
        <f ca="1">IFERROR(__xludf.DUMMYFUNCTION("""COMPUTED_VALUE"""),209.45)</f>
        <v>209.45</v>
      </c>
      <c r="E1775" s="1">
        <f ca="1">IFERROR(__xludf.DUMMYFUNCTION("""COMPUTED_VALUE"""),219.35)</f>
        <v>219.35</v>
      </c>
      <c r="F1775" s="1">
        <f ca="1">IFERROR(__xludf.DUMMYFUNCTION("""COMPUTED_VALUE"""),79428810)</f>
        <v>79428810</v>
      </c>
      <c r="G1775" s="5">
        <f t="shared" ca="1" si="81"/>
        <v>3.8294962388876383E-3</v>
      </c>
      <c r="H1775" s="14">
        <f t="shared" si="82"/>
        <v>2022</v>
      </c>
      <c r="I1775" s="5">
        <f t="shared" ca="1" si="83"/>
        <v>4.4324890497048193E-2</v>
      </c>
      <c r="J1775" s="16"/>
    </row>
    <row r="1776" spans="1:10" x14ac:dyDescent="0.2">
      <c r="A1776" s="3">
        <v>44852</v>
      </c>
      <c r="B1776" s="1">
        <f ca="1">IFERROR(__xludf.DUMMYFUNCTION("""COMPUTED_VALUE"""),229.5)</f>
        <v>229.5</v>
      </c>
      <c r="C1776" s="1">
        <f ca="1">IFERROR(__xludf.DUMMYFUNCTION("""COMPUTED_VALUE"""),229.82)</f>
        <v>229.82</v>
      </c>
      <c r="D1776" s="1">
        <f ca="1">IFERROR(__xludf.DUMMYFUNCTION("""COMPUTED_VALUE"""),217.25)</f>
        <v>217.25</v>
      </c>
      <c r="E1776" s="1">
        <f ca="1">IFERROR(__xludf.DUMMYFUNCTION("""COMPUTED_VALUE"""),220.19)</f>
        <v>220.19</v>
      </c>
      <c r="F1776" s="1">
        <f ca="1">IFERROR(__xludf.DUMMYFUNCTION("""COMPUTED_VALUE"""),75891905)</f>
        <v>75891905</v>
      </c>
      <c r="G1776" s="5">
        <f t="shared" ca="1" si="81"/>
        <v>8.4018347790544273E-3</v>
      </c>
      <c r="H1776" s="14">
        <f t="shared" si="82"/>
        <v>2022</v>
      </c>
      <c r="I1776" s="5">
        <f t="shared" ca="1" si="83"/>
        <v>-4.0566448801742927E-2</v>
      </c>
      <c r="J1776" s="16"/>
    </row>
    <row r="1777" spans="1:10" x14ac:dyDescent="0.2">
      <c r="A1777" s="3">
        <v>44853</v>
      </c>
      <c r="B1777" s="1">
        <f ca="1">IFERROR(__xludf.DUMMYFUNCTION("""COMPUTED_VALUE"""),219.8)</f>
        <v>219.8</v>
      </c>
      <c r="C1777" s="1">
        <f ca="1">IFERROR(__xludf.DUMMYFUNCTION("""COMPUTED_VALUE"""),222.93)</f>
        <v>222.93</v>
      </c>
      <c r="D1777" s="1">
        <f ca="1">IFERROR(__xludf.DUMMYFUNCTION("""COMPUTED_VALUE"""),217.78)</f>
        <v>217.78</v>
      </c>
      <c r="E1777" s="1">
        <f ca="1">IFERROR(__xludf.DUMMYFUNCTION("""COMPUTED_VALUE"""),222.04)</f>
        <v>222.04</v>
      </c>
      <c r="F1777" s="1">
        <f ca="1">IFERROR(__xludf.DUMMYFUNCTION("""COMPUTED_VALUE"""),66571479)</f>
        <v>66571479</v>
      </c>
      <c r="G1777" s="5">
        <f t="shared" ca="1" si="81"/>
        <v>-6.6474509097459875E-2</v>
      </c>
      <c r="H1777" s="14">
        <f t="shared" si="82"/>
        <v>2022</v>
      </c>
      <c r="I1777" s="5">
        <f t="shared" ca="1" si="83"/>
        <v>1.0191082802547682E-2</v>
      </c>
      <c r="J1777" s="16"/>
    </row>
    <row r="1778" spans="1:10" x14ac:dyDescent="0.2">
      <c r="A1778" s="3">
        <v>44854</v>
      </c>
      <c r="B1778" s="1">
        <f ca="1">IFERROR(__xludf.DUMMYFUNCTION("""COMPUTED_VALUE"""),208.28)</f>
        <v>208.28</v>
      </c>
      <c r="C1778" s="1">
        <f ca="1">IFERROR(__xludf.DUMMYFUNCTION("""COMPUTED_VALUE"""),215.55)</f>
        <v>215.55</v>
      </c>
      <c r="D1778" s="1">
        <f ca="1">IFERROR(__xludf.DUMMYFUNCTION("""COMPUTED_VALUE"""),202)</f>
        <v>202</v>
      </c>
      <c r="E1778" s="1">
        <f ca="1">IFERROR(__xludf.DUMMYFUNCTION("""COMPUTED_VALUE"""),207.28)</f>
        <v>207.28</v>
      </c>
      <c r="F1778" s="1">
        <f ca="1">IFERROR(__xludf.DUMMYFUNCTION("""COMPUTED_VALUE"""),117798062)</f>
        <v>117798062</v>
      </c>
      <c r="G1778" s="5">
        <f t="shared" ca="1" si="81"/>
        <v>3.454264762639906E-2</v>
      </c>
      <c r="H1778" s="14">
        <f t="shared" si="82"/>
        <v>2022</v>
      </c>
      <c r="I1778" s="5">
        <f t="shared" ca="1" si="83"/>
        <v>-4.8012291146533517E-3</v>
      </c>
      <c r="J1778" s="16"/>
    </row>
    <row r="1779" spans="1:10" x14ac:dyDescent="0.2">
      <c r="A1779" s="3">
        <v>44855</v>
      </c>
      <c r="B1779" s="1">
        <f ca="1">IFERROR(__xludf.DUMMYFUNCTION("""COMPUTED_VALUE"""),206.42)</f>
        <v>206.42</v>
      </c>
      <c r="C1779" s="1">
        <f ca="1">IFERROR(__xludf.DUMMYFUNCTION("""COMPUTED_VALUE"""),214.66)</f>
        <v>214.66</v>
      </c>
      <c r="D1779" s="1">
        <f ca="1">IFERROR(__xludf.DUMMYFUNCTION("""COMPUTED_VALUE"""),203.8)</f>
        <v>203.8</v>
      </c>
      <c r="E1779" s="1">
        <f ca="1">IFERROR(__xludf.DUMMYFUNCTION("""COMPUTED_VALUE"""),214.44)</f>
        <v>214.44</v>
      </c>
      <c r="F1779" s="1">
        <f ca="1">IFERROR(__xludf.DUMMYFUNCTION("""COMPUTED_VALUE"""),75713754)</f>
        <v>75713754</v>
      </c>
      <c r="G1779" s="5">
        <f t="shared" ca="1" si="81"/>
        <v>-1.4875955978362235E-2</v>
      </c>
      <c r="H1779" s="14">
        <f t="shared" si="82"/>
        <v>2022</v>
      </c>
      <c r="I1779" s="5">
        <f t="shared" ca="1" si="83"/>
        <v>3.8852824338726923E-2</v>
      </c>
      <c r="J1779" s="16"/>
    </row>
    <row r="1780" spans="1:10" x14ac:dyDescent="0.2">
      <c r="A1780" s="3">
        <v>44858</v>
      </c>
      <c r="B1780" s="1">
        <f ca="1">IFERROR(__xludf.DUMMYFUNCTION("""COMPUTED_VALUE"""),205.82)</f>
        <v>205.82</v>
      </c>
      <c r="C1780" s="1">
        <f ca="1">IFERROR(__xludf.DUMMYFUNCTION("""COMPUTED_VALUE"""),213.5)</f>
        <v>213.5</v>
      </c>
      <c r="D1780" s="1">
        <f ca="1">IFERROR(__xludf.DUMMYFUNCTION("""COMPUTED_VALUE"""),198.59)</f>
        <v>198.59</v>
      </c>
      <c r="E1780" s="1">
        <f ca="1">IFERROR(__xludf.DUMMYFUNCTION("""COMPUTED_VALUE"""),211.25)</f>
        <v>211.25</v>
      </c>
      <c r="F1780" s="1">
        <f ca="1">IFERROR(__xludf.DUMMYFUNCTION("""COMPUTED_VALUE"""),100446765)</f>
        <v>100446765</v>
      </c>
      <c r="G1780" s="5">
        <f t="shared" ca="1" si="81"/>
        <v>5.2875739644970353E-2</v>
      </c>
      <c r="H1780" s="14">
        <f t="shared" si="82"/>
        <v>2022</v>
      </c>
      <c r="I1780" s="5">
        <f t="shared" ca="1" si="83"/>
        <v>2.6382275774949018E-2</v>
      </c>
      <c r="J1780" s="16"/>
    </row>
    <row r="1781" spans="1:10" x14ac:dyDescent="0.2">
      <c r="A1781" s="3">
        <v>44859</v>
      </c>
      <c r="B1781" s="1">
        <f ca="1">IFERROR(__xludf.DUMMYFUNCTION("""COMPUTED_VALUE"""),210.1)</f>
        <v>210.1</v>
      </c>
      <c r="C1781" s="1">
        <f ca="1">IFERROR(__xludf.DUMMYFUNCTION("""COMPUTED_VALUE"""),224.35)</f>
        <v>224.35</v>
      </c>
      <c r="D1781" s="1">
        <f ca="1">IFERROR(__xludf.DUMMYFUNCTION("""COMPUTED_VALUE"""),210)</f>
        <v>210</v>
      </c>
      <c r="E1781" s="1">
        <f ca="1">IFERROR(__xludf.DUMMYFUNCTION("""COMPUTED_VALUE"""),222.42)</f>
        <v>222.42</v>
      </c>
      <c r="F1781" s="1">
        <f ca="1">IFERROR(__xludf.DUMMYFUNCTION("""COMPUTED_VALUE"""),96507870)</f>
        <v>96507870</v>
      </c>
      <c r="G1781" s="5">
        <f t="shared" ca="1" si="81"/>
        <v>9.981116806042618E-3</v>
      </c>
      <c r="H1781" s="14">
        <f t="shared" si="82"/>
        <v>2022</v>
      </c>
      <c r="I1781" s="5">
        <f t="shared" ca="1" si="83"/>
        <v>5.8638743455497348E-2</v>
      </c>
      <c r="J1781" s="16"/>
    </row>
    <row r="1782" spans="1:10" x14ac:dyDescent="0.2">
      <c r="A1782" s="3">
        <v>44860</v>
      </c>
      <c r="B1782" s="1">
        <f ca="1">IFERROR(__xludf.DUMMYFUNCTION("""COMPUTED_VALUE"""),219.4)</f>
        <v>219.4</v>
      </c>
      <c r="C1782" s="1">
        <f ca="1">IFERROR(__xludf.DUMMYFUNCTION("""COMPUTED_VALUE"""),230.6)</f>
        <v>230.6</v>
      </c>
      <c r="D1782" s="1">
        <f ca="1">IFERROR(__xludf.DUMMYFUNCTION("""COMPUTED_VALUE"""),218.2)</f>
        <v>218.2</v>
      </c>
      <c r="E1782" s="1">
        <f ca="1">IFERROR(__xludf.DUMMYFUNCTION("""COMPUTED_VALUE"""),224.64)</f>
        <v>224.64</v>
      </c>
      <c r="F1782" s="1">
        <f ca="1">IFERROR(__xludf.DUMMYFUNCTION("""COMPUTED_VALUE"""),85327078)</f>
        <v>85327078</v>
      </c>
      <c r="G1782" s="5">
        <f t="shared" ca="1" si="81"/>
        <v>2.0032051282052044E-3</v>
      </c>
      <c r="H1782" s="14">
        <f t="shared" si="82"/>
        <v>2022</v>
      </c>
      <c r="I1782" s="5">
        <f t="shared" ca="1" si="83"/>
        <v>2.3883318140382772E-2</v>
      </c>
      <c r="J1782" s="16"/>
    </row>
    <row r="1783" spans="1:10" x14ac:dyDescent="0.2">
      <c r="A1783" s="3">
        <v>44861</v>
      </c>
      <c r="B1783" s="1">
        <f ca="1">IFERROR(__xludf.DUMMYFUNCTION("""COMPUTED_VALUE"""),229.77)</f>
        <v>229.77</v>
      </c>
      <c r="C1783" s="1">
        <f ca="1">IFERROR(__xludf.DUMMYFUNCTION("""COMPUTED_VALUE"""),233.81)</f>
        <v>233.81</v>
      </c>
      <c r="D1783" s="1">
        <f ca="1">IFERROR(__xludf.DUMMYFUNCTION("""COMPUTED_VALUE"""),222.85)</f>
        <v>222.85</v>
      </c>
      <c r="E1783" s="1">
        <f ca="1">IFERROR(__xludf.DUMMYFUNCTION("""COMPUTED_VALUE"""),225.09)</f>
        <v>225.09</v>
      </c>
      <c r="F1783" s="1">
        <f ca="1">IFERROR(__xludf.DUMMYFUNCTION("""COMPUTED_VALUE"""),61638824)</f>
        <v>61638824</v>
      </c>
      <c r="G1783" s="5">
        <f t="shared" ca="1" si="81"/>
        <v>1.5238349104802554E-2</v>
      </c>
      <c r="H1783" s="14">
        <f t="shared" si="82"/>
        <v>2022</v>
      </c>
      <c r="I1783" s="5">
        <f t="shared" ca="1" si="83"/>
        <v>-2.0368194281237789E-2</v>
      </c>
      <c r="J1783" s="16"/>
    </row>
    <row r="1784" spans="1:10" x14ac:dyDescent="0.2">
      <c r="A1784" s="3">
        <v>44862</v>
      </c>
      <c r="B1784" s="1">
        <f ca="1">IFERROR(__xludf.DUMMYFUNCTION("""COMPUTED_VALUE"""),225.4)</f>
        <v>225.4</v>
      </c>
      <c r="C1784" s="1">
        <f ca="1">IFERROR(__xludf.DUMMYFUNCTION("""COMPUTED_VALUE"""),228.86)</f>
        <v>228.86</v>
      </c>
      <c r="D1784" s="1">
        <f ca="1">IFERROR(__xludf.DUMMYFUNCTION("""COMPUTED_VALUE"""),216.35)</f>
        <v>216.35</v>
      </c>
      <c r="E1784" s="1">
        <f ca="1">IFERROR(__xludf.DUMMYFUNCTION("""COMPUTED_VALUE"""),228.52)</f>
        <v>228.52</v>
      </c>
      <c r="F1784" s="1">
        <f ca="1">IFERROR(__xludf.DUMMYFUNCTION("""COMPUTED_VALUE"""),69152386)</f>
        <v>69152386</v>
      </c>
      <c r="G1784" s="5">
        <f t="shared" ca="1" si="81"/>
        <v>-4.2884649046036156E-3</v>
      </c>
      <c r="H1784" s="14">
        <f t="shared" si="82"/>
        <v>2022</v>
      </c>
      <c r="I1784" s="5">
        <f t="shared" ca="1" si="83"/>
        <v>1.3842058562555477E-2</v>
      </c>
      <c r="J1784" s="16"/>
    </row>
    <row r="1785" spans="1:10" x14ac:dyDescent="0.2">
      <c r="A1785" s="3">
        <v>44865</v>
      </c>
      <c r="B1785" s="1">
        <f ca="1">IFERROR(__xludf.DUMMYFUNCTION("""COMPUTED_VALUE"""),226.19)</f>
        <v>226.19</v>
      </c>
      <c r="C1785" s="1">
        <f ca="1">IFERROR(__xludf.DUMMYFUNCTION("""COMPUTED_VALUE"""),229.85)</f>
        <v>229.85</v>
      </c>
      <c r="D1785" s="1">
        <f ca="1">IFERROR(__xludf.DUMMYFUNCTION("""COMPUTED_VALUE"""),221.94)</f>
        <v>221.94</v>
      </c>
      <c r="E1785" s="1">
        <f ca="1">IFERROR(__xludf.DUMMYFUNCTION("""COMPUTED_VALUE"""),227.54)</f>
        <v>227.54</v>
      </c>
      <c r="F1785" s="1">
        <f ca="1">IFERROR(__xludf.DUMMYFUNCTION("""COMPUTED_VALUE"""),61554341)</f>
        <v>61554341</v>
      </c>
      <c r="G1785" s="5">
        <f t="shared" ca="1" si="81"/>
        <v>1.2305528698250906E-3</v>
      </c>
      <c r="H1785" s="14">
        <f t="shared" si="82"/>
        <v>2022</v>
      </c>
      <c r="I1785" s="5">
        <f t="shared" ca="1" si="83"/>
        <v>5.9684336177549596E-3</v>
      </c>
      <c r="J1785" s="16"/>
    </row>
    <row r="1786" spans="1:10" x14ac:dyDescent="0.2">
      <c r="A1786" s="3">
        <v>44866</v>
      </c>
      <c r="B1786" s="1">
        <f ca="1">IFERROR(__xludf.DUMMYFUNCTION("""COMPUTED_VALUE"""),234.05)</f>
        <v>234.05</v>
      </c>
      <c r="C1786" s="1">
        <f ca="1">IFERROR(__xludf.DUMMYFUNCTION("""COMPUTED_VALUE"""),237.4)</f>
        <v>237.4</v>
      </c>
      <c r="D1786" s="1">
        <f ca="1">IFERROR(__xludf.DUMMYFUNCTION("""COMPUTED_VALUE"""),227.28)</f>
        <v>227.28</v>
      </c>
      <c r="E1786" s="1">
        <f ca="1">IFERROR(__xludf.DUMMYFUNCTION("""COMPUTED_VALUE"""),227.82)</f>
        <v>227.82</v>
      </c>
      <c r="F1786" s="1">
        <f ca="1">IFERROR(__xludf.DUMMYFUNCTION("""COMPUTED_VALUE"""),62688822)</f>
        <v>62688822</v>
      </c>
      <c r="G1786" s="5">
        <f t="shared" ca="1" si="81"/>
        <v>-5.6360284435080343E-2</v>
      </c>
      <c r="H1786" s="14">
        <f t="shared" si="82"/>
        <v>2022</v>
      </c>
      <c r="I1786" s="5">
        <f t="shared" ca="1" si="83"/>
        <v>-2.6618243964964827E-2</v>
      </c>
      <c r="J1786" s="16"/>
    </row>
    <row r="1787" spans="1:10" x14ac:dyDescent="0.2">
      <c r="A1787" s="3">
        <v>44867</v>
      </c>
      <c r="B1787" s="1">
        <f ca="1">IFERROR(__xludf.DUMMYFUNCTION("""COMPUTED_VALUE"""),226.04)</f>
        <v>226.04</v>
      </c>
      <c r="C1787" s="1">
        <f ca="1">IFERROR(__xludf.DUMMYFUNCTION("""COMPUTED_VALUE"""),227.87)</f>
        <v>227.87</v>
      </c>
      <c r="D1787" s="1">
        <f ca="1">IFERROR(__xludf.DUMMYFUNCTION("""COMPUTED_VALUE"""),214.82)</f>
        <v>214.82</v>
      </c>
      <c r="E1787" s="1">
        <f ca="1">IFERROR(__xludf.DUMMYFUNCTION("""COMPUTED_VALUE"""),214.98)</f>
        <v>214.98</v>
      </c>
      <c r="F1787" s="1">
        <f ca="1">IFERROR(__xludf.DUMMYFUNCTION("""COMPUTED_VALUE"""),63070293)</f>
        <v>63070293</v>
      </c>
      <c r="G1787" s="5">
        <f t="shared" ca="1" si="81"/>
        <v>1.5350265140943926E-3</v>
      </c>
      <c r="H1787" s="14">
        <f t="shared" si="82"/>
        <v>2022</v>
      </c>
      <c r="I1787" s="5">
        <f t="shared" ca="1" si="83"/>
        <v>-4.8929393027782708E-2</v>
      </c>
      <c r="J1787" s="16"/>
    </row>
    <row r="1788" spans="1:10" x14ac:dyDescent="0.2">
      <c r="A1788" s="3">
        <v>44868</v>
      </c>
      <c r="B1788" s="1">
        <f ca="1">IFERROR(__xludf.DUMMYFUNCTION("""COMPUTED_VALUE"""),211.36)</f>
        <v>211.36</v>
      </c>
      <c r="C1788" s="1">
        <f ca="1">IFERROR(__xludf.DUMMYFUNCTION("""COMPUTED_VALUE"""),221.2)</f>
        <v>221.2</v>
      </c>
      <c r="D1788" s="1">
        <f ca="1">IFERROR(__xludf.DUMMYFUNCTION("""COMPUTED_VALUE"""),210.14)</f>
        <v>210.14</v>
      </c>
      <c r="E1788" s="1">
        <f ca="1">IFERROR(__xludf.DUMMYFUNCTION("""COMPUTED_VALUE"""),215.31)</f>
        <v>215.31</v>
      </c>
      <c r="F1788" s="1">
        <f ca="1">IFERROR(__xludf.DUMMYFUNCTION("""COMPUTED_VALUE"""),56538848)</f>
        <v>56538848</v>
      </c>
      <c r="G1788" s="5">
        <f t="shared" ca="1" si="81"/>
        <v>-3.641261436997819E-2</v>
      </c>
      <c r="H1788" s="14">
        <f t="shared" si="82"/>
        <v>2022</v>
      </c>
      <c r="I1788" s="5">
        <f t="shared" ca="1" si="83"/>
        <v>1.8688493565480642E-2</v>
      </c>
      <c r="J1788" s="16"/>
    </row>
    <row r="1789" spans="1:10" x14ac:dyDescent="0.2">
      <c r="A1789" s="3">
        <v>44869</v>
      </c>
      <c r="B1789" s="1">
        <f ca="1">IFERROR(__xludf.DUMMYFUNCTION("""COMPUTED_VALUE"""),222.6)</f>
        <v>222.6</v>
      </c>
      <c r="C1789" s="1">
        <f ca="1">IFERROR(__xludf.DUMMYFUNCTION("""COMPUTED_VALUE"""),223.8)</f>
        <v>223.8</v>
      </c>
      <c r="D1789" s="1">
        <f ca="1">IFERROR(__xludf.DUMMYFUNCTION("""COMPUTED_VALUE"""),203.08)</f>
        <v>203.08</v>
      </c>
      <c r="E1789" s="1">
        <f ca="1">IFERROR(__xludf.DUMMYFUNCTION("""COMPUTED_VALUE"""),207.47)</f>
        <v>207.47</v>
      </c>
      <c r="F1789" s="1">
        <f ca="1">IFERROR(__xludf.DUMMYFUNCTION("""COMPUTED_VALUE"""),98622212)</f>
        <v>98622212</v>
      </c>
      <c r="G1789" s="5">
        <f t="shared" ca="1" si="81"/>
        <v>-5.0079529570540252E-2</v>
      </c>
      <c r="H1789" s="14">
        <f t="shared" si="82"/>
        <v>2022</v>
      </c>
      <c r="I1789" s="5">
        <f t="shared" ca="1" si="83"/>
        <v>-6.7969451931716066E-2</v>
      </c>
      <c r="J1789" s="16"/>
    </row>
    <row r="1790" spans="1:10" x14ac:dyDescent="0.2">
      <c r="A1790" s="3">
        <v>44872</v>
      </c>
      <c r="B1790" s="1">
        <f ca="1">IFERROR(__xludf.DUMMYFUNCTION("""COMPUTED_VALUE"""),208.65)</f>
        <v>208.65</v>
      </c>
      <c r="C1790" s="1">
        <f ca="1">IFERROR(__xludf.DUMMYFUNCTION("""COMPUTED_VALUE"""),208.9)</f>
        <v>208.9</v>
      </c>
      <c r="D1790" s="1">
        <f ca="1">IFERROR(__xludf.DUMMYFUNCTION("""COMPUTED_VALUE"""),196.66)</f>
        <v>196.66</v>
      </c>
      <c r="E1790" s="1">
        <f ca="1">IFERROR(__xludf.DUMMYFUNCTION("""COMPUTED_VALUE"""),197.08)</f>
        <v>197.08</v>
      </c>
      <c r="F1790" s="1">
        <f ca="1">IFERROR(__xludf.DUMMYFUNCTION("""COMPUTED_VALUE"""),93916520)</f>
        <v>93916520</v>
      </c>
      <c r="G1790" s="5">
        <f t="shared" ca="1" si="81"/>
        <v>-2.9328191597320887E-2</v>
      </c>
      <c r="H1790" s="14">
        <f t="shared" si="82"/>
        <v>2022</v>
      </c>
      <c r="I1790" s="5">
        <f t="shared" ca="1" si="83"/>
        <v>-5.5451713395638598E-2</v>
      </c>
      <c r="J1790" s="16"/>
    </row>
    <row r="1791" spans="1:10" x14ac:dyDescent="0.2">
      <c r="A1791" s="3">
        <v>44873</v>
      </c>
      <c r="B1791" s="1">
        <f ca="1">IFERROR(__xludf.DUMMYFUNCTION("""COMPUTED_VALUE"""),194.02)</f>
        <v>194.02</v>
      </c>
      <c r="C1791" s="1">
        <f ca="1">IFERROR(__xludf.DUMMYFUNCTION("""COMPUTED_VALUE"""),195.2)</f>
        <v>195.2</v>
      </c>
      <c r="D1791" s="1">
        <f ca="1">IFERROR(__xludf.DUMMYFUNCTION("""COMPUTED_VALUE"""),186.75)</f>
        <v>186.75</v>
      </c>
      <c r="E1791" s="1">
        <f ca="1">IFERROR(__xludf.DUMMYFUNCTION("""COMPUTED_VALUE"""),191.3)</f>
        <v>191.3</v>
      </c>
      <c r="F1791" s="1">
        <f ca="1">IFERROR(__xludf.DUMMYFUNCTION("""COMPUTED_VALUE"""),128803404)</f>
        <v>128803404</v>
      </c>
      <c r="G1791" s="5">
        <f t="shared" ca="1" si="81"/>
        <v>-7.1667537898588637E-2</v>
      </c>
      <c r="H1791" s="14">
        <f t="shared" si="82"/>
        <v>2022</v>
      </c>
      <c r="I1791" s="5">
        <f t="shared" ca="1" si="83"/>
        <v>-1.4019173281105034E-2</v>
      </c>
      <c r="J1791" s="16"/>
    </row>
    <row r="1792" spans="1:10" x14ac:dyDescent="0.2">
      <c r="A1792" s="3">
        <v>44874</v>
      </c>
      <c r="B1792" s="1">
        <f ca="1">IFERROR(__xludf.DUMMYFUNCTION("""COMPUTED_VALUE"""),190.78)</f>
        <v>190.78</v>
      </c>
      <c r="C1792" s="1">
        <f ca="1">IFERROR(__xludf.DUMMYFUNCTION("""COMPUTED_VALUE"""),195.89)</f>
        <v>195.89</v>
      </c>
      <c r="D1792" s="1">
        <f ca="1">IFERROR(__xludf.DUMMYFUNCTION("""COMPUTED_VALUE"""),177.12)</f>
        <v>177.12</v>
      </c>
      <c r="E1792" s="1">
        <f ca="1">IFERROR(__xludf.DUMMYFUNCTION("""COMPUTED_VALUE"""),177.59)</f>
        <v>177.59</v>
      </c>
      <c r="F1792" s="1">
        <f ca="1">IFERROR(__xludf.DUMMYFUNCTION("""COMPUTED_VALUE"""),127062659)</f>
        <v>127062659</v>
      </c>
      <c r="G1792" s="5">
        <f t="shared" ca="1" si="81"/>
        <v>7.3934343149952106E-2</v>
      </c>
      <c r="H1792" s="14">
        <f t="shared" si="82"/>
        <v>2022</v>
      </c>
      <c r="I1792" s="5">
        <f t="shared" ca="1" si="83"/>
        <v>-6.913722612433168E-2</v>
      </c>
      <c r="J1792" s="16"/>
    </row>
    <row r="1793" spans="1:10" x14ac:dyDescent="0.2">
      <c r="A1793" s="3">
        <v>44875</v>
      </c>
      <c r="B1793" s="1">
        <f ca="1">IFERROR(__xludf.DUMMYFUNCTION("""COMPUTED_VALUE"""),189.9)</f>
        <v>189.9</v>
      </c>
      <c r="C1793" s="1">
        <f ca="1">IFERROR(__xludf.DUMMYFUNCTION("""COMPUTED_VALUE"""),191)</f>
        <v>191</v>
      </c>
      <c r="D1793" s="1">
        <f ca="1">IFERROR(__xludf.DUMMYFUNCTION("""COMPUTED_VALUE"""),180.03)</f>
        <v>180.03</v>
      </c>
      <c r="E1793" s="1">
        <f ca="1">IFERROR(__xludf.DUMMYFUNCTION("""COMPUTED_VALUE"""),190.72)</f>
        <v>190.72</v>
      </c>
      <c r="F1793" s="1">
        <f ca="1">IFERROR(__xludf.DUMMYFUNCTION("""COMPUTED_VALUE"""),132703015)</f>
        <v>132703015</v>
      </c>
      <c r="G1793" s="5">
        <f t="shared" ca="1" si="81"/>
        <v>2.752726510067114E-2</v>
      </c>
      <c r="H1793" s="14">
        <f t="shared" si="82"/>
        <v>2022</v>
      </c>
      <c r="I1793" s="5">
        <f t="shared" ca="1" si="83"/>
        <v>4.3180621379673148E-3</v>
      </c>
      <c r="J1793" s="16"/>
    </row>
    <row r="1794" spans="1:10" x14ac:dyDescent="0.2">
      <c r="A1794" s="3">
        <v>44876</v>
      </c>
      <c r="B1794" s="1">
        <f ca="1">IFERROR(__xludf.DUMMYFUNCTION("""COMPUTED_VALUE"""),186)</f>
        <v>186</v>
      </c>
      <c r="C1794" s="1">
        <f ca="1">IFERROR(__xludf.DUMMYFUNCTION("""COMPUTED_VALUE"""),196.52)</f>
        <v>196.52</v>
      </c>
      <c r="D1794" s="1">
        <f ca="1">IFERROR(__xludf.DUMMYFUNCTION("""COMPUTED_VALUE"""),182.59)</f>
        <v>182.59</v>
      </c>
      <c r="E1794" s="1">
        <f ca="1">IFERROR(__xludf.DUMMYFUNCTION("""COMPUTED_VALUE"""),195.97)</f>
        <v>195.97</v>
      </c>
      <c r="F1794" s="1">
        <f ca="1">IFERROR(__xludf.DUMMYFUNCTION("""COMPUTED_VALUE"""),114403575)</f>
        <v>114403575</v>
      </c>
      <c r="G1794" s="5">
        <f t="shared" ca="1" si="81"/>
        <v>-2.5616165739654081E-2</v>
      </c>
      <c r="H1794" s="14">
        <f t="shared" si="82"/>
        <v>2022</v>
      </c>
      <c r="I1794" s="5">
        <f t="shared" ca="1" si="83"/>
        <v>5.3602150537634403E-2</v>
      </c>
      <c r="J1794" s="16"/>
    </row>
    <row r="1795" spans="1:10" x14ac:dyDescent="0.2">
      <c r="A1795" s="3">
        <v>44879</v>
      </c>
      <c r="B1795" s="1">
        <f ca="1">IFERROR(__xludf.DUMMYFUNCTION("""COMPUTED_VALUE"""),192.77)</f>
        <v>192.77</v>
      </c>
      <c r="C1795" s="1">
        <f ca="1">IFERROR(__xludf.DUMMYFUNCTION("""COMPUTED_VALUE"""),195.73)</f>
        <v>195.73</v>
      </c>
      <c r="D1795" s="1">
        <f ca="1">IFERROR(__xludf.DUMMYFUNCTION("""COMPUTED_VALUE"""),186.34)</f>
        <v>186.34</v>
      </c>
      <c r="E1795" s="1">
        <f ca="1">IFERROR(__xludf.DUMMYFUNCTION("""COMPUTED_VALUE"""),190.95)</f>
        <v>190.95</v>
      </c>
      <c r="F1795" s="1">
        <f ca="1">IFERROR(__xludf.DUMMYFUNCTION("""COMPUTED_VALUE"""),92226649)</f>
        <v>92226649</v>
      </c>
      <c r="G1795" s="5">
        <f t="shared" ref="G1795:G1858" ca="1" si="84">(E1796-E1795)/E1795</f>
        <v>1.8172296412673469E-2</v>
      </c>
      <c r="H1795" s="14">
        <f t="shared" ref="H1795:H1858" si="85">YEAR(A1795)</f>
        <v>2022</v>
      </c>
      <c r="I1795" s="5">
        <f t="shared" ref="I1795:I1858" ca="1" si="86">((E1795 - B1795) / B1795)</f>
        <v>-9.4413031073300908E-3</v>
      </c>
      <c r="J1795" s="16"/>
    </row>
    <row r="1796" spans="1:10" x14ac:dyDescent="0.2">
      <c r="A1796" s="3">
        <v>44880</v>
      </c>
      <c r="B1796" s="1">
        <f ca="1">IFERROR(__xludf.DUMMYFUNCTION("""COMPUTED_VALUE"""),195.88)</f>
        <v>195.88</v>
      </c>
      <c r="C1796" s="1">
        <f ca="1">IFERROR(__xludf.DUMMYFUNCTION("""COMPUTED_VALUE"""),200.82)</f>
        <v>200.82</v>
      </c>
      <c r="D1796" s="1">
        <f ca="1">IFERROR(__xludf.DUMMYFUNCTION("""COMPUTED_VALUE"""),192.06)</f>
        <v>192.06</v>
      </c>
      <c r="E1796" s="1">
        <f ca="1">IFERROR(__xludf.DUMMYFUNCTION("""COMPUTED_VALUE"""),194.42)</f>
        <v>194.42</v>
      </c>
      <c r="F1796" s="1">
        <f ca="1">IFERROR(__xludf.DUMMYFUNCTION("""COMPUTED_VALUE"""),91293785)</f>
        <v>91293785</v>
      </c>
      <c r="G1796" s="5">
        <f t="shared" ca="1" si="84"/>
        <v>-3.8576278160683063E-2</v>
      </c>
      <c r="H1796" s="14">
        <f t="shared" si="85"/>
        <v>2022</v>
      </c>
      <c r="I1796" s="5">
        <f t="shared" ca="1" si="86"/>
        <v>-7.4535429855013685E-3</v>
      </c>
      <c r="J1796" s="16"/>
    </row>
    <row r="1797" spans="1:10" x14ac:dyDescent="0.2">
      <c r="A1797" s="3">
        <v>44881</v>
      </c>
      <c r="B1797" s="1">
        <f ca="1">IFERROR(__xludf.DUMMYFUNCTION("""COMPUTED_VALUE"""),191.51)</f>
        <v>191.51</v>
      </c>
      <c r="C1797" s="1">
        <f ca="1">IFERROR(__xludf.DUMMYFUNCTION("""COMPUTED_VALUE"""),192.57)</f>
        <v>192.57</v>
      </c>
      <c r="D1797" s="1">
        <f ca="1">IFERROR(__xludf.DUMMYFUNCTION("""COMPUTED_VALUE"""),185.66)</f>
        <v>185.66</v>
      </c>
      <c r="E1797" s="1">
        <f ca="1">IFERROR(__xludf.DUMMYFUNCTION("""COMPUTED_VALUE"""),186.92)</f>
        <v>186.92</v>
      </c>
      <c r="F1797" s="1">
        <f ca="1">IFERROR(__xludf.DUMMYFUNCTION("""COMPUTED_VALUE"""),66567599)</f>
        <v>66567599</v>
      </c>
      <c r="G1797" s="5">
        <f t="shared" ca="1" si="84"/>
        <v>-2.0062058634710039E-2</v>
      </c>
      <c r="H1797" s="14">
        <f t="shared" si="85"/>
        <v>2022</v>
      </c>
      <c r="I1797" s="5">
        <f t="shared" ca="1" si="86"/>
        <v>-2.3967416845073385E-2</v>
      </c>
      <c r="J1797" s="16"/>
    </row>
    <row r="1798" spans="1:10" x14ac:dyDescent="0.2">
      <c r="A1798" s="3">
        <v>44882</v>
      </c>
      <c r="B1798" s="1">
        <f ca="1">IFERROR(__xludf.DUMMYFUNCTION("""COMPUTED_VALUE"""),183.96)</f>
        <v>183.96</v>
      </c>
      <c r="C1798" s="1">
        <f ca="1">IFERROR(__xludf.DUMMYFUNCTION("""COMPUTED_VALUE"""),186.16)</f>
        <v>186.16</v>
      </c>
      <c r="D1798" s="1">
        <f ca="1">IFERROR(__xludf.DUMMYFUNCTION("""COMPUTED_VALUE"""),180.9)</f>
        <v>180.9</v>
      </c>
      <c r="E1798" s="1">
        <f ca="1">IFERROR(__xludf.DUMMYFUNCTION("""COMPUTED_VALUE"""),183.17)</f>
        <v>183.17</v>
      </c>
      <c r="F1798" s="1">
        <f ca="1">IFERROR(__xludf.DUMMYFUNCTION("""COMPUTED_VALUE"""),64335970)</f>
        <v>64335970</v>
      </c>
      <c r="G1798" s="5">
        <f t="shared" ca="1" si="84"/>
        <v>-1.6269039689905496E-2</v>
      </c>
      <c r="H1798" s="14">
        <f t="shared" si="85"/>
        <v>2022</v>
      </c>
      <c r="I1798" s="5">
        <f t="shared" ca="1" si="86"/>
        <v>-4.2944118286585148E-3</v>
      </c>
      <c r="J1798" s="16"/>
    </row>
    <row r="1799" spans="1:10" x14ac:dyDescent="0.2">
      <c r="A1799" s="3">
        <v>44883</v>
      </c>
      <c r="B1799" s="1">
        <f ca="1">IFERROR(__xludf.DUMMYFUNCTION("""COMPUTED_VALUE"""),185.05)</f>
        <v>185.05</v>
      </c>
      <c r="C1799" s="1">
        <f ca="1">IFERROR(__xludf.DUMMYFUNCTION("""COMPUTED_VALUE"""),185.19)</f>
        <v>185.19</v>
      </c>
      <c r="D1799" s="1">
        <f ca="1">IFERROR(__xludf.DUMMYFUNCTION("""COMPUTED_VALUE"""),176.55)</f>
        <v>176.55</v>
      </c>
      <c r="E1799" s="1">
        <f ca="1">IFERROR(__xludf.DUMMYFUNCTION("""COMPUTED_VALUE"""),180.19)</f>
        <v>180.19</v>
      </c>
      <c r="F1799" s="1">
        <f ca="1">IFERROR(__xludf.DUMMYFUNCTION("""COMPUTED_VALUE"""),76048866)</f>
        <v>76048866</v>
      </c>
      <c r="G1799" s="5">
        <f t="shared" ca="1" si="84"/>
        <v>-6.8372273711082704E-2</v>
      </c>
      <c r="H1799" s="14">
        <f t="shared" si="85"/>
        <v>2022</v>
      </c>
      <c r="I1799" s="5">
        <f t="shared" ca="1" si="86"/>
        <v>-2.6263172115644492E-2</v>
      </c>
      <c r="J1799" s="16"/>
    </row>
    <row r="1800" spans="1:10" x14ac:dyDescent="0.2">
      <c r="A1800" s="3">
        <v>44886</v>
      </c>
      <c r="B1800" s="1">
        <f ca="1">IFERROR(__xludf.DUMMYFUNCTION("""COMPUTED_VALUE"""),175.85)</f>
        <v>175.85</v>
      </c>
      <c r="C1800" s="1">
        <f ca="1">IFERROR(__xludf.DUMMYFUNCTION("""COMPUTED_VALUE"""),176.77)</f>
        <v>176.77</v>
      </c>
      <c r="D1800" s="1">
        <f ca="1">IFERROR(__xludf.DUMMYFUNCTION("""COMPUTED_VALUE"""),167.54)</f>
        <v>167.54</v>
      </c>
      <c r="E1800" s="1">
        <f ca="1">IFERROR(__xludf.DUMMYFUNCTION("""COMPUTED_VALUE"""),167.87)</f>
        <v>167.87</v>
      </c>
      <c r="F1800" s="1">
        <f ca="1">IFERROR(__xludf.DUMMYFUNCTION("""COMPUTED_VALUE"""),92882712)</f>
        <v>92882712</v>
      </c>
      <c r="G1800" s="5">
        <f t="shared" ca="1" si="84"/>
        <v>1.2152260677905475E-2</v>
      </c>
      <c r="H1800" s="14">
        <f t="shared" si="85"/>
        <v>2022</v>
      </c>
      <c r="I1800" s="5">
        <f t="shared" ca="1" si="86"/>
        <v>-4.537958487347165E-2</v>
      </c>
      <c r="J1800" s="16"/>
    </row>
    <row r="1801" spans="1:10" x14ac:dyDescent="0.2">
      <c r="A1801" s="3">
        <v>44887</v>
      </c>
      <c r="B1801" s="1">
        <f ca="1">IFERROR(__xludf.DUMMYFUNCTION("""COMPUTED_VALUE"""),168.63)</f>
        <v>168.63</v>
      </c>
      <c r="C1801" s="1">
        <f ca="1">IFERROR(__xludf.DUMMYFUNCTION("""COMPUTED_VALUE"""),170.92)</f>
        <v>170.92</v>
      </c>
      <c r="D1801" s="1">
        <f ca="1">IFERROR(__xludf.DUMMYFUNCTION("""COMPUTED_VALUE"""),166.19)</f>
        <v>166.19</v>
      </c>
      <c r="E1801" s="1">
        <f ca="1">IFERROR(__xludf.DUMMYFUNCTION("""COMPUTED_VALUE"""),169.91)</f>
        <v>169.91</v>
      </c>
      <c r="F1801" s="1">
        <f ca="1">IFERROR(__xludf.DUMMYFUNCTION("""COMPUTED_VALUE"""),78452327)</f>
        <v>78452327</v>
      </c>
      <c r="G1801" s="5">
        <f t="shared" ca="1" si="84"/>
        <v>7.8217880054146274E-2</v>
      </c>
      <c r="H1801" s="14">
        <f t="shared" si="85"/>
        <v>2022</v>
      </c>
      <c r="I1801" s="5">
        <f t="shared" ca="1" si="86"/>
        <v>7.5905829330486932E-3</v>
      </c>
      <c r="J1801" s="16"/>
    </row>
    <row r="1802" spans="1:10" x14ac:dyDescent="0.2">
      <c r="A1802" s="3">
        <v>44888</v>
      </c>
      <c r="B1802" s="1">
        <f ca="1">IFERROR(__xludf.DUMMYFUNCTION("""COMPUTED_VALUE"""),173.57)</f>
        <v>173.57</v>
      </c>
      <c r="C1802" s="1">
        <f ca="1">IFERROR(__xludf.DUMMYFUNCTION("""COMPUTED_VALUE"""),183.62)</f>
        <v>183.62</v>
      </c>
      <c r="D1802" s="1">
        <f ca="1">IFERROR(__xludf.DUMMYFUNCTION("""COMPUTED_VALUE"""),172.5)</f>
        <v>172.5</v>
      </c>
      <c r="E1802" s="1">
        <f ca="1">IFERROR(__xludf.DUMMYFUNCTION("""COMPUTED_VALUE"""),183.2)</f>
        <v>183.2</v>
      </c>
      <c r="F1802" s="1">
        <f ca="1">IFERROR(__xludf.DUMMYFUNCTION("""COMPUTED_VALUE"""),109536709)</f>
        <v>109536709</v>
      </c>
      <c r="G1802" s="5">
        <f t="shared" ca="1" si="84"/>
        <v>-1.8558951965064138E-3</v>
      </c>
      <c r="H1802" s="14">
        <f t="shared" si="85"/>
        <v>2022</v>
      </c>
      <c r="I1802" s="5">
        <f t="shared" ca="1" si="86"/>
        <v>5.5481938122947487E-2</v>
      </c>
      <c r="J1802" s="16"/>
    </row>
    <row r="1803" spans="1:10" x14ac:dyDescent="0.2">
      <c r="A1803" s="3">
        <v>44890</v>
      </c>
      <c r="B1803" s="1">
        <f ca="1">IFERROR(__xludf.DUMMYFUNCTION("""COMPUTED_VALUE"""),185.06)</f>
        <v>185.06</v>
      </c>
      <c r="C1803" s="1">
        <f ca="1">IFERROR(__xludf.DUMMYFUNCTION("""COMPUTED_VALUE"""),185.2)</f>
        <v>185.2</v>
      </c>
      <c r="D1803" s="1">
        <f ca="1">IFERROR(__xludf.DUMMYFUNCTION("""COMPUTED_VALUE"""),180.63)</f>
        <v>180.63</v>
      </c>
      <c r="E1803" s="1">
        <f ca="1">IFERROR(__xludf.DUMMYFUNCTION("""COMPUTED_VALUE"""),182.86)</f>
        <v>182.86</v>
      </c>
      <c r="F1803" s="1">
        <f ca="1">IFERROR(__xludf.DUMMYFUNCTION("""COMPUTED_VALUE"""),50672739)</f>
        <v>50672739</v>
      </c>
      <c r="G1803" s="5">
        <f t="shared" ca="1" si="84"/>
        <v>3.2811987312683936E-4</v>
      </c>
      <c r="H1803" s="14">
        <f t="shared" si="85"/>
        <v>2022</v>
      </c>
      <c r="I1803" s="5">
        <f t="shared" ca="1" si="86"/>
        <v>-1.188803631254722E-2</v>
      </c>
      <c r="J1803" s="16"/>
    </row>
    <row r="1804" spans="1:10" x14ac:dyDescent="0.2">
      <c r="A1804" s="3">
        <v>44893</v>
      </c>
      <c r="B1804" s="1">
        <f ca="1">IFERROR(__xludf.DUMMYFUNCTION("""COMPUTED_VALUE"""),179.96)</f>
        <v>179.96</v>
      </c>
      <c r="C1804" s="1">
        <f ca="1">IFERROR(__xludf.DUMMYFUNCTION("""COMPUTED_VALUE"""),188.5)</f>
        <v>188.5</v>
      </c>
      <c r="D1804" s="1">
        <f ca="1">IFERROR(__xludf.DUMMYFUNCTION("""COMPUTED_VALUE"""),179)</f>
        <v>179</v>
      </c>
      <c r="E1804" s="1">
        <f ca="1">IFERROR(__xludf.DUMMYFUNCTION("""COMPUTED_VALUE"""),182.92)</f>
        <v>182.92</v>
      </c>
      <c r="F1804" s="1">
        <f ca="1">IFERROR(__xludf.DUMMYFUNCTION("""COMPUTED_VALUE"""),93038148)</f>
        <v>93038148</v>
      </c>
      <c r="G1804" s="5">
        <f t="shared" ca="1" si="84"/>
        <v>-1.1425759895035945E-2</v>
      </c>
      <c r="H1804" s="14">
        <f t="shared" si="85"/>
        <v>2022</v>
      </c>
      <c r="I1804" s="5">
        <f t="shared" ca="1" si="86"/>
        <v>1.6448099577683815E-2</v>
      </c>
      <c r="J1804" s="16"/>
    </row>
    <row r="1805" spans="1:10" x14ac:dyDescent="0.2">
      <c r="A1805" s="3">
        <v>44894</v>
      </c>
      <c r="B1805" s="1">
        <f ca="1">IFERROR(__xludf.DUMMYFUNCTION("""COMPUTED_VALUE"""),184.99)</f>
        <v>184.99</v>
      </c>
      <c r="C1805" s="1">
        <f ca="1">IFERROR(__xludf.DUMMYFUNCTION("""COMPUTED_VALUE"""),186.38)</f>
        <v>186.38</v>
      </c>
      <c r="D1805" s="1">
        <f ca="1">IFERROR(__xludf.DUMMYFUNCTION("""COMPUTED_VALUE"""),178.75)</f>
        <v>178.75</v>
      </c>
      <c r="E1805" s="1">
        <f ca="1">IFERROR(__xludf.DUMMYFUNCTION("""COMPUTED_VALUE"""),180.83)</f>
        <v>180.83</v>
      </c>
      <c r="F1805" s="1">
        <f ca="1">IFERROR(__xludf.DUMMYFUNCTION("""COMPUTED_VALUE"""),83357111)</f>
        <v>83357111</v>
      </c>
      <c r="G1805" s="5">
        <f t="shared" ca="1" si="84"/>
        <v>7.6701874688934218E-2</v>
      </c>
      <c r="H1805" s="14">
        <f t="shared" si="85"/>
        <v>2022</v>
      </c>
      <c r="I1805" s="5">
        <f t="shared" ca="1" si="86"/>
        <v>-2.2487702037947976E-2</v>
      </c>
      <c r="J1805" s="16"/>
    </row>
    <row r="1806" spans="1:10" x14ac:dyDescent="0.2">
      <c r="A1806" s="3">
        <v>44895</v>
      </c>
      <c r="B1806" s="1">
        <f ca="1">IFERROR(__xludf.DUMMYFUNCTION("""COMPUTED_VALUE"""),182.43)</f>
        <v>182.43</v>
      </c>
      <c r="C1806" s="1">
        <f ca="1">IFERROR(__xludf.DUMMYFUNCTION("""COMPUTED_VALUE"""),194.76)</f>
        <v>194.76</v>
      </c>
      <c r="D1806" s="1">
        <f ca="1">IFERROR(__xludf.DUMMYFUNCTION("""COMPUTED_VALUE"""),180.63)</f>
        <v>180.63</v>
      </c>
      <c r="E1806" s="1">
        <f ca="1">IFERROR(__xludf.DUMMYFUNCTION("""COMPUTED_VALUE"""),194.7)</f>
        <v>194.7</v>
      </c>
      <c r="F1806" s="1">
        <f ca="1">IFERROR(__xludf.DUMMYFUNCTION("""COMPUTED_VALUE"""),109186404)</f>
        <v>109186404</v>
      </c>
      <c r="G1806" s="5">
        <f t="shared" ca="1" si="84"/>
        <v>0</v>
      </c>
      <c r="H1806" s="14">
        <f t="shared" si="85"/>
        <v>2022</v>
      </c>
      <c r="I1806" s="5">
        <f t="shared" ca="1" si="86"/>
        <v>6.7258674560105147E-2</v>
      </c>
      <c r="J1806" s="16"/>
    </row>
    <row r="1807" spans="1:10" x14ac:dyDescent="0.2">
      <c r="A1807" s="3">
        <v>44896</v>
      </c>
      <c r="B1807" s="1">
        <f ca="1">IFERROR(__xludf.DUMMYFUNCTION("""COMPUTED_VALUE"""),197.08)</f>
        <v>197.08</v>
      </c>
      <c r="C1807" s="1">
        <f ca="1">IFERROR(__xludf.DUMMYFUNCTION("""COMPUTED_VALUE"""),198.92)</f>
        <v>198.92</v>
      </c>
      <c r="D1807" s="1">
        <f ca="1">IFERROR(__xludf.DUMMYFUNCTION("""COMPUTED_VALUE"""),191.8)</f>
        <v>191.8</v>
      </c>
      <c r="E1807" s="1">
        <f ca="1">IFERROR(__xludf.DUMMYFUNCTION("""COMPUTED_VALUE"""),194.7)</f>
        <v>194.7</v>
      </c>
      <c r="F1807" s="1">
        <f ca="1">IFERROR(__xludf.DUMMYFUNCTION("""COMPUTED_VALUE"""),80046213)</f>
        <v>80046213</v>
      </c>
      <c r="G1807" s="5">
        <f t="shared" ca="1" si="84"/>
        <v>8.2177709296366215E-4</v>
      </c>
      <c r="H1807" s="14">
        <f t="shared" si="85"/>
        <v>2022</v>
      </c>
      <c r="I1807" s="5">
        <f t="shared" ca="1" si="86"/>
        <v>-1.207631418713225E-2</v>
      </c>
      <c r="J1807" s="16"/>
    </row>
    <row r="1808" spans="1:10" x14ac:dyDescent="0.2">
      <c r="A1808" s="3">
        <v>44897</v>
      </c>
      <c r="B1808" s="1">
        <f ca="1">IFERROR(__xludf.DUMMYFUNCTION("""COMPUTED_VALUE"""),191.78)</f>
        <v>191.78</v>
      </c>
      <c r="C1808" s="1">
        <f ca="1">IFERROR(__xludf.DUMMYFUNCTION("""COMPUTED_VALUE"""),196.25)</f>
        <v>196.25</v>
      </c>
      <c r="D1808" s="1">
        <f ca="1">IFERROR(__xludf.DUMMYFUNCTION("""COMPUTED_VALUE"""),191.11)</f>
        <v>191.11</v>
      </c>
      <c r="E1808" s="1">
        <f ca="1">IFERROR(__xludf.DUMMYFUNCTION("""COMPUTED_VALUE"""),194.86)</f>
        <v>194.86</v>
      </c>
      <c r="F1808" s="1">
        <f ca="1">IFERROR(__xludf.DUMMYFUNCTION("""COMPUTED_VALUE"""),73645922)</f>
        <v>73645922</v>
      </c>
      <c r="G1808" s="5">
        <f t="shared" ca="1" si="84"/>
        <v>-6.3686749461151715E-2</v>
      </c>
      <c r="H1808" s="14">
        <f t="shared" si="85"/>
        <v>2022</v>
      </c>
      <c r="I1808" s="5">
        <f t="shared" ca="1" si="86"/>
        <v>1.6060068828866476E-2</v>
      </c>
      <c r="J1808" s="16"/>
    </row>
    <row r="1809" spans="1:10" x14ac:dyDescent="0.2">
      <c r="A1809" s="3">
        <v>44900</v>
      </c>
      <c r="B1809" s="1">
        <f ca="1">IFERROR(__xludf.DUMMYFUNCTION("""COMPUTED_VALUE"""),189.44)</f>
        <v>189.44</v>
      </c>
      <c r="C1809" s="1">
        <f ca="1">IFERROR(__xludf.DUMMYFUNCTION("""COMPUTED_VALUE"""),191.27)</f>
        <v>191.27</v>
      </c>
      <c r="D1809" s="1">
        <f ca="1">IFERROR(__xludf.DUMMYFUNCTION("""COMPUTED_VALUE"""),180.55)</f>
        <v>180.55</v>
      </c>
      <c r="E1809" s="1">
        <f ca="1">IFERROR(__xludf.DUMMYFUNCTION("""COMPUTED_VALUE"""),182.45)</f>
        <v>182.45</v>
      </c>
      <c r="F1809" s="1">
        <f ca="1">IFERROR(__xludf.DUMMYFUNCTION("""COMPUTED_VALUE"""),93122667)</f>
        <v>93122667</v>
      </c>
      <c r="G1809" s="5">
        <f t="shared" ca="1" si="84"/>
        <v>-1.4414908194025737E-2</v>
      </c>
      <c r="H1809" s="14">
        <f t="shared" si="85"/>
        <v>2022</v>
      </c>
      <c r="I1809" s="5">
        <f t="shared" ca="1" si="86"/>
        <v>-3.6898226351351399E-2</v>
      </c>
      <c r="J1809" s="16"/>
    </row>
    <row r="1810" spans="1:10" x14ac:dyDescent="0.2">
      <c r="A1810" s="3">
        <v>44901</v>
      </c>
      <c r="B1810" s="1">
        <f ca="1">IFERROR(__xludf.DUMMYFUNCTION("""COMPUTED_VALUE"""),181.22)</f>
        <v>181.22</v>
      </c>
      <c r="C1810" s="1">
        <f ca="1">IFERROR(__xludf.DUMMYFUNCTION("""COMPUTED_VALUE"""),183.65)</f>
        <v>183.65</v>
      </c>
      <c r="D1810" s="1">
        <f ca="1">IFERROR(__xludf.DUMMYFUNCTION("""COMPUTED_VALUE"""),175.33)</f>
        <v>175.33</v>
      </c>
      <c r="E1810" s="1">
        <f ca="1">IFERROR(__xludf.DUMMYFUNCTION("""COMPUTED_VALUE"""),179.82)</f>
        <v>179.82</v>
      </c>
      <c r="F1810" s="1">
        <f ca="1">IFERROR(__xludf.DUMMYFUNCTION("""COMPUTED_VALUE"""),92150823)</f>
        <v>92150823</v>
      </c>
      <c r="G1810" s="5">
        <f t="shared" ca="1" si="84"/>
        <v>-3.2143254365476596E-2</v>
      </c>
      <c r="H1810" s="14">
        <f t="shared" si="85"/>
        <v>2022</v>
      </c>
      <c r="I1810" s="5">
        <f t="shared" ca="1" si="86"/>
        <v>-7.7254166206820758E-3</v>
      </c>
      <c r="J1810" s="16"/>
    </row>
    <row r="1811" spans="1:10" x14ac:dyDescent="0.2">
      <c r="A1811" s="3">
        <v>44902</v>
      </c>
      <c r="B1811" s="1">
        <f ca="1">IFERROR(__xludf.DUMMYFUNCTION("""COMPUTED_VALUE"""),175.03)</f>
        <v>175.03</v>
      </c>
      <c r="C1811" s="1">
        <f ca="1">IFERROR(__xludf.DUMMYFUNCTION("""COMPUTED_VALUE"""),179.38)</f>
        <v>179.38</v>
      </c>
      <c r="D1811" s="1">
        <f ca="1">IFERROR(__xludf.DUMMYFUNCTION("""COMPUTED_VALUE"""),172.22)</f>
        <v>172.22</v>
      </c>
      <c r="E1811" s="1">
        <f ca="1">IFERROR(__xludf.DUMMYFUNCTION("""COMPUTED_VALUE"""),174.04)</f>
        <v>174.04</v>
      </c>
      <c r="F1811" s="1">
        <f ca="1">IFERROR(__xludf.DUMMYFUNCTION("""COMPUTED_VALUE"""),84213284)</f>
        <v>84213284</v>
      </c>
      <c r="G1811" s="5">
        <f t="shared" ca="1" si="84"/>
        <v>-3.447483337163838E-3</v>
      </c>
      <c r="H1811" s="14">
        <f t="shared" si="85"/>
        <v>2022</v>
      </c>
      <c r="I1811" s="5">
        <f t="shared" ca="1" si="86"/>
        <v>-5.6561732274467754E-3</v>
      </c>
      <c r="J1811" s="16"/>
    </row>
    <row r="1812" spans="1:10" x14ac:dyDescent="0.2">
      <c r="A1812" s="3">
        <v>44903</v>
      </c>
      <c r="B1812" s="1">
        <f ca="1">IFERROR(__xludf.DUMMYFUNCTION("""COMPUTED_VALUE"""),172.2)</f>
        <v>172.2</v>
      </c>
      <c r="C1812" s="1">
        <f ca="1">IFERROR(__xludf.DUMMYFUNCTION("""COMPUTED_VALUE"""),175.2)</f>
        <v>175.2</v>
      </c>
      <c r="D1812" s="1">
        <f ca="1">IFERROR(__xludf.DUMMYFUNCTION("""COMPUTED_VALUE"""),169.06)</f>
        <v>169.06</v>
      </c>
      <c r="E1812" s="1">
        <f ca="1">IFERROR(__xludf.DUMMYFUNCTION("""COMPUTED_VALUE"""),173.44)</f>
        <v>173.44</v>
      </c>
      <c r="F1812" s="1">
        <f ca="1">IFERROR(__xludf.DUMMYFUNCTION("""COMPUTED_VALUE"""),97624491)</f>
        <v>97624491</v>
      </c>
      <c r="G1812" s="5">
        <f t="shared" ca="1" si="84"/>
        <v>3.2345479704797127E-2</v>
      </c>
      <c r="H1812" s="14">
        <f t="shared" si="85"/>
        <v>2022</v>
      </c>
      <c r="I1812" s="5">
        <f t="shared" ca="1" si="86"/>
        <v>7.2009291521487172E-3</v>
      </c>
      <c r="J1812" s="16"/>
    </row>
    <row r="1813" spans="1:10" x14ac:dyDescent="0.2">
      <c r="A1813" s="3">
        <v>44904</v>
      </c>
      <c r="B1813" s="1">
        <f ca="1">IFERROR(__xludf.DUMMYFUNCTION("""COMPUTED_VALUE"""),173.84)</f>
        <v>173.84</v>
      </c>
      <c r="C1813" s="1">
        <f ca="1">IFERROR(__xludf.DUMMYFUNCTION("""COMPUTED_VALUE"""),182.5)</f>
        <v>182.5</v>
      </c>
      <c r="D1813" s="1">
        <f ca="1">IFERROR(__xludf.DUMMYFUNCTION("""COMPUTED_VALUE"""),173.36)</f>
        <v>173.36</v>
      </c>
      <c r="E1813" s="1">
        <f ca="1">IFERROR(__xludf.DUMMYFUNCTION("""COMPUTED_VALUE"""),179.05)</f>
        <v>179.05</v>
      </c>
      <c r="F1813" s="1">
        <f ca="1">IFERROR(__xludf.DUMMYFUNCTION("""COMPUTED_VALUE"""),104872336)</f>
        <v>104872336</v>
      </c>
      <c r="G1813" s="5">
        <f t="shared" ca="1" si="84"/>
        <v>-6.2719910639486273E-2</v>
      </c>
      <c r="H1813" s="14">
        <f t="shared" si="85"/>
        <v>2022</v>
      </c>
      <c r="I1813" s="5">
        <f t="shared" ca="1" si="86"/>
        <v>2.9970087436723469E-2</v>
      </c>
      <c r="J1813" s="16"/>
    </row>
    <row r="1814" spans="1:10" x14ac:dyDescent="0.2">
      <c r="A1814" s="3">
        <v>44907</v>
      </c>
      <c r="B1814" s="1">
        <f ca="1">IFERROR(__xludf.DUMMYFUNCTION("""COMPUTED_VALUE"""),176.1)</f>
        <v>176.1</v>
      </c>
      <c r="C1814" s="1">
        <f ca="1">IFERROR(__xludf.DUMMYFUNCTION("""COMPUTED_VALUE"""),177.37)</f>
        <v>177.37</v>
      </c>
      <c r="D1814" s="1">
        <f ca="1">IFERROR(__xludf.DUMMYFUNCTION("""COMPUTED_VALUE"""),167.52)</f>
        <v>167.52</v>
      </c>
      <c r="E1814" s="1">
        <f ca="1">IFERROR(__xludf.DUMMYFUNCTION("""COMPUTED_VALUE"""),167.82)</f>
        <v>167.82</v>
      </c>
      <c r="F1814" s="1">
        <f ca="1">IFERROR(__xludf.DUMMYFUNCTION("""COMPUTED_VALUE"""),109794471)</f>
        <v>109794471</v>
      </c>
      <c r="G1814" s="5">
        <f t="shared" ca="1" si="84"/>
        <v>-4.0936717912048649E-2</v>
      </c>
      <c r="H1814" s="14">
        <f t="shared" si="85"/>
        <v>2022</v>
      </c>
      <c r="I1814" s="5">
        <f t="shared" ca="1" si="86"/>
        <v>-4.7018739352640553E-2</v>
      </c>
      <c r="J1814" s="16"/>
    </row>
    <row r="1815" spans="1:10" x14ac:dyDescent="0.2">
      <c r="A1815" s="3">
        <v>44908</v>
      </c>
      <c r="B1815" s="1">
        <f ca="1">IFERROR(__xludf.DUMMYFUNCTION("""COMPUTED_VALUE"""),174.87)</f>
        <v>174.87</v>
      </c>
      <c r="C1815" s="1">
        <f ca="1">IFERROR(__xludf.DUMMYFUNCTION("""COMPUTED_VALUE"""),175.05)</f>
        <v>175.05</v>
      </c>
      <c r="D1815" s="1">
        <f ca="1">IFERROR(__xludf.DUMMYFUNCTION("""COMPUTED_VALUE"""),156.91)</f>
        <v>156.91</v>
      </c>
      <c r="E1815" s="1">
        <f ca="1">IFERROR(__xludf.DUMMYFUNCTION("""COMPUTED_VALUE"""),160.95)</f>
        <v>160.94999999999999</v>
      </c>
      <c r="F1815" s="1">
        <f ca="1">IFERROR(__xludf.DUMMYFUNCTION("""COMPUTED_VALUE"""),175862722)</f>
        <v>175862722</v>
      </c>
      <c r="G1815" s="5">
        <f t="shared" ca="1" si="84"/>
        <v>-2.5784405094749784E-2</v>
      </c>
      <c r="H1815" s="14">
        <f t="shared" si="85"/>
        <v>2022</v>
      </c>
      <c r="I1815" s="5">
        <f t="shared" ca="1" si="86"/>
        <v>-7.9601990049751339E-2</v>
      </c>
      <c r="J1815" s="16"/>
    </row>
    <row r="1816" spans="1:10" x14ac:dyDescent="0.2">
      <c r="A1816" s="3">
        <v>44909</v>
      </c>
      <c r="B1816" s="1">
        <f ca="1">IFERROR(__xludf.DUMMYFUNCTION("""COMPUTED_VALUE"""),159.25)</f>
        <v>159.25</v>
      </c>
      <c r="C1816" s="1">
        <f ca="1">IFERROR(__xludf.DUMMYFUNCTION("""COMPUTED_VALUE"""),161.62)</f>
        <v>161.62</v>
      </c>
      <c r="D1816" s="1">
        <f ca="1">IFERROR(__xludf.DUMMYFUNCTION("""COMPUTED_VALUE"""),155.31)</f>
        <v>155.31</v>
      </c>
      <c r="E1816" s="1">
        <f ca="1">IFERROR(__xludf.DUMMYFUNCTION("""COMPUTED_VALUE"""),156.8)</f>
        <v>156.80000000000001</v>
      </c>
      <c r="F1816" s="1">
        <f ca="1">IFERROR(__xludf.DUMMYFUNCTION("""COMPUTED_VALUE"""),140682338)</f>
        <v>140682338</v>
      </c>
      <c r="G1816" s="5">
        <f t="shared" ca="1" si="84"/>
        <v>5.5484693877549491E-3</v>
      </c>
      <c r="H1816" s="14">
        <f t="shared" si="85"/>
        <v>2022</v>
      </c>
      <c r="I1816" s="5">
        <f t="shared" ca="1" si="86"/>
        <v>-1.5384615384615313E-2</v>
      </c>
      <c r="J1816" s="16"/>
    </row>
    <row r="1817" spans="1:10" x14ac:dyDescent="0.2">
      <c r="A1817" s="3">
        <v>44910</v>
      </c>
      <c r="B1817" s="1">
        <f ca="1">IFERROR(__xludf.DUMMYFUNCTION("""COMPUTED_VALUE"""),153.44)</f>
        <v>153.44</v>
      </c>
      <c r="C1817" s="1">
        <f ca="1">IFERROR(__xludf.DUMMYFUNCTION("""COMPUTED_VALUE"""),160.93)</f>
        <v>160.93</v>
      </c>
      <c r="D1817" s="1">
        <f ca="1">IFERROR(__xludf.DUMMYFUNCTION("""COMPUTED_VALUE"""),153.28)</f>
        <v>153.28</v>
      </c>
      <c r="E1817" s="1">
        <f ca="1">IFERROR(__xludf.DUMMYFUNCTION("""COMPUTED_VALUE"""),157.67)</f>
        <v>157.66999999999999</v>
      </c>
      <c r="F1817" s="1">
        <f ca="1">IFERROR(__xludf.DUMMYFUNCTION("""COMPUTED_VALUE"""),122334459)</f>
        <v>122334459</v>
      </c>
      <c r="G1817" s="5">
        <f t="shared" ca="1" si="84"/>
        <v>-4.7187163062091697E-2</v>
      </c>
      <c r="H1817" s="14">
        <f t="shared" si="85"/>
        <v>2022</v>
      </c>
      <c r="I1817" s="5">
        <f t="shared" ca="1" si="86"/>
        <v>2.756777893639201E-2</v>
      </c>
      <c r="J1817" s="16"/>
    </row>
    <row r="1818" spans="1:10" x14ac:dyDescent="0.2">
      <c r="A1818" s="3">
        <v>44911</v>
      </c>
      <c r="B1818" s="1">
        <f ca="1">IFERROR(__xludf.DUMMYFUNCTION("""COMPUTED_VALUE"""),159.64)</f>
        <v>159.63999999999999</v>
      </c>
      <c r="C1818" s="1">
        <f ca="1">IFERROR(__xludf.DUMMYFUNCTION("""COMPUTED_VALUE"""),160.99)</f>
        <v>160.99</v>
      </c>
      <c r="D1818" s="1">
        <f ca="1">IFERROR(__xludf.DUMMYFUNCTION("""COMPUTED_VALUE"""),150.04)</f>
        <v>150.04</v>
      </c>
      <c r="E1818" s="1">
        <f ca="1">IFERROR(__xludf.DUMMYFUNCTION("""COMPUTED_VALUE"""),150.23)</f>
        <v>150.22999999999999</v>
      </c>
      <c r="F1818" s="1">
        <f ca="1">IFERROR(__xludf.DUMMYFUNCTION("""COMPUTED_VALUE"""),139032175)</f>
        <v>139032175</v>
      </c>
      <c r="G1818" s="5">
        <f t="shared" ca="1" si="84"/>
        <v>-2.3963256340277257E-3</v>
      </c>
      <c r="H1818" s="14">
        <f t="shared" si="85"/>
        <v>2022</v>
      </c>
      <c r="I1818" s="5">
        <f t="shared" ca="1" si="86"/>
        <v>-5.8945126534703067E-2</v>
      </c>
      <c r="J1818" s="16"/>
    </row>
    <row r="1819" spans="1:10" x14ac:dyDescent="0.2">
      <c r="A1819" s="3">
        <v>44914</v>
      </c>
      <c r="B1819" s="1">
        <f ca="1">IFERROR(__xludf.DUMMYFUNCTION("""COMPUTED_VALUE"""),154)</f>
        <v>154</v>
      </c>
      <c r="C1819" s="1">
        <f ca="1">IFERROR(__xludf.DUMMYFUNCTION("""COMPUTED_VALUE"""),155.25)</f>
        <v>155.25</v>
      </c>
      <c r="D1819" s="1">
        <f ca="1">IFERROR(__xludf.DUMMYFUNCTION("""COMPUTED_VALUE"""),145.82)</f>
        <v>145.82</v>
      </c>
      <c r="E1819" s="1">
        <f ca="1">IFERROR(__xludf.DUMMYFUNCTION("""COMPUTED_VALUE"""),149.87)</f>
        <v>149.87</v>
      </c>
      <c r="F1819" s="1">
        <f ca="1">IFERROR(__xludf.DUMMYFUNCTION("""COMPUTED_VALUE"""),139390634)</f>
        <v>139390634</v>
      </c>
      <c r="G1819" s="5">
        <f t="shared" ca="1" si="84"/>
        <v>-8.0536464936278057E-2</v>
      </c>
      <c r="H1819" s="14">
        <f t="shared" si="85"/>
        <v>2022</v>
      </c>
      <c r="I1819" s="5">
        <f t="shared" ca="1" si="86"/>
        <v>-2.681818181818179E-2</v>
      </c>
      <c r="J1819" s="16"/>
    </row>
    <row r="1820" spans="1:10" x14ac:dyDescent="0.2">
      <c r="A1820" s="3">
        <v>44915</v>
      </c>
      <c r="B1820" s="1">
        <f ca="1">IFERROR(__xludf.DUMMYFUNCTION("""COMPUTED_VALUE"""),146.05)</f>
        <v>146.05000000000001</v>
      </c>
      <c r="C1820" s="1">
        <f ca="1">IFERROR(__xludf.DUMMYFUNCTION("""COMPUTED_VALUE"""),148.47)</f>
        <v>148.47</v>
      </c>
      <c r="D1820" s="1">
        <f ca="1">IFERROR(__xludf.DUMMYFUNCTION("""COMPUTED_VALUE"""),137.66)</f>
        <v>137.66</v>
      </c>
      <c r="E1820" s="1">
        <f ca="1">IFERROR(__xludf.DUMMYFUNCTION("""COMPUTED_VALUE"""),137.8)</f>
        <v>137.80000000000001</v>
      </c>
      <c r="F1820" s="1">
        <f ca="1">IFERROR(__xludf.DUMMYFUNCTION("""COMPUTED_VALUE"""),159563267)</f>
        <v>159563267</v>
      </c>
      <c r="G1820" s="5">
        <f t="shared" ca="1" si="84"/>
        <v>-1.6690856313499142E-3</v>
      </c>
      <c r="H1820" s="14">
        <f t="shared" si="85"/>
        <v>2022</v>
      </c>
      <c r="I1820" s="5">
        <f t="shared" ca="1" si="86"/>
        <v>-5.6487504279356379E-2</v>
      </c>
      <c r="J1820" s="16"/>
    </row>
    <row r="1821" spans="1:10" x14ac:dyDescent="0.2">
      <c r="A1821" s="3">
        <v>44916</v>
      </c>
      <c r="B1821" s="1">
        <f ca="1">IFERROR(__xludf.DUMMYFUNCTION("""COMPUTED_VALUE"""),139.34)</f>
        <v>139.34</v>
      </c>
      <c r="C1821" s="1">
        <f ca="1">IFERROR(__xludf.DUMMYFUNCTION("""COMPUTED_VALUE"""),141.26)</f>
        <v>141.26</v>
      </c>
      <c r="D1821" s="1">
        <f ca="1">IFERROR(__xludf.DUMMYFUNCTION("""COMPUTED_VALUE"""),135.89)</f>
        <v>135.88999999999999</v>
      </c>
      <c r="E1821" s="1">
        <f ca="1">IFERROR(__xludf.DUMMYFUNCTION("""COMPUTED_VALUE"""),137.57)</f>
        <v>137.57</v>
      </c>
      <c r="F1821" s="1">
        <f ca="1">IFERROR(__xludf.DUMMYFUNCTION("""COMPUTED_VALUE"""),145417412)</f>
        <v>145417412</v>
      </c>
      <c r="G1821" s="5">
        <f t="shared" ca="1" si="84"/>
        <v>-8.8827505996946998E-2</v>
      </c>
      <c r="H1821" s="14">
        <f t="shared" si="85"/>
        <v>2022</v>
      </c>
      <c r="I1821" s="5">
        <f t="shared" ca="1" si="86"/>
        <v>-1.2702741495622292E-2</v>
      </c>
      <c r="J1821" s="16"/>
    </row>
    <row r="1822" spans="1:10" x14ac:dyDescent="0.2">
      <c r="A1822" s="3">
        <v>44917</v>
      </c>
      <c r="B1822" s="1">
        <f ca="1">IFERROR(__xludf.DUMMYFUNCTION("""COMPUTED_VALUE"""),136)</f>
        <v>136</v>
      </c>
      <c r="C1822" s="1">
        <f ca="1">IFERROR(__xludf.DUMMYFUNCTION("""COMPUTED_VALUE"""),136.63)</f>
        <v>136.63</v>
      </c>
      <c r="D1822" s="1">
        <f ca="1">IFERROR(__xludf.DUMMYFUNCTION("""COMPUTED_VALUE"""),122.26)</f>
        <v>122.26</v>
      </c>
      <c r="E1822" s="1">
        <f ca="1">IFERROR(__xludf.DUMMYFUNCTION("""COMPUTED_VALUE"""),125.35)</f>
        <v>125.35</v>
      </c>
      <c r="F1822" s="1">
        <f ca="1">IFERROR(__xludf.DUMMYFUNCTION("""COMPUTED_VALUE"""),210090250)</f>
        <v>210090250</v>
      </c>
      <c r="G1822" s="5">
        <f t="shared" ca="1" si="84"/>
        <v>-1.7550857598723484E-2</v>
      </c>
      <c r="H1822" s="14">
        <f t="shared" si="85"/>
        <v>2022</v>
      </c>
      <c r="I1822" s="5">
        <f t="shared" ca="1" si="86"/>
        <v>-7.8308823529411806E-2</v>
      </c>
      <c r="J1822" s="16"/>
    </row>
    <row r="1823" spans="1:10" x14ac:dyDescent="0.2">
      <c r="A1823" s="3">
        <v>44918</v>
      </c>
      <c r="B1823" s="1">
        <f ca="1">IFERROR(__xludf.DUMMYFUNCTION("""COMPUTED_VALUE"""),126.37)</f>
        <v>126.37</v>
      </c>
      <c r="C1823" s="1">
        <f ca="1">IFERROR(__xludf.DUMMYFUNCTION("""COMPUTED_VALUE"""),128.62)</f>
        <v>128.62</v>
      </c>
      <c r="D1823" s="1">
        <f ca="1">IFERROR(__xludf.DUMMYFUNCTION("""COMPUTED_VALUE"""),121.02)</f>
        <v>121.02</v>
      </c>
      <c r="E1823" s="1">
        <f ca="1">IFERROR(__xludf.DUMMYFUNCTION("""COMPUTED_VALUE"""),123.15)</f>
        <v>123.15</v>
      </c>
      <c r="F1823" s="1">
        <f ca="1">IFERROR(__xludf.DUMMYFUNCTION("""COMPUTED_VALUE"""),166989688)</f>
        <v>166989688</v>
      </c>
      <c r="G1823" s="5">
        <f t="shared" ca="1" si="84"/>
        <v>-0.11408850994721892</v>
      </c>
      <c r="H1823" s="14">
        <f t="shared" si="85"/>
        <v>2022</v>
      </c>
      <c r="I1823" s="5">
        <f t="shared" ca="1" si="86"/>
        <v>-2.5480731186199247E-2</v>
      </c>
      <c r="J1823" s="16"/>
    </row>
    <row r="1824" spans="1:10" x14ac:dyDescent="0.2">
      <c r="A1824" s="3">
        <v>44922</v>
      </c>
      <c r="B1824" s="1">
        <f ca="1">IFERROR(__xludf.DUMMYFUNCTION("""COMPUTED_VALUE"""),117.5)</f>
        <v>117.5</v>
      </c>
      <c r="C1824" s="1">
        <f ca="1">IFERROR(__xludf.DUMMYFUNCTION("""COMPUTED_VALUE"""),119.67)</f>
        <v>119.67</v>
      </c>
      <c r="D1824" s="1">
        <f ca="1">IFERROR(__xludf.DUMMYFUNCTION("""COMPUTED_VALUE"""),108.76)</f>
        <v>108.76</v>
      </c>
      <c r="E1824" s="1">
        <f ca="1">IFERROR(__xludf.DUMMYFUNCTION("""COMPUTED_VALUE"""),109.1)</f>
        <v>109.1</v>
      </c>
      <c r="F1824" s="1">
        <f ca="1">IFERROR(__xludf.DUMMYFUNCTION("""COMPUTED_VALUE"""),208643444)</f>
        <v>208643444</v>
      </c>
      <c r="G1824" s="5">
        <f t="shared" ca="1" si="84"/>
        <v>3.3088909257561867E-2</v>
      </c>
      <c r="H1824" s="14">
        <f t="shared" si="85"/>
        <v>2022</v>
      </c>
      <c r="I1824" s="5">
        <f t="shared" ca="1" si="86"/>
        <v>-7.1489361702127704E-2</v>
      </c>
      <c r="J1824" s="16"/>
    </row>
    <row r="1825" spans="1:10" x14ac:dyDescent="0.2">
      <c r="A1825" s="3">
        <v>44923</v>
      </c>
      <c r="B1825" s="1">
        <f ca="1">IFERROR(__xludf.DUMMYFUNCTION("""COMPUTED_VALUE"""),110.35)</f>
        <v>110.35</v>
      </c>
      <c r="C1825" s="1">
        <f ca="1">IFERROR(__xludf.DUMMYFUNCTION("""COMPUTED_VALUE"""),116.27)</f>
        <v>116.27</v>
      </c>
      <c r="D1825" s="1">
        <f ca="1">IFERROR(__xludf.DUMMYFUNCTION("""COMPUTED_VALUE"""),108.24)</f>
        <v>108.24</v>
      </c>
      <c r="E1825" s="1">
        <f ca="1">IFERROR(__xludf.DUMMYFUNCTION("""COMPUTED_VALUE"""),112.71)</f>
        <v>112.71</v>
      </c>
      <c r="F1825" s="1">
        <f ca="1">IFERROR(__xludf.DUMMYFUNCTION("""COMPUTED_VALUE"""),221070537)</f>
        <v>221070537</v>
      </c>
      <c r="G1825" s="5">
        <f t="shared" ca="1" si="84"/>
        <v>8.0826900896105044E-2</v>
      </c>
      <c r="H1825" s="14">
        <f t="shared" si="85"/>
        <v>2022</v>
      </c>
      <c r="I1825" s="5">
        <f t="shared" ca="1" si="86"/>
        <v>2.1386497507929311E-2</v>
      </c>
      <c r="J1825" s="16"/>
    </row>
    <row r="1826" spans="1:10" x14ac:dyDescent="0.2">
      <c r="A1826" s="3">
        <v>44924</v>
      </c>
      <c r="B1826" s="1">
        <f ca="1">IFERROR(__xludf.DUMMYFUNCTION("""COMPUTED_VALUE"""),120.39)</f>
        <v>120.39</v>
      </c>
      <c r="C1826" s="1">
        <f ca="1">IFERROR(__xludf.DUMMYFUNCTION("""COMPUTED_VALUE"""),123.57)</f>
        <v>123.57</v>
      </c>
      <c r="D1826" s="1">
        <f ca="1">IFERROR(__xludf.DUMMYFUNCTION("""COMPUTED_VALUE"""),117.5)</f>
        <v>117.5</v>
      </c>
      <c r="E1826" s="1">
        <f ca="1">IFERROR(__xludf.DUMMYFUNCTION("""COMPUTED_VALUE"""),121.82)</f>
        <v>121.82</v>
      </c>
      <c r="F1826" s="1">
        <f ca="1">IFERROR(__xludf.DUMMYFUNCTION("""COMPUTED_VALUE"""),221923313)</f>
        <v>221923313</v>
      </c>
      <c r="G1826" s="5">
        <f t="shared" ca="1" si="84"/>
        <v>1.1164012477425822E-2</v>
      </c>
      <c r="H1826" s="14">
        <f t="shared" si="85"/>
        <v>2022</v>
      </c>
      <c r="I1826" s="5">
        <f t="shared" ca="1" si="86"/>
        <v>1.1878062962039975E-2</v>
      </c>
      <c r="J1826" s="16"/>
    </row>
    <row r="1827" spans="1:10" x14ac:dyDescent="0.2">
      <c r="A1827" s="3">
        <v>44925</v>
      </c>
      <c r="B1827" s="1">
        <f ca="1">IFERROR(__xludf.DUMMYFUNCTION("""COMPUTED_VALUE"""),119.95)</f>
        <v>119.95</v>
      </c>
      <c r="C1827" s="1">
        <f ca="1">IFERROR(__xludf.DUMMYFUNCTION("""COMPUTED_VALUE"""),124.48)</f>
        <v>124.48</v>
      </c>
      <c r="D1827" s="1">
        <f ca="1">IFERROR(__xludf.DUMMYFUNCTION("""COMPUTED_VALUE"""),119.75)</f>
        <v>119.75</v>
      </c>
      <c r="E1827" s="1">
        <f ca="1">IFERROR(__xludf.DUMMYFUNCTION("""COMPUTED_VALUE"""),123.18)</f>
        <v>123.18</v>
      </c>
      <c r="F1827" s="1">
        <f ca="1">IFERROR(__xludf.DUMMYFUNCTION("""COMPUTED_VALUE"""),157777339)</f>
        <v>157777339</v>
      </c>
      <c r="G1827" s="5">
        <f t="shared" ca="1" si="84"/>
        <v>-0.12242247118038652</v>
      </c>
      <c r="H1827" s="14">
        <f t="shared" si="85"/>
        <v>2022</v>
      </c>
      <c r="I1827" s="5">
        <f t="shared" ca="1" si="86"/>
        <v>2.6927886619424794E-2</v>
      </c>
      <c r="J1827" s="16"/>
    </row>
    <row r="1828" spans="1:10" x14ac:dyDescent="0.2">
      <c r="A1828" s="3">
        <v>44929</v>
      </c>
      <c r="B1828" s="1">
        <f ca="1">IFERROR(__xludf.DUMMYFUNCTION("""COMPUTED_VALUE"""),118.47)</f>
        <v>118.47</v>
      </c>
      <c r="C1828" s="1">
        <f ca="1">IFERROR(__xludf.DUMMYFUNCTION("""COMPUTED_VALUE"""),118.8)</f>
        <v>118.8</v>
      </c>
      <c r="D1828" s="1">
        <f ca="1">IFERROR(__xludf.DUMMYFUNCTION("""COMPUTED_VALUE"""),104.64)</f>
        <v>104.64</v>
      </c>
      <c r="E1828" s="1">
        <f ca="1">IFERROR(__xludf.DUMMYFUNCTION("""COMPUTED_VALUE"""),108.1)</f>
        <v>108.1</v>
      </c>
      <c r="F1828" s="1">
        <f ca="1">IFERROR(__xludf.DUMMYFUNCTION("""COMPUTED_VALUE"""),231402818)</f>
        <v>231402818</v>
      </c>
      <c r="G1828" s="5">
        <f t="shared" ca="1" si="84"/>
        <v>5.1248843663274805E-2</v>
      </c>
      <c r="H1828" s="14">
        <f t="shared" si="85"/>
        <v>2023</v>
      </c>
      <c r="I1828" s="5">
        <f t="shared" ca="1" si="86"/>
        <v>-8.7532708702625181E-2</v>
      </c>
      <c r="J1828" s="16"/>
    </row>
    <row r="1829" spans="1:10" x14ac:dyDescent="0.2">
      <c r="A1829" s="3">
        <v>44930</v>
      </c>
      <c r="B1829" s="1">
        <f ca="1">IFERROR(__xludf.DUMMYFUNCTION("""COMPUTED_VALUE"""),109.11)</f>
        <v>109.11</v>
      </c>
      <c r="C1829" s="1">
        <f ca="1">IFERROR(__xludf.DUMMYFUNCTION("""COMPUTED_VALUE"""),114.59)</f>
        <v>114.59</v>
      </c>
      <c r="D1829" s="1">
        <f ca="1">IFERROR(__xludf.DUMMYFUNCTION("""COMPUTED_VALUE"""),107.52)</f>
        <v>107.52</v>
      </c>
      <c r="E1829" s="1">
        <f ca="1">IFERROR(__xludf.DUMMYFUNCTION("""COMPUTED_VALUE"""),113.64)</f>
        <v>113.64</v>
      </c>
      <c r="F1829" s="1">
        <f ca="1">IFERROR(__xludf.DUMMYFUNCTION("""COMPUTED_VALUE"""),180388976)</f>
        <v>180388976</v>
      </c>
      <c r="G1829" s="5">
        <f t="shared" ca="1" si="84"/>
        <v>-2.9039070749735982E-2</v>
      </c>
      <c r="H1829" s="14">
        <f t="shared" si="85"/>
        <v>2023</v>
      </c>
      <c r="I1829" s="5">
        <f t="shared" ca="1" si="86"/>
        <v>4.1517734396480627E-2</v>
      </c>
      <c r="J1829" s="16"/>
    </row>
    <row r="1830" spans="1:10" x14ac:dyDescent="0.2">
      <c r="A1830" s="3">
        <v>44931</v>
      </c>
      <c r="B1830" s="1">
        <f ca="1">IFERROR(__xludf.DUMMYFUNCTION("""COMPUTED_VALUE"""),110.51)</f>
        <v>110.51</v>
      </c>
      <c r="C1830" s="1">
        <f ca="1">IFERROR(__xludf.DUMMYFUNCTION("""COMPUTED_VALUE"""),111.75)</f>
        <v>111.75</v>
      </c>
      <c r="D1830" s="1">
        <f ca="1">IFERROR(__xludf.DUMMYFUNCTION("""COMPUTED_VALUE"""),107.16)</f>
        <v>107.16</v>
      </c>
      <c r="E1830" s="1">
        <f ca="1">IFERROR(__xludf.DUMMYFUNCTION("""COMPUTED_VALUE"""),110.34)</f>
        <v>110.34</v>
      </c>
      <c r="F1830" s="1">
        <f ca="1">IFERROR(__xludf.DUMMYFUNCTION("""COMPUTED_VALUE"""),157986324)</f>
        <v>157986324</v>
      </c>
      <c r="G1830" s="5">
        <f t="shared" ca="1" si="84"/>
        <v>2.4651078484683692E-2</v>
      </c>
      <c r="H1830" s="14">
        <f t="shared" si="85"/>
        <v>2023</v>
      </c>
      <c r="I1830" s="5">
        <f t="shared" ca="1" si="86"/>
        <v>-1.5383223237716197E-3</v>
      </c>
      <c r="J1830" s="16"/>
    </row>
    <row r="1831" spans="1:10" x14ac:dyDescent="0.2">
      <c r="A1831" s="3">
        <v>44932</v>
      </c>
      <c r="B1831" s="1">
        <f ca="1">IFERROR(__xludf.DUMMYFUNCTION("""COMPUTED_VALUE"""),103)</f>
        <v>103</v>
      </c>
      <c r="C1831" s="1">
        <f ca="1">IFERROR(__xludf.DUMMYFUNCTION("""COMPUTED_VALUE"""),114.39)</f>
        <v>114.39</v>
      </c>
      <c r="D1831" s="1">
        <f ca="1">IFERROR(__xludf.DUMMYFUNCTION("""COMPUTED_VALUE"""),101.81)</f>
        <v>101.81</v>
      </c>
      <c r="E1831" s="1">
        <f ca="1">IFERROR(__xludf.DUMMYFUNCTION("""COMPUTED_VALUE"""),113.06)</f>
        <v>113.06</v>
      </c>
      <c r="F1831" s="1">
        <f ca="1">IFERROR(__xludf.DUMMYFUNCTION("""COMPUTED_VALUE"""),220911051)</f>
        <v>220911051</v>
      </c>
      <c r="G1831" s="5">
        <f t="shared" ca="1" si="84"/>
        <v>5.9349018220413885E-2</v>
      </c>
      <c r="H1831" s="14">
        <f t="shared" si="85"/>
        <v>2023</v>
      </c>
      <c r="I1831" s="5">
        <f t="shared" ca="1" si="86"/>
        <v>9.7669902912621384E-2</v>
      </c>
      <c r="J1831" s="16"/>
    </row>
    <row r="1832" spans="1:10" x14ac:dyDescent="0.2">
      <c r="A1832" s="3">
        <v>44935</v>
      </c>
      <c r="B1832" s="1">
        <f ca="1">IFERROR(__xludf.DUMMYFUNCTION("""COMPUTED_VALUE"""),118.96)</f>
        <v>118.96</v>
      </c>
      <c r="C1832" s="1">
        <f ca="1">IFERROR(__xludf.DUMMYFUNCTION("""COMPUTED_VALUE"""),123.52)</f>
        <v>123.52</v>
      </c>
      <c r="D1832" s="1">
        <f ca="1">IFERROR(__xludf.DUMMYFUNCTION("""COMPUTED_VALUE"""),117.11)</f>
        <v>117.11</v>
      </c>
      <c r="E1832" s="1">
        <f ca="1">IFERROR(__xludf.DUMMYFUNCTION("""COMPUTED_VALUE"""),119.77)</f>
        <v>119.77</v>
      </c>
      <c r="F1832" s="1">
        <f ca="1">IFERROR(__xludf.DUMMYFUNCTION("""COMPUTED_VALUE"""),190283951)</f>
        <v>190283951</v>
      </c>
      <c r="G1832" s="5">
        <f t="shared" ca="1" si="84"/>
        <v>-7.6813893295483151E-3</v>
      </c>
      <c r="H1832" s="14">
        <f t="shared" si="85"/>
        <v>2023</v>
      </c>
      <c r="I1832" s="5">
        <f t="shared" ca="1" si="86"/>
        <v>6.8090114324142765E-3</v>
      </c>
      <c r="J1832" s="16"/>
    </row>
    <row r="1833" spans="1:10" x14ac:dyDescent="0.2">
      <c r="A1833" s="3">
        <v>44936</v>
      </c>
      <c r="B1833" s="1">
        <f ca="1">IFERROR(__xludf.DUMMYFUNCTION("""COMPUTED_VALUE"""),121.07)</f>
        <v>121.07</v>
      </c>
      <c r="C1833" s="1">
        <f ca="1">IFERROR(__xludf.DUMMYFUNCTION("""COMPUTED_VALUE"""),122.76)</f>
        <v>122.76</v>
      </c>
      <c r="D1833" s="1">
        <f ca="1">IFERROR(__xludf.DUMMYFUNCTION("""COMPUTED_VALUE"""),114.92)</f>
        <v>114.92</v>
      </c>
      <c r="E1833" s="1">
        <f ca="1">IFERROR(__xludf.DUMMYFUNCTION("""COMPUTED_VALUE"""),118.85)</f>
        <v>118.85</v>
      </c>
      <c r="F1833" s="1">
        <f ca="1">IFERROR(__xludf.DUMMYFUNCTION("""COMPUTED_VALUE"""),167642485)</f>
        <v>167642485</v>
      </c>
      <c r="G1833" s="5">
        <f t="shared" ca="1" si="84"/>
        <v>3.6769036600757296E-2</v>
      </c>
      <c r="H1833" s="14">
        <f t="shared" si="85"/>
        <v>2023</v>
      </c>
      <c r="I1833" s="5">
        <f t="shared" ca="1" si="86"/>
        <v>-1.8336499545717345E-2</v>
      </c>
      <c r="J1833" s="16"/>
    </row>
    <row r="1834" spans="1:10" x14ac:dyDescent="0.2">
      <c r="A1834" s="3">
        <v>44937</v>
      </c>
      <c r="B1834" s="1">
        <f ca="1">IFERROR(__xludf.DUMMYFUNCTION("""COMPUTED_VALUE"""),122.09)</f>
        <v>122.09</v>
      </c>
      <c r="C1834" s="1">
        <f ca="1">IFERROR(__xludf.DUMMYFUNCTION("""COMPUTED_VALUE"""),125.95)</f>
        <v>125.95</v>
      </c>
      <c r="D1834" s="1">
        <f ca="1">IFERROR(__xludf.DUMMYFUNCTION("""COMPUTED_VALUE"""),120.51)</f>
        <v>120.51</v>
      </c>
      <c r="E1834" s="1">
        <f ca="1">IFERROR(__xludf.DUMMYFUNCTION("""COMPUTED_VALUE"""),123.22)</f>
        <v>123.22</v>
      </c>
      <c r="F1834" s="1">
        <f ca="1">IFERROR(__xludf.DUMMYFUNCTION("""COMPUTED_VALUE"""),183810771)</f>
        <v>183810771</v>
      </c>
      <c r="G1834" s="5">
        <f t="shared" ca="1" si="84"/>
        <v>2.759292322674918E-3</v>
      </c>
      <c r="H1834" s="14">
        <f t="shared" si="85"/>
        <v>2023</v>
      </c>
      <c r="I1834" s="5">
        <f t="shared" ca="1" si="86"/>
        <v>9.2554672782373289E-3</v>
      </c>
      <c r="J1834" s="16"/>
    </row>
    <row r="1835" spans="1:10" x14ac:dyDescent="0.2">
      <c r="A1835" s="3">
        <v>44938</v>
      </c>
      <c r="B1835" s="1">
        <f ca="1">IFERROR(__xludf.DUMMYFUNCTION("""COMPUTED_VALUE"""),122.56)</f>
        <v>122.56</v>
      </c>
      <c r="C1835" s="1">
        <f ca="1">IFERROR(__xludf.DUMMYFUNCTION("""COMPUTED_VALUE"""),124.13)</f>
        <v>124.13</v>
      </c>
      <c r="D1835" s="1">
        <f ca="1">IFERROR(__xludf.DUMMYFUNCTION("""COMPUTED_VALUE"""),117)</f>
        <v>117</v>
      </c>
      <c r="E1835" s="1">
        <f ca="1">IFERROR(__xludf.DUMMYFUNCTION("""COMPUTED_VALUE"""),123.56)</f>
        <v>123.56</v>
      </c>
      <c r="F1835" s="1">
        <f ca="1">IFERROR(__xludf.DUMMYFUNCTION("""COMPUTED_VALUE"""),169400913)</f>
        <v>169400913</v>
      </c>
      <c r="G1835" s="5">
        <f t="shared" ca="1" si="84"/>
        <v>-9.3881515053415073E-3</v>
      </c>
      <c r="H1835" s="14">
        <f t="shared" si="85"/>
        <v>2023</v>
      </c>
      <c r="I1835" s="5">
        <f t="shared" ca="1" si="86"/>
        <v>8.1592689295039156E-3</v>
      </c>
      <c r="J1835" s="16"/>
    </row>
    <row r="1836" spans="1:10" x14ac:dyDescent="0.2">
      <c r="A1836" s="3">
        <v>44939</v>
      </c>
      <c r="B1836" s="1">
        <f ca="1">IFERROR(__xludf.DUMMYFUNCTION("""COMPUTED_VALUE"""),116.55)</f>
        <v>116.55</v>
      </c>
      <c r="C1836" s="1">
        <f ca="1">IFERROR(__xludf.DUMMYFUNCTION("""COMPUTED_VALUE"""),122.63)</f>
        <v>122.63</v>
      </c>
      <c r="D1836" s="1">
        <f ca="1">IFERROR(__xludf.DUMMYFUNCTION("""COMPUTED_VALUE"""),115.6)</f>
        <v>115.6</v>
      </c>
      <c r="E1836" s="1">
        <f ca="1">IFERROR(__xludf.DUMMYFUNCTION("""COMPUTED_VALUE"""),122.4)</f>
        <v>122.4</v>
      </c>
      <c r="F1836" s="1">
        <f ca="1">IFERROR(__xludf.DUMMYFUNCTION("""COMPUTED_VALUE"""),180714119)</f>
        <v>180714119</v>
      </c>
      <c r="G1836" s="5">
        <f t="shared" ca="1" si="84"/>
        <v>7.4264705882352969E-2</v>
      </c>
      <c r="H1836" s="14">
        <f t="shared" si="85"/>
        <v>2023</v>
      </c>
      <c r="I1836" s="5">
        <f t="shared" ca="1" si="86"/>
        <v>5.0193050193050266E-2</v>
      </c>
      <c r="J1836" s="16"/>
    </row>
    <row r="1837" spans="1:10" x14ac:dyDescent="0.2">
      <c r="A1837" s="3">
        <v>44943</v>
      </c>
      <c r="B1837" s="1">
        <f ca="1">IFERROR(__xludf.DUMMYFUNCTION("""COMPUTED_VALUE"""),125.7)</f>
        <v>125.7</v>
      </c>
      <c r="C1837" s="1">
        <f ca="1">IFERROR(__xludf.DUMMYFUNCTION("""COMPUTED_VALUE"""),131.7)</f>
        <v>131.69999999999999</v>
      </c>
      <c r="D1837" s="1">
        <f ca="1">IFERROR(__xludf.DUMMYFUNCTION("""COMPUTED_VALUE"""),125.02)</f>
        <v>125.02</v>
      </c>
      <c r="E1837" s="1">
        <f ca="1">IFERROR(__xludf.DUMMYFUNCTION("""COMPUTED_VALUE"""),131.49)</f>
        <v>131.49</v>
      </c>
      <c r="F1837" s="1">
        <f ca="1">IFERROR(__xludf.DUMMYFUNCTION("""COMPUTED_VALUE"""),186476985)</f>
        <v>186476985</v>
      </c>
      <c r="G1837" s="5">
        <f t="shared" ca="1" si="84"/>
        <v>-2.0609932314244489E-2</v>
      </c>
      <c r="H1837" s="14">
        <f t="shared" si="85"/>
        <v>2023</v>
      </c>
      <c r="I1837" s="5">
        <f t="shared" ca="1" si="86"/>
        <v>4.6062052505966636E-2</v>
      </c>
      <c r="J1837" s="16"/>
    </row>
    <row r="1838" spans="1:10" x14ac:dyDescent="0.2">
      <c r="A1838" s="3">
        <v>44944</v>
      </c>
      <c r="B1838" s="1">
        <f ca="1">IFERROR(__xludf.DUMMYFUNCTION("""COMPUTED_VALUE"""),136.56)</f>
        <v>136.56</v>
      </c>
      <c r="C1838" s="1">
        <f ca="1">IFERROR(__xludf.DUMMYFUNCTION("""COMPUTED_VALUE"""),136.68)</f>
        <v>136.68</v>
      </c>
      <c r="D1838" s="1">
        <f ca="1">IFERROR(__xludf.DUMMYFUNCTION("""COMPUTED_VALUE"""),127.01)</f>
        <v>127.01</v>
      </c>
      <c r="E1838" s="1">
        <f ca="1">IFERROR(__xludf.DUMMYFUNCTION("""COMPUTED_VALUE"""),128.78)</f>
        <v>128.78</v>
      </c>
      <c r="F1838" s="1">
        <f ca="1">IFERROR(__xludf.DUMMYFUNCTION("""COMPUTED_VALUE"""),195680318)</f>
        <v>195680318</v>
      </c>
      <c r="G1838" s="5">
        <f t="shared" ca="1" si="84"/>
        <v>-1.2501941295232175E-2</v>
      </c>
      <c r="H1838" s="14">
        <f t="shared" si="85"/>
        <v>2023</v>
      </c>
      <c r="I1838" s="5">
        <f t="shared" ca="1" si="86"/>
        <v>-5.6971294669009964E-2</v>
      </c>
      <c r="J1838" s="16"/>
    </row>
    <row r="1839" spans="1:10" x14ac:dyDescent="0.2">
      <c r="A1839" s="3">
        <v>44945</v>
      </c>
      <c r="B1839" s="1">
        <f ca="1">IFERROR(__xludf.DUMMYFUNCTION("""COMPUTED_VALUE"""),127.26)</f>
        <v>127.26</v>
      </c>
      <c r="C1839" s="1">
        <f ca="1">IFERROR(__xludf.DUMMYFUNCTION("""COMPUTED_VALUE"""),129.99)</f>
        <v>129.99</v>
      </c>
      <c r="D1839" s="1">
        <f ca="1">IFERROR(__xludf.DUMMYFUNCTION("""COMPUTED_VALUE"""),124.31)</f>
        <v>124.31</v>
      </c>
      <c r="E1839" s="1">
        <f ca="1">IFERROR(__xludf.DUMMYFUNCTION("""COMPUTED_VALUE"""),127.17)</f>
        <v>127.17</v>
      </c>
      <c r="F1839" s="1">
        <f ca="1">IFERROR(__xludf.DUMMYFUNCTION("""COMPUTED_VALUE"""),170291880)</f>
        <v>170291880</v>
      </c>
      <c r="G1839" s="5">
        <f t="shared" ca="1" si="84"/>
        <v>4.914681135487918E-2</v>
      </c>
      <c r="H1839" s="14">
        <f t="shared" si="85"/>
        <v>2023</v>
      </c>
      <c r="I1839" s="5">
        <f t="shared" ca="1" si="86"/>
        <v>-7.0721357850073402E-4</v>
      </c>
      <c r="J1839" s="16"/>
    </row>
    <row r="1840" spans="1:10" x14ac:dyDescent="0.2">
      <c r="A1840" s="3">
        <v>44946</v>
      </c>
      <c r="B1840" s="1">
        <f ca="1">IFERROR(__xludf.DUMMYFUNCTION("""COMPUTED_VALUE"""),128.68)</f>
        <v>128.68</v>
      </c>
      <c r="C1840" s="1">
        <f ca="1">IFERROR(__xludf.DUMMYFUNCTION("""COMPUTED_VALUE"""),133.51)</f>
        <v>133.51</v>
      </c>
      <c r="D1840" s="1">
        <f ca="1">IFERROR(__xludf.DUMMYFUNCTION("""COMPUTED_VALUE"""),127.35)</f>
        <v>127.35</v>
      </c>
      <c r="E1840" s="1">
        <f ca="1">IFERROR(__xludf.DUMMYFUNCTION("""COMPUTED_VALUE"""),133.42)</f>
        <v>133.41999999999999</v>
      </c>
      <c r="F1840" s="1">
        <f ca="1">IFERROR(__xludf.DUMMYFUNCTION("""COMPUTED_VALUE"""),138858136)</f>
        <v>138858136</v>
      </c>
      <c r="G1840" s="5">
        <f t="shared" ca="1" si="84"/>
        <v>7.7424673961924845E-2</v>
      </c>
      <c r="H1840" s="14">
        <f t="shared" si="85"/>
        <v>2023</v>
      </c>
      <c r="I1840" s="5">
        <f t="shared" ca="1" si="86"/>
        <v>3.6835561081753031E-2</v>
      </c>
      <c r="J1840" s="16"/>
    </row>
    <row r="1841" spans="1:10" x14ac:dyDescent="0.2">
      <c r="A1841" s="3">
        <v>44949</v>
      </c>
      <c r="B1841" s="1">
        <f ca="1">IFERROR(__xludf.DUMMYFUNCTION("""COMPUTED_VALUE"""),135.87)</f>
        <v>135.87</v>
      </c>
      <c r="C1841" s="1">
        <f ca="1">IFERROR(__xludf.DUMMYFUNCTION("""COMPUTED_VALUE"""),145.38)</f>
        <v>145.38</v>
      </c>
      <c r="D1841" s="1">
        <f ca="1">IFERROR(__xludf.DUMMYFUNCTION("""COMPUTED_VALUE"""),134.27)</f>
        <v>134.27000000000001</v>
      </c>
      <c r="E1841" s="1">
        <f ca="1">IFERROR(__xludf.DUMMYFUNCTION("""COMPUTED_VALUE"""),143.75)</f>
        <v>143.75</v>
      </c>
      <c r="F1841" s="1">
        <f ca="1">IFERROR(__xludf.DUMMYFUNCTION("""COMPUTED_VALUE"""),203119211)</f>
        <v>203119211</v>
      </c>
      <c r="G1841" s="5">
        <f t="shared" ca="1" si="84"/>
        <v>9.7391304347816592E-4</v>
      </c>
      <c r="H1841" s="14">
        <f t="shared" si="85"/>
        <v>2023</v>
      </c>
      <c r="I1841" s="5">
        <f t="shared" ca="1" si="86"/>
        <v>5.7996614410833848E-2</v>
      </c>
      <c r="J1841" s="16"/>
    </row>
    <row r="1842" spans="1:10" x14ac:dyDescent="0.2">
      <c r="A1842" s="3">
        <v>44950</v>
      </c>
      <c r="B1842" s="1">
        <f ca="1">IFERROR(__xludf.DUMMYFUNCTION("""COMPUTED_VALUE"""),143)</f>
        <v>143</v>
      </c>
      <c r="C1842" s="1">
        <f ca="1">IFERROR(__xludf.DUMMYFUNCTION("""COMPUTED_VALUE"""),146.5)</f>
        <v>146.5</v>
      </c>
      <c r="D1842" s="1">
        <f ca="1">IFERROR(__xludf.DUMMYFUNCTION("""COMPUTED_VALUE"""),141.1)</f>
        <v>141.1</v>
      </c>
      <c r="E1842" s="1">
        <f ca="1">IFERROR(__xludf.DUMMYFUNCTION("""COMPUTED_VALUE"""),143.89)</f>
        <v>143.88999999999999</v>
      </c>
      <c r="F1842" s="1">
        <f ca="1">IFERROR(__xludf.DUMMYFUNCTION("""COMPUTED_VALUE"""),158699056)</f>
        <v>158699056</v>
      </c>
      <c r="G1842" s="5">
        <f t="shared" ca="1" si="84"/>
        <v>3.752866773229693E-3</v>
      </c>
      <c r="H1842" s="14">
        <f t="shared" si="85"/>
        <v>2023</v>
      </c>
      <c r="I1842" s="5">
        <f t="shared" ca="1" si="86"/>
        <v>6.2237762237761281E-3</v>
      </c>
      <c r="J1842" s="16"/>
    </row>
    <row r="1843" spans="1:10" x14ac:dyDescent="0.2">
      <c r="A1843" s="3">
        <v>44951</v>
      </c>
      <c r="B1843" s="1">
        <f ca="1">IFERROR(__xludf.DUMMYFUNCTION("""COMPUTED_VALUE"""),141.91)</f>
        <v>141.91</v>
      </c>
      <c r="C1843" s="1">
        <f ca="1">IFERROR(__xludf.DUMMYFUNCTION("""COMPUTED_VALUE"""),146.41)</f>
        <v>146.41</v>
      </c>
      <c r="D1843" s="1">
        <f ca="1">IFERROR(__xludf.DUMMYFUNCTION("""COMPUTED_VALUE"""),138.07)</f>
        <v>138.07</v>
      </c>
      <c r="E1843" s="1">
        <f ca="1">IFERROR(__xludf.DUMMYFUNCTION("""COMPUTED_VALUE"""),144.43)</f>
        <v>144.43</v>
      </c>
      <c r="F1843" s="1">
        <f ca="1">IFERROR(__xludf.DUMMYFUNCTION("""COMPUTED_VALUE"""),192734347)</f>
        <v>192734347</v>
      </c>
      <c r="G1843" s="5">
        <f t="shared" ca="1" si="84"/>
        <v>0.10967250571210969</v>
      </c>
      <c r="H1843" s="14">
        <f t="shared" si="85"/>
        <v>2023</v>
      </c>
      <c r="I1843" s="5">
        <f t="shared" ca="1" si="86"/>
        <v>1.7757733774927845E-2</v>
      </c>
      <c r="J1843" s="16"/>
    </row>
    <row r="1844" spans="1:10" x14ac:dyDescent="0.2">
      <c r="A1844" s="3">
        <v>44952</v>
      </c>
      <c r="B1844" s="1">
        <f ca="1">IFERROR(__xludf.DUMMYFUNCTION("""COMPUTED_VALUE"""),159.97)</f>
        <v>159.97</v>
      </c>
      <c r="C1844" s="1">
        <f ca="1">IFERROR(__xludf.DUMMYFUNCTION("""COMPUTED_VALUE"""),161.42)</f>
        <v>161.41999999999999</v>
      </c>
      <c r="D1844" s="1">
        <f ca="1">IFERROR(__xludf.DUMMYFUNCTION("""COMPUTED_VALUE"""),154.76)</f>
        <v>154.76</v>
      </c>
      <c r="E1844" s="1">
        <f ca="1">IFERROR(__xludf.DUMMYFUNCTION("""COMPUTED_VALUE"""),160.27)</f>
        <v>160.27000000000001</v>
      </c>
      <c r="F1844" s="1">
        <f ca="1">IFERROR(__xludf.DUMMYFUNCTION("""COMPUTED_VALUE"""),234815090)</f>
        <v>234815090</v>
      </c>
      <c r="G1844" s="5">
        <f t="shared" ca="1" si="84"/>
        <v>0.11000187184126782</v>
      </c>
      <c r="H1844" s="14">
        <f t="shared" si="85"/>
        <v>2023</v>
      </c>
      <c r="I1844" s="5">
        <f t="shared" ca="1" si="86"/>
        <v>1.8753516284304018E-3</v>
      </c>
      <c r="J1844" s="16"/>
    </row>
    <row r="1845" spans="1:10" x14ac:dyDescent="0.2">
      <c r="A1845" s="3">
        <v>44953</v>
      </c>
      <c r="B1845" s="1">
        <f ca="1">IFERROR(__xludf.DUMMYFUNCTION("""COMPUTED_VALUE"""),162.43)</f>
        <v>162.43</v>
      </c>
      <c r="C1845" s="1">
        <f ca="1">IFERROR(__xludf.DUMMYFUNCTION("""COMPUTED_VALUE"""),180.68)</f>
        <v>180.68</v>
      </c>
      <c r="D1845" s="1">
        <f ca="1">IFERROR(__xludf.DUMMYFUNCTION("""COMPUTED_VALUE"""),161.17)</f>
        <v>161.16999999999999</v>
      </c>
      <c r="E1845" s="1">
        <f ca="1">IFERROR(__xludf.DUMMYFUNCTION("""COMPUTED_VALUE"""),177.9)</f>
        <v>177.9</v>
      </c>
      <c r="F1845" s="1">
        <f ca="1">IFERROR(__xludf.DUMMYFUNCTION("""COMPUTED_VALUE"""),306590613)</f>
        <v>306590613</v>
      </c>
      <c r="G1845" s="5">
        <f t="shared" ca="1" si="84"/>
        <v>-6.3181562675660538E-2</v>
      </c>
      <c r="H1845" s="14">
        <f t="shared" si="85"/>
        <v>2023</v>
      </c>
      <c r="I1845" s="5">
        <f t="shared" ca="1" si="86"/>
        <v>9.5241026903897047E-2</v>
      </c>
      <c r="J1845" s="16"/>
    </row>
    <row r="1846" spans="1:10" x14ac:dyDescent="0.2">
      <c r="A1846" s="3">
        <v>44956</v>
      </c>
      <c r="B1846" s="1">
        <f ca="1">IFERROR(__xludf.DUMMYFUNCTION("""COMPUTED_VALUE"""),178.05)</f>
        <v>178.05</v>
      </c>
      <c r="C1846" s="1">
        <f ca="1">IFERROR(__xludf.DUMMYFUNCTION("""COMPUTED_VALUE"""),179.77)</f>
        <v>179.77</v>
      </c>
      <c r="D1846" s="1">
        <f ca="1">IFERROR(__xludf.DUMMYFUNCTION("""COMPUTED_VALUE"""),166.5)</f>
        <v>166.5</v>
      </c>
      <c r="E1846" s="1">
        <f ca="1">IFERROR(__xludf.DUMMYFUNCTION("""COMPUTED_VALUE"""),166.66)</f>
        <v>166.66</v>
      </c>
      <c r="F1846" s="1">
        <f ca="1">IFERROR(__xludf.DUMMYFUNCTION("""COMPUTED_VALUE"""),230878807)</f>
        <v>230878807</v>
      </c>
      <c r="G1846" s="5">
        <f t="shared" ca="1" si="84"/>
        <v>3.9361574462978534E-2</v>
      </c>
      <c r="H1846" s="14">
        <f t="shared" si="85"/>
        <v>2023</v>
      </c>
      <c r="I1846" s="5">
        <f t="shared" ca="1" si="86"/>
        <v>-6.3970794720584187E-2</v>
      </c>
      <c r="J1846" s="16"/>
    </row>
    <row r="1847" spans="1:10" x14ac:dyDescent="0.2">
      <c r="A1847" s="3">
        <v>44957</v>
      </c>
      <c r="B1847" s="1">
        <f ca="1">IFERROR(__xludf.DUMMYFUNCTION("""COMPUTED_VALUE"""),164.57)</f>
        <v>164.57</v>
      </c>
      <c r="C1847" s="1">
        <f ca="1">IFERROR(__xludf.DUMMYFUNCTION("""COMPUTED_VALUE"""),174.3)</f>
        <v>174.3</v>
      </c>
      <c r="D1847" s="1">
        <f ca="1">IFERROR(__xludf.DUMMYFUNCTION("""COMPUTED_VALUE"""),162.78)</f>
        <v>162.78</v>
      </c>
      <c r="E1847" s="1">
        <f ca="1">IFERROR(__xludf.DUMMYFUNCTION("""COMPUTED_VALUE"""),173.22)</f>
        <v>173.22</v>
      </c>
      <c r="F1847" s="1">
        <f ca="1">IFERROR(__xludf.DUMMYFUNCTION("""COMPUTED_VALUE"""),196813541)</f>
        <v>196813541</v>
      </c>
      <c r="G1847" s="5">
        <f t="shared" ca="1" si="84"/>
        <v>4.7280914444059567E-2</v>
      </c>
      <c r="H1847" s="14">
        <f t="shared" si="85"/>
        <v>2023</v>
      </c>
      <c r="I1847" s="5">
        <f t="shared" ca="1" si="86"/>
        <v>5.2561220149480503E-2</v>
      </c>
      <c r="J1847" s="16"/>
    </row>
    <row r="1848" spans="1:10" x14ac:dyDescent="0.2">
      <c r="A1848" s="3">
        <v>44958</v>
      </c>
      <c r="B1848" s="1">
        <f ca="1">IFERROR(__xludf.DUMMYFUNCTION("""COMPUTED_VALUE"""),173.89)</f>
        <v>173.89</v>
      </c>
      <c r="C1848" s="1">
        <f ca="1">IFERROR(__xludf.DUMMYFUNCTION("""COMPUTED_VALUE"""),183.81)</f>
        <v>183.81</v>
      </c>
      <c r="D1848" s="1">
        <f ca="1">IFERROR(__xludf.DUMMYFUNCTION("""COMPUTED_VALUE"""),169.93)</f>
        <v>169.93</v>
      </c>
      <c r="E1848" s="1">
        <f ca="1">IFERROR(__xludf.DUMMYFUNCTION("""COMPUTED_VALUE"""),181.41)</f>
        <v>181.41</v>
      </c>
      <c r="F1848" s="1">
        <f ca="1">IFERROR(__xludf.DUMMYFUNCTION("""COMPUTED_VALUE"""),213806323)</f>
        <v>213806323</v>
      </c>
      <c r="G1848" s="5">
        <f t="shared" ca="1" si="84"/>
        <v>3.7814894438013419E-2</v>
      </c>
      <c r="H1848" s="14">
        <f t="shared" si="85"/>
        <v>2023</v>
      </c>
      <c r="I1848" s="5">
        <f t="shared" ca="1" si="86"/>
        <v>4.3245730059232913E-2</v>
      </c>
      <c r="J1848" s="16"/>
    </row>
    <row r="1849" spans="1:10" x14ac:dyDescent="0.2">
      <c r="A1849" s="3">
        <v>44959</v>
      </c>
      <c r="B1849" s="1">
        <f ca="1">IFERROR(__xludf.DUMMYFUNCTION("""COMPUTED_VALUE"""),187.33)</f>
        <v>187.33</v>
      </c>
      <c r="C1849" s="1">
        <f ca="1">IFERROR(__xludf.DUMMYFUNCTION("""COMPUTED_VALUE"""),196.75)</f>
        <v>196.75</v>
      </c>
      <c r="D1849" s="1">
        <f ca="1">IFERROR(__xludf.DUMMYFUNCTION("""COMPUTED_VALUE"""),182.61)</f>
        <v>182.61</v>
      </c>
      <c r="E1849" s="1">
        <f ca="1">IFERROR(__xludf.DUMMYFUNCTION("""COMPUTED_VALUE"""),188.27)</f>
        <v>188.27</v>
      </c>
      <c r="F1849" s="1">
        <f ca="1">IFERROR(__xludf.DUMMYFUNCTION("""COMPUTED_VALUE"""),217448287)</f>
        <v>217448287</v>
      </c>
      <c r="G1849" s="5">
        <f t="shared" ca="1" si="84"/>
        <v>9.0827003771178604E-3</v>
      </c>
      <c r="H1849" s="14">
        <f t="shared" si="85"/>
        <v>2023</v>
      </c>
      <c r="I1849" s="5">
        <f t="shared" ca="1" si="86"/>
        <v>5.0178828804782879E-3</v>
      </c>
      <c r="J1849" s="16"/>
    </row>
    <row r="1850" spans="1:10" x14ac:dyDescent="0.2">
      <c r="A1850" s="3">
        <v>44960</v>
      </c>
      <c r="B1850" s="1">
        <f ca="1">IFERROR(__xludf.DUMMYFUNCTION("""COMPUTED_VALUE"""),183.95)</f>
        <v>183.95</v>
      </c>
      <c r="C1850" s="1">
        <f ca="1">IFERROR(__xludf.DUMMYFUNCTION("""COMPUTED_VALUE"""),199)</f>
        <v>199</v>
      </c>
      <c r="D1850" s="1">
        <f ca="1">IFERROR(__xludf.DUMMYFUNCTION("""COMPUTED_VALUE"""),183.69)</f>
        <v>183.69</v>
      </c>
      <c r="E1850" s="1">
        <f ca="1">IFERROR(__xludf.DUMMYFUNCTION("""COMPUTED_VALUE"""),189.98)</f>
        <v>189.98</v>
      </c>
      <c r="F1850" s="1">
        <f ca="1">IFERROR(__xludf.DUMMYFUNCTION("""COMPUTED_VALUE"""),232662023)</f>
        <v>232662023</v>
      </c>
      <c r="G1850" s="5">
        <f t="shared" ca="1" si="84"/>
        <v>2.5160543215075278E-2</v>
      </c>
      <c r="H1850" s="14">
        <f t="shared" si="85"/>
        <v>2023</v>
      </c>
      <c r="I1850" s="5">
        <f t="shared" ca="1" si="86"/>
        <v>3.2780646914922544E-2</v>
      </c>
      <c r="J1850" s="16"/>
    </row>
    <row r="1851" spans="1:10" x14ac:dyDescent="0.2">
      <c r="A1851" s="3">
        <v>44963</v>
      </c>
      <c r="B1851" s="1">
        <f ca="1">IFERROR(__xludf.DUMMYFUNCTION("""COMPUTED_VALUE"""),193.01)</f>
        <v>193.01</v>
      </c>
      <c r="C1851" s="1">
        <f ca="1">IFERROR(__xludf.DUMMYFUNCTION("""COMPUTED_VALUE"""),198.17)</f>
        <v>198.17</v>
      </c>
      <c r="D1851" s="1">
        <f ca="1">IFERROR(__xludf.DUMMYFUNCTION("""COMPUTED_VALUE"""),189.92)</f>
        <v>189.92</v>
      </c>
      <c r="E1851" s="1">
        <f ca="1">IFERROR(__xludf.DUMMYFUNCTION("""COMPUTED_VALUE"""),194.76)</f>
        <v>194.76</v>
      </c>
      <c r="F1851" s="1">
        <f ca="1">IFERROR(__xludf.DUMMYFUNCTION("""COMPUTED_VALUE"""),186188131)</f>
        <v>186188131</v>
      </c>
      <c r="G1851" s="5">
        <f t="shared" ca="1" si="84"/>
        <v>1.0525775313206056E-2</v>
      </c>
      <c r="H1851" s="14">
        <f t="shared" si="85"/>
        <v>2023</v>
      </c>
      <c r="I1851" s="5">
        <f t="shared" ca="1" si="86"/>
        <v>9.0668877260245591E-3</v>
      </c>
      <c r="J1851" s="16"/>
    </row>
    <row r="1852" spans="1:10" x14ac:dyDescent="0.2">
      <c r="A1852" s="3">
        <v>44964</v>
      </c>
      <c r="B1852" s="1">
        <f ca="1">IFERROR(__xludf.DUMMYFUNCTION("""COMPUTED_VALUE"""),196.43)</f>
        <v>196.43</v>
      </c>
      <c r="C1852" s="1">
        <f ca="1">IFERROR(__xludf.DUMMYFUNCTION("""COMPUTED_VALUE"""),197.5)</f>
        <v>197.5</v>
      </c>
      <c r="D1852" s="1">
        <f ca="1">IFERROR(__xludf.DUMMYFUNCTION("""COMPUTED_VALUE"""),189.55)</f>
        <v>189.55</v>
      </c>
      <c r="E1852" s="1">
        <f ca="1">IFERROR(__xludf.DUMMYFUNCTION("""COMPUTED_VALUE"""),196.81)</f>
        <v>196.81</v>
      </c>
      <c r="F1852" s="1">
        <f ca="1">IFERROR(__xludf.DUMMYFUNCTION("""COMPUTED_VALUE"""),186010325)</f>
        <v>186010325</v>
      </c>
      <c r="G1852" s="5">
        <f t="shared" ca="1" si="84"/>
        <v>2.2763070982165488E-2</v>
      </c>
      <c r="H1852" s="14">
        <f t="shared" si="85"/>
        <v>2023</v>
      </c>
      <c r="I1852" s="5">
        <f t="shared" ca="1" si="86"/>
        <v>1.934531385226266E-3</v>
      </c>
      <c r="J1852" s="16"/>
    </row>
    <row r="1853" spans="1:10" x14ac:dyDescent="0.2">
      <c r="A1853" s="3">
        <v>44965</v>
      </c>
      <c r="B1853" s="1">
        <f ca="1">IFERROR(__xludf.DUMMYFUNCTION("""COMPUTED_VALUE"""),196.1)</f>
        <v>196.1</v>
      </c>
      <c r="C1853" s="1">
        <f ca="1">IFERROR(__xludf.DUMMYFUNCTION("""COMPUTED_VALUE"""),203)</f>
        <v>203</v>
      </c>
      <c r="D1853" s="1">
        <f ca="1">IFERROR(__xludf.DUMMYFUNCTION("""COMPUTED_VALUE"""),194.31)</f>
        <v>194.31</v>
      </c>
      <c r="E1853" s="1">
        <f ca="1">IFERROR(__xludf.DUMMYFUNCTION("""COMPUTED_VALUE"""),201.29)</f>
        <v>201.29</v>
      </c>
      <c r="F1853" s="1">
        <f ca="1">IFERROR(__xludf.DUMMYFUNCTION("""COMPUTED_VALUE"""),180673644)</f>
        <v>180673644</v>
      </c>
      <c r="G1853" s="5">
        <f t="shared" ca="1" si="84"/>
        <v>2.9956778776889074E-2</v>
      </c>
      <c r="H1853" s="14">
        <f t="shared" si="85"/>
        <v>2023</v>
      </c>
      <c r="I1853" s="5">
        <f t="shared" ca="1" si="86"/>
        <v>2.6466088730239663E-2</v>
      </c>
      <c r="J1853" s="16"/>
    </row>
    <row r="1854" spans="1:10" x14ac:dyDescent="0.2">
      <c r="A1854" s="3">
        <v>44966</v>
      </c>
      <c r="B1854" s="1">
        <f ca="1">IFERROR(__xludf.DUMMYFUNCTION("""COMPUTED_VALUE"""),207.78)</f>
        <v>207.78</v>
      </c>
      <c r="C1854" s="1">
        <f ca="1">IFERROR(__xludf.DUMMYFUNCTION("""COMPUTED_VALUE"""),214)</f>
        <v>214</v>
      </c>
      <c r="D1854" s="1">
        <f ca="1">IFERROR(__xludf.DUMMYFUNCTION("""COMPUTED_VALUE"""),204.77)</f>
        <v>204.77</v>
      </c>
      <c r="E1854" s="1">
        <f ca="1">IFERROR(__xludf.DUMMYFUNCTION("""COMPUTED_VALUE"""),207.32)</f>
        <v>207.32</v>
      </c>
      <c r="F1854" s="1">
        <f ca="1">IFERROR(__xludf.DUMMYFUNCTION("""COMPUTED_VALUE"""),215431442)</f>
        <v>215431442</v>
      </c>
      <c r="G1854" s="5">
        <f t="shared" ca="1" si="84"/>
        <v>-5.0308701524213809E-2</v>
      </c>
      <c r="H1854" s="14">
        <f t="shared" si="85"/>
        <v>2023</v>
      </c>
      <c r="I1854" s="5">
        <f t="shared" ca="1" si="86"/>
        <v>-2.2138800654538837E-3</v>
      </c>
      <c r="J1854" s="16"/>
    </row>
    <row r="1855" spans="1:10" x14ac:dyDescent="0.2">
      <c r="A1855" s="3">
        <v>44967</v>
      </c>
      <c r="B1855" s="1">
        <f ca="1">IFERROR(__xludf.DUMMYFUNCTION("""COMPUTED_VALUE"""),202.23)</f>
        <v>202.23</v>
      </c>
      <c r="C1855" s="1">
        <f ca="1">IFERROR(__xludf.DUMMYFUNCTION("""COMPUTED_VALUE"""),206.2)</f>
        <v>206.2</v>
      </c>
      <c r="D1855" s="1">
        <f ca="1">IFERROR(__xludf.DUMMYFUNCTION("""COMPUTED_VALUE"""),192.89)</f>
        <v>192.89</v>
      </c>
      <c r="E1855" s="1">
        <f ca="1">IFERROR(__xludf.DUMMYFUNCTION("""COMPUTED_VALUE"""),196.89)</f>
        <v>196.89</v>
      </c>
      <c r="F1855" s="1">
        <f ca="1">IFERROR(__xludf.DUMMYFUNCTION("""COMPUTED_VALUE"""),204754129)</f>
        <v>204754129</v>
      </c>
      <c r="G1855" s="5">
        <f t="shared" ca="1" si="84"/>
        <v>-1.1427700746609783E-2</v>
      </c>
      <c r="H1855" s="14">
        <f t="shared" si="85"/>
        <v>2023</v>
      </c>
      <c r="I1855" s="5">
        <f t="shared" ca="1" si="86"/>
        <v>-2.6405577807446984E-2</v>
      </c>
      <c r="J1855" s="16"/>
    </row>
    <row r="1856" spans="1:10" x14ac:dyDescent="0.2">
      <c r="A1856" s="3">
        <v>44970</v>
      </c>
      <c r="B1856" s="1">
        <f ca="1">IFERROR(__xludf.DUMMYFUNCTION("""COMPUTED_VALUE"""),194.42)</f>
        <v>194.42</v>
      </c>
      <c r="C1856" s="1">
        <f ca="1">IFERROR(__xludf.DUMMYFUNCTION("""COMPUTED_VALUE"""),196.3)</f>
        <v>196.3</v>
      </c>
      <c r="D1856" s="1">
        <f ca="1">IFERROR(__xludf.DUMMYFUNCTION("""COMPUTED_VALUE"""),187.61)</f>
        <v>187.61</v>
      </c>
      <c r="E1856" s="1">
        <f ca="1">IFERROR(__xludf.DUMMYFUNCTION("""COMPUTED_VALUE"""),194.64)</f>
        <v>194.64</v>
      </c>
      <c r="F1856" s="1">
        <f ca="1">IFERROR(__xludf.DUMMYFUNCTION("""COMPUTED_VALUE"""),172475452)</f>
        <v>172475452</v>
      </c>
      <c r="G1856" s="5">
        <f t="shared" ca="1" si="84"/>
        <v>7.5061652281134483E-2</v>
      </c>
      <c r="H1856" s="14">
        <f t="shared" si="85"/>
        <v>2023</v>
      </c>
      <c r="I1856" s="5">
        <f t="shared" ca="1" si="86"/>
        <v>1.1315708260466973E-3</v>
      </c>
      <c r="J1856" s="16"/>
    </row>
    <row r="1857" spans="1:10" x14ac:dyDescent="0.2">
      <c r="A1857" s="3">
        <v>44971</v>
      </c>
      <c r="B1857" s="1">
        <f ca="1">IFERROR(__xludf.DUMMYFUNCTION("""COMPUTED_VALUE"""),191.94)</f>
        <v>191.94</v>
      </c>
      <c r="C1857" s="1">
        <f ca="1">IFERROR(__xludf.DUMMYFUNCTION("""COMPUTED_VALUE"""),209.82)</f>
        <v>209.82</v>
      </c>
      <c r="D1857" s="1">
        <f ca="1">IFERROR(__xludf.DUMMYFUNCTION("""COMPUTED_VALUE"""),189.44)</f>
        <v>189.44</v>
      </c>
      <c r="E1857" s="1">
        <f ca="1">IFERROR(__xludf.DUMMYFUNCTION("""COMPUTED_VALUE"""),209.25)</f>
        <v>209.25</v>
      </c>
      <c r="F1857" s="1">
        <f ca="1">IFERROR(__xludf.DUMMYFUNCTION("""COMPUTED_VALUE"""),216455708)</f>
        <v>216455708</v>
      </c>
      <c r="G1857" s="5">
        <f t="shared" ca="1" si="84"/>
        <v>2.3847072879330987E-2</v>
      </c>
      <c r="H1857" s="14">
        <f t="shared" si="85"/>
        <v>2023</v>
      </c>
      <c r="I1857" s="5">
        <f t="shared" ca="1" si="86"/>
        <v>9.0184432635198514E-2</v>
      </c>
      <c r="J1857" s="16"/>
    </row>
    <row r="1858" spans="1:10" x14ac:dyDescent="0.2">
      <c r="A1858" s="3">
        <v>44972</v>
      </c>
      <c r="B1858" s="1">
        <f ca="1">IFERROR(__xludf.DUMMYFUNCTION("""COMPUTED_VALUE"""),211.76)</f>
        <v>211.76</v>
      </c>
      <c r="C1858" s="1">
        <f ca="1">IFERROR(__xludf.DUMMYFUNCTION("""COMPUTED_VALUE"""),214.66)</f>
        <v>214.66</v>
      </c>
      <c r="D1858" s="1">
        <f ca="1">IFERROR(__xludf.DUMMYFUNCTION("""COMPUTED_VALUE"""),206.11)</f>
        <v>206.11</v>
      </c>
      <c r="E1858" s="1">
        <f ca="1">IFERROR(__xludf.DUMMYFUNCTION("""COMPUTED_VALUE"""),214.24)</f>
        <v>214.24</v>
      </c>
      <c r="F1858" s="1">
        <f ca="1">IFERROR(__xludf.DUMMYFUNCTION("""COMPUTED_VALUE"""),182108581)</f>
        <v>182108581</v>
      </c>
      <c r="G1858" s="5">
        <f t="shared" ca="1" si="84"/>
        <v>-5.6945481702763333E-2</v>
      </c>
      <c r="H1858" s="14">
        <f t="shared" si="85"/>
        <v>2023</v>
      </c>
      <c r="I1858" s="5">
        <f t="shared" ca="1" si="86"/>
        <v>1.1711371363808171E-2</v>
      </c>
      <c r="J1858" s="16"/>
    </row>
    <row r="1859" spans="1:10" x14ac:dyDescent="0.2">
      <c r="A1859" s="3">
        <v>44973</v>
      </c>
      <c r="B1859" s="1">
        <f ca="1">IFERROR(__xludf.DUMMYFUNCTION("""COMPUTED_VALUE"""),210.78)</f>
        <v>210.78</v>
      </c>
      <c r="C1859" s="1">
        <f ca="1">IFERROR(__xludf.DUMMYFUNCTION("""COMPUTED_VALUE"""),217.65)</f>
        <v>217.65</v>
      </c>
      <c r="D1859" s="1">
        <f ca="1">IFERROR(__xludf.DUMMYFUNCTION("""COMPUTED_VALUE"""),201.84)</f>
        <v>201.84</v>
      </c>
      <c r="E1859" s="1">
        <f ca="1">IFERROR(__xludf.DUMMYFUNCTION("""COMPUTED_VALUE"""),202.04)</f>
        <v>202.04</v>
      </c>
      <c r="F1859" s="1">
        <f ca="1">IFERROR(__xludf.DUMMYFUNCTION("""COMPUTED_VALUE"""),229586538)</f>
        <v>229586538</v>
      </c>
      <c r="G1859" s="5">
        <f t="shared" ref="G1859:G1922" ca="1" si="87">(E1860-E1859)/E1859</f>
        <v>3.103345872104539E-2</v>
      </c>
      <c r="H1859" s="14">
        <f t="shared" ref="H1859:H1922" si="88">YEAR(A1859)</f>
        <v>2023</v>
      </c>
      <c r="I1859" s="5">
        <f t="shared" ref="I1859:I1922" ca="1" si="89">((E1859 - B1859) / B1859)</f>
        <v>-4.1465034633266958E-2</v>
      </c>
      <c r="J1859" s="16"/>
    </row>
    <row r="1860" spans="1:10" x14ac:dyDescent="0.2">
      <c r="A1860" s="3">
        <v>44974</v>
      </c>
      <c r="B1860" s="1">
        <f ca="1">IFERROR(__xludf.DUMMYFUNCTION("""COMPUTED_VALUE"""),199.99)</f>
        <v>199.99</v>
      </c>
      <c r="C1860" s="1">
        <f ca="1">IFERROR(__xludf.DUMMYFUNCTION("""COMPUTED_VALUE"""),208.44)</f>
        <v>208.44</v>
      </c>
      <c r="D1860" s="1">
        <f ca="1">IFERROR(__xludf.DUMMYFUNCTION("""COMPUTED_VALUE"""),197.5)</f>
        <v>197.5</v>
      </c>
      <c r="E1860" s="1">
        <f ca="1">IFERROR(__xludf.DUMMYFUNCTION("""COMPUTED_VALUE"""),208.31)</f>
        <v>208.31</v>
      </c>
      <c r="F1860" s="1">
        <f ca="1">IFERROR(__xludf.DUMMYFUNCTION("""COMPUTED_VALUE"""),213738549)</f>
        <v>213738549</v>
      </c>
      <c r="G1860" s="5">
        <f t="shared" ca="1" si="87"/>
        <v>-5.2517882002784302E-2</v>
      </c>
      <c r="H1860" s="14">
        <f t="shared" si="88"/>
        <v>2023</v>
      </c>
      <c r="I1860" s="5">
        <f t="shared" ca="1" si="89"/>
        <v>4.1602080104005165E-2</v>
      </c>
      <c r="J1860" s="16"/>
    </row>
    <row r="1861" spans="1:10" x14ac:dyDescent="0.2">
      <c r="A1861" s="3">
        <v>44978</v>
      </c>
      <c r="B1861" s="1">
        <f ca="1">IFERROR(__xludf.DUMMYFUNCTION("""COMPUTED_VALUE"""),204.99)</f>
        <v>204.99</v>
      </c>
      <c r="C1861" s="1">
        <f ca="1">IFERROR(__xludf.DUMMYFUNCTION("""COMPUTED_VALUE"""),209.71)</f>
        <v>209.71</v>
      </c>
      <c r="D1861" s="1">
        <f ca="1">IFERROR(__xludf.DUMMYFUNCTION("""COMPUTED_VALUE"""),197.22)</f>
        <v>197.22</v>
      </c>
      <c r="E1861" s="1">
        <f ca="1">IFERROR(__xludf.DUMMYFUNCTION("""COMPUTED_VALUE"""),197.37)</f>
        <v>197.37</v>
      </c>
      <c r="F1861" s="1">
        <f ca="1">IFERROR(__xludf.DUMMYFUNCTION("""COMPUTED_VALUE"""),180018588)</f>
        <v>180018588</v>
      </c>
      <c r="G1861" s="5">
        <f t="shared" ca="1" si="87"/>
        <v>1.7682525206465061E-2</v>
      </c>
      <c r="H1861" s="14">
        <f t="shared" si="88"/>
        <v>2023</v>
      </c>
      <c r="I1861" s="5">
        <f t="shared" ca="1" si="89"/>
        <v>-3.7172545002195252E-2</v>
      </c>
      <c r="J1861" s="16"/>
    </row>
    <row r="1862" spans="1:10" x14ac:dyDescent="0.2">
      <c r="A1862" s="3">
        <v>44979</v>
      </c>
      <c r="B1862" s="1">
        <f ca="1">IFERROR(__xludf.DUMMYFUNCTION("""COMPUTED_VALUE"""),197.93)</f>
        <v>197.93</v>
      </c>
      <c r="C1862" s="1">
        <f ca="1">IFERROR(__xludf.DUMMYFUNCTION("""COMPUTED_VALUE"""),201.99)</f>
        <v>201.99</v>
      </c>
      <c r="D1862" s="1">
        <f ca="1">IFERROR(__xludf.DUMMYFUNCTION("""COMPUTED_VALUE"""),191.78)</f>
        <v>191.78</v>
      </c>
      <c r="E1862" s="1">
        <f ca="1">IFERROR(__xludf.DUMMYFUNCTION("""COMPUTED_VALUE"""),200.86)</f>
        <v>200.86</v>
      </c>
      <c r="F1862" s="1">
        <f ca="1">IFERROR(__xludf.DUMMYFUNCTION("""COMPUTED_VALUE"""),191828457)</f>
        <v>191828457</v>
      </c>
      <c r="G1862" s="5">
        <f t="shared" ca="1" si="87"/>
        <v>6.0240963855420666E-3</v>
      </c>
      <c r="H1862" s="14">
        <f t="shared" si="88"/>
        <v>2023</v>
      </c>
      <c r="I1862" s="5">
        <f t="shared" ca="1" si="89"/>
        <v>1.4803213257212179E-2</v>
      </c>
      <c r="J1862" s="16"/>
    </row>
    <row r="1863" spans="1:10" x14ac:dyDescent="0.2">
      <c r="A1863" s="3">
        <v>44980</v>
      </c>
      <c r="B1863" s="1">
        <f ca="1">IFERROR(__xludf.DUMMYFUNCTION("""COMPUTED_VALUE"""),203.91)</f>
        <v>203.91</v>
      </c>
      <c r="C1863" s="1">
        <f ca="1">IFERROR(__xludf.DUMMYFUNCTION("""COMPUTED_VALUE"""),205.14)</f>
        <v>205.14</v>
      </c>
      <c r="D1863" s="1">
        <f ca="1">IFERROR(__xludf.DUMMYFUNCTION("""COMPUTED_VALUE"""),196.33)</f>
        <v>196.33</v>
      </c>
      <c r="E1863" s="1">
        <f ca="1">IFERROR(__xludf.DUMMYFUNCTION("""COMPUTED_VALUE"""),202.07)</f>
        <v>202.07</v>
      </c>
      <c r="F1863" s="1">
        <f ca="1">IFERROR(__xludf.DUMMYFUNCTION("""COMPUTED_VALUE"""),146359950)</f>
        <v>146359950</v>
      </c>
      <c r="G1863" s="5">
        <f t="shared" ca="1" si="87"/>
        <v>-2.5684168852377877E-2</v>
      </c>
      <c r="H1863" s="14">
        <f t="shared" si="88"/>
        <v>2023</v>
      </c>
      <c r="I1863" s="5">
        <f t="shared" ca="1" si="89"/>
        <v>-9.0235888382129547E-3</v>
      </c>
      <c r="J1863" s="16"/>
    </row>
    <row r="1864" spans="1:10" x14ac:dyDescent="0.2">
      <c r="A1864" s="3">
        <v>44981</v>
      </c>
      <c r="B1864" s="1">
        <f ca="1">IFERROR(__xludf.DUMMYFUNCTION("""COMPUTED_VALUE"""),196.33)</f>
        <v>196.33</v>
      </c>
      <c r="C1864" s="1">
        <f ca="1">IFERROR(__xludf.DUMMYFUNCTION("""COMPUTED_VALUE"""),197.67)</f>
        <v>197.67</v>
      </c>
      <c r="D1864" s="1">
        <f ca="1">IFERROR(__xludf.DUMMYFUNCTION("""COMPUTED_VALUE"""),192.8)</f>
        <v>192.8</v>
      </c>
      <c r="E1864" s="1">
        <f ca="1">IFERROR(__xludf.DUMMYFUNCTION("""COMPUTED_VALUE"""),196.88)</f>
        <v>196.88</v>
      </c>
      <c r="F1864" s="1">
        <f ca="1">IFERROR(__xludf.DUMMYFUNCTION("""COMPUTED_VALUE"""),142228105)</f>
        <v>142228105</v>
      </c>
      <c r="G1864" s="5">
        <f t="shared" ca="1" si="87"/>
        <v>5.4601787891101178E-2</v>
      </c>
      <c r="H1864" s="14">
        <f t="shared" si="88"/>
        <v>2023</v>
      </c>
      <c r="I1864" s="5">
        <f t="shared" ca="1" si="89"/>
        <v>2.8014057963631788E-3</v>
      </c>
      <c r="J1864" s="16"/>
    </row>
    <row r="1865" spans="1:10" x14ac:dyDescent="0.2">
      <c r="A1865" s="3">
        <v>44984</v>
      </c>
      <c r="B1865" s="1">
        <f ca="1">IFERROR(__xludf.DUMMYFUNCTION("""COMPUTED_VALUE"""),202.03)</f>
        <v>202.03</v>
      </c>
      <c r="C1865" s="1">
        <f ca="1">IFERROR(__xludf.DUMMYFUNCTION("""COMPUTED_VALUE"""),209.42)</f>
        <v>209.42</v>
      </c>
      <c r="D1865" s="1">
        <f ca="1">IFERROR(__xludf.DUMMYFUNCTION("""COMPUTED_VALUE"""),201.26)</f>
        <v>201.26</v>
      </c>
      <c r="E1865" s="1">
        <f ca="1">IFERROR(__xludf.DUMMYFUNCTION("""COMPUTED_VALUE"""),207.63)</f>
        <v>207.63</v>
      </c>
      <c r="F1865" s="1">
        <f ca="1">IFERROR(__xludf.DUMMYFUNCTION("""COMPUTED_VALUE"""),161028315)</f>
        <v>161028315</v>
      </c>
      <c r="G1865" s="5">
        <f t="shared" ca="1" si="87"/>
        <v>-9.2472186100273929E-3</v>
      </c>
      <c r="H1865" s="14">
        <f t="shared" si="88"/>
        <v>2023</v>
      </c>
      <c r="I1865" s="5">
        <f t="shared" ca="1" si="89"/>
        <v>2.7718655645201179E-2</v>
      </c>
      <c r="J1865" s="16"/>
    </row>
    <row r="1866" spans="1:10" x14ac:dyDescent="0.2">
      <c r="A1866" s="3">
        <v>44985</v>
      </c>
      <c r="B1866" s="1">
        <f ca="1">IFERROR(__xludf.DUMMYFUNCTION("""COMPUTED_VALUE"""),210.59)</f>
        <v>210.59</v>
      </c>
      <c r="C1866" s="1">
        <f ca="1">IFERROR(__xludf.DUMMYFUNCTION("""COMPUTED_VALUE"""),211.23)</f>
        <v>211.23</v>
      </c>
      <c r="D1866" s="1">
        <f ca="1">IFERROR(__xludf.DUMMYFUNCTION("""COMPUTED_VALUE"""),203.75)</f>
        <v>203.75</v>
      </c>
      <c r="E1866" s="1">
        <f ca="1">IFERROR(__xludf.DUMMYFUNCTION("""COMPUTED_VALUE"""),205.71)</f>
        <v>205.71</v>
      </c>
      <c r="F1866" s="1">
        <f ca="1">IFERROR(__xludf.DUMMYFUNCTION("""COMPUTED_VALUE"""),153144912)</f>
        <v>153144912</v>
      </c>
      <c r="G1866" s="5">
        <f t="shared" ca="1" si="87"/>
        <v>-1.4291964415925321E-2</v>
      </c>
      <c r="H1866" s="14">
        <f t="shared" si="88"/>
        <v>2023</v>
      </c>
      <c r="I1866" s="5">
        <f t="shared" ca="1" si="89"/>
        <v>-2.3172990170473411E-2</v>
      </c>
      <c r="J1866" s="16"/>
    </row>
    <row r="1867" spans="1:10" x14ac:dyDescent="0.2">
      <c r="A1867" s="3">
        <v>44986</v>
      </c>
      <c r="B1867" s="1">
        <f ca="1">IFERROR(__xludf.DUMMYFUNCTION("""COMPUTED_VALUE"""),206.21)</f>
        <v>206.21</v>
      </c>
      <c r="C1867" s="1">
        <f ca="1">IFERROR(__xludf.DUMMYFUNCTION("""COMPUTED_VALUE"""),207.2)</f>
        <v>207.2</v>
      </c>
      <c r="D1867" s="1">
        <f ca="1">IFERROR(__xludf.DUMMYFUNCTION("""COMPUTED_VALUE"""),198.52)</f>
        <v>198.52</v>
      </c>
      <c r="E1867" s="1">
        <f ca="1">IFERROR(__xludf.DUMMYFUNCTION("""COMPUTED_VALUE"""),202.77)</f>
        <v>202.77</v>
      </c>
      <c r="F1867" s="1">
        <f ca="1">IFERROR(__xludf.DUMMYFUNCTION("""COMPUTED_VALUE"""),156852790)</f>
        <v>156852790</v>
      </c>
      <c r="G1867" s="5">
        <f t="shared" ca="1" si="87"/>
        <v>-5.853923164176162E-2</v>
      </c>
      <c r="H1867" s="14">
        <f t="shared" si="88"/>
        <v>2023</v>
      </c>
      <c r="I1867" s="5">
        <f t="shared" ca="1" si="89"/>
        <v>-1.6682023180253129E-2</v>
      </c>
      <c r="J1867" s="16"/>
    </row>
    <row r="1868" spans="1:10" x14ac:dyDescent="0.2">
      <c r="A1868" s="3">
        <v>44987</v>
      </c>
      <c r="B1868" s="1">
        <f ca="1">IFERROR(__xludf.DUMMYFUNCTION("""COMPUTED_VALUE"""),186.74)</f>
        <v>186.74</v>
      </c>
      <c r="C1868" s="1">
        <f ca="1">IFERROR(__xludf.DUMMYFUNCTION("""COMPUTED_VALUE"""),193.75)</f>
        <v>193.75</v>
      </c>
      <c r="D1868" s="1">
        <f ca="1">IFERROR(__xludf.DUMMYFUNCTION("""COMPUTED_VALUE"""),186.01)</f>
        <v>186.01</v>
      </c>
      <c r="E1868" s="1">
        <f ca="1">IFERROR(__xludf.DUMMYFUNCTION("""COMPUTED_VALUE"""),190.9)</f>
        <v>190.9</v>
      </c>
      <c r="F1868" s="1">
        <f ca="1">IFERROR(__xludf.DUMMYFUNCTION("""COMPUTED_VALUE"""),181979154)</f>
        <v>181979154</v>
      </c>
      <c r="G1868" s="5">
        <f t="shared" ca="1" si="87"/>
        <v>3.6092194866422136E-2</v>
      </c>
      <c r="H1868" s="14">
        <f t="shared" si="88"/>
        <v>2023</v>
      </c>
      <c r="I1868" s="5">
        <f t="shared" ca="1" si="89"/>
        <v>2.2276962621827118E-2</v>
      </c>
      <c r="J1868" s="16"/>
    </row>
    <row r="1869" spans="1:10" x14ac:dyDescent="0.2">
      <c r="A1869" s="3">
        <v>44988</v>
      </c>
      <c r="B1869" s="1">
        <f ca="1">IFERROR(__xludf.DUMMYFUNCTION("""COMPUTED_VALUE"""),194.8)</f>
        <v>194.8</v>
      </c>
      <c r="C1869" s="1">
        <f ca="1">IFERROR(__xludf.DUMMYFUNCTION("""COMPUTED_VALUE"""),200.48)</f>
        <v>200.48</v>
      </c>
      <c r="D1869" s="1">
        <f ca="1">IFERROR(__xludf.DUMMYFUNCTION("""COMPUTED_VALUE"""),192.88)</f>
        <v>192.88</v>
      </c>
      <c r="E1869" s="1">
        <f ca="1">IFERROR(__xludf.DUMMYFUNCTION("""COMPUTED_VALUE"""),197.79)</f>
        <v>197.79</v>
      </c>
      <c r="F1869" s="1">
        <f ca="1">IFERROR(__xludf.DUMMYFUNCTION("""COMPUTED_VALUE"""),154193277)</f>
        <v>154193277</v>
      </c>
      <c r="G1869" s="5">
        <f t="shared" ca="1" si="87"/>
        <v>-2.0122351989483745E-2</v>
      </c>
      <c r="H1869" s="14">
        <f t="shared" si="88"/>
        <v>2023</v>
      </c>
      <c r="I1869" s="5">
        <f t="shared" ca="1" si="89"/>
        <v>1.5349075975359243E-2</v>
      </c>
      <c r="J1869" s="16"/>
    </row>
    <row r="1870" spans="1:10" x14ac:dyDescent="0.2">
      <c r="A1870" s="3">
        <v>44991</v>
      </c>
      <c r="B1870" s="1">
        <f ca="1">IFERROR(__xludf.DUMMYFUNCTION("""COMPUTED_VALUE"""),198.54)</f>
        <v>198.54</v>
      </c>
      <c r="C1870" s="1">
        <f ca="1">IFERROR(__xludf.DUMMYFUNCTION("""COMPUTED_VALUE"""),198.6)</f>
        <v>198.6</v>
      </c>
      <c r="D1870" s="1">
        <f ca="1">IFERROR(__xludf.DUMMYFUNCTION("""COMPUTED_VALUE"""),192.3)</f>
        <v>192.3</v>
      </c>
      <c r="E1870" s="1">
        <f ca="1">IFERROR(__xludf.DUMMYFUNCTION("""COMPUTED_VALUE"""),193.81)</f>
        <v>193.81</v>
      </c>
      <c r="F1870" s="1">
        <f ca="1">IFERROR(__xludf.DUMMYFUNCTION("""COMPUTED_VALUE"""),128100106)</f>
        <v>128100106</v>
      </c>
      <c r="G1870" s="5">
        <f t="shared" ca="1" si="87"/>
        <v>-3.1474124142201097E-2</v>
      </c>
      <c r="H1870" s="14">
        <f t="shared" si="88"/>
        <v>2023</v>
      </c>
      <c r="I1870" s="5">
        <f t="shared" ca="1" si="89"/>
        <v>-2.3823914576407725E-2</v>
      </c>
      <c r="J1870" s="16"/>
    </row>
    <row r="1871" spans="1:10" x14ac:dyDescent="0.2">
      <c r="A1871" s="3">
        <v>44992</v>
      </c>
      <c r="B1871" s="1">
        <f ca="1">IFERROR(__xludf.DUMMYFUNCTION("""COMPUTED_VALUE"""),191.38)</f>
        <v>191.38</v>
      </c>
      <c r="C1871" s="1">
        <f ca="1">IFERROR(__xludf.DUMMYFUNCTION("""COMPUTED_VALUE"""),194.2)</f>
        <v>194.2</v>
      </c>
      <c r="D1871" s="1">
        <f ca="1">IFERROR(__xludf.DUMMYFUNCTION("""COMPUTED_VALUE"""),186.1)</f>
        <v>186.1</v>
      </c>
      <c r="E1871" s="1">
        <f ca="1">IFERROR(__xludf.DUMMYFUNCTION("""COMPUTED_VALUE"""),187.71)</f>
        <v>187.71</v>
      </c>
      <c r="F1871" s="1">
        <f ca="1">IFERROR(__xludf.DUMMYFUNCTION("""COMPUTED_VALUE"""),148125790)</f>
        <v>148125790</v>
      </c>
      <c r="G1871" s="5">
        <f t="shared" ca="1" si="87"/>
        <v>-3.0419263757924499E-2</v>
      </c>
      <c r="H1871" s="14">
        <f t="shared" si="88"/>
        <v>2023</v>
      </c>
      <c r="I1871" s="5">
        <f t="shared" ca="1" si="89"/>
        <v>-1.9176507472045082E-2</v>
      </c>
      <c r="J1871" s="16"/>
    </row>
    <row r="1872" spans="1:10" x14ac:dyDescent="0.2">
      <c r="A1872" s="3">
        <v>44993</v>
      </c>
      <c r="B1872" s="1">
        <f ca="1">IFERROR(__xludf.DUMMYFUNCTION("""COMPUTED_VALUE"""),185.04)</f>
        <v>185.04</v>
      </c>
      <c r="C1872" s="1">
        <f ca="1">IFERROR(__xludf.DUMMYFUNCTION("""COMPUTED_VALUE"""),186.5)</f>
        <v>186.5</v>
      </c>
      <c r="D1872" s="1">
        <f ca="1">IFERROR(__xludf.DUMMYFUNCTION("""COMPUTED_VALUE"""),180)</f>
        <v>180</v>
      </c>
      <c r="E1872" s="1">
        <f ca="1">IFERROR(__xludf.DUMMYFUNCTION("""COMPUTED_VALUE"""),182)</f>
        <v>182</v>
      </c>
      <c r="F1872" s="1">
        <f ca="1">IFERROR(__xludf.DUMMYFUNCTION("""COMPUTED_VALUE"""),151897763)</f>
        <v>151897763</v>
      </c>
      <c r="G1872" s="5">
        <f t="shared" ca="1" si="87"/>
        <v>-4.989010989010996E-2</v>
      </c>
      <c r="H1872" s="14">
        <f t="shared" si="88"/>
        <v>2023</v>
      </c>
      <c r="I1872" s="5">
        <f t="shared" ca="1" si="89"/>
        <v>-1.6428880242109773E-2</v>
      </c>
      <c r="J1872" s="16"/>
    </row>
    <row r="1873" spans="1:10" x14ac:dyDescent="0.2">
      <c r="A1873" s="3">
        <v>44994</v>
      </c>
      <c r="B1873" s="1">
        <f ca="1">IFERROR(__xludf.DUMMYFUNCTION("""COMPUTED_VALUE"""),180.25)</f>
        <v>180.25</v>
      </c>
      <c r="C1873" s="1">
        <f ca="1">IFERROR(__xludf.DUMMYFUNCTION("""COMPUTED_VALUE"""),185.18)</f>
        <v>185.18</v>
      </c>
      <c r="D1873" s="1">
        <f ca="1">IFERROR(__xludf.DUMMYFUNCTION("""COMPUTED_VALUE"""),172.51)</f>
        <v>172.51</v>
      </c>
      <c r="E1873" s="1">
        <f ca="1">IFERROR(__xludf.DUMMYFUNCTION("""COMPUTED_VALUE"""),172.92)</f>
        <v>172.92</v>
      </c>
      <c r="F1873" s="1">
        <f ca="1">IFERROR(__xludf.DUMMYFUNCTION("""COMPUTED_VALUE"""),170023794)</f>
        <v>170023794</v>
      </c>
      <c r="G1873" s="5">
        <f t="shared" ca="1" si="87"/>
        <v>3.0071709461023033E-3</v>
      </c>
      <c r="H1873" s="14">
        <f t="shared" si="88"/>
        <v>2023</v>
      </c>
      <c r="I1873" s="5">
        <f t="shared" ca="1" si="89"/>
        <v>-4.0665742024965396E-2</v>
      </c>
      <c r="J1873" s="16"/>
    </row>
    <row r="1874" spans="1:10" x14ac:dyDescent="0.2">
      <c r="A1874" s="3">
        <v>44995</v>
      </c>
      <c r="B1874" s="1">
        <f ca="1">IFERROR(__xludf.DUMMYFUNCTION("""COMPUTED_VALUE"""),175.13)</f>
        <v>175.13</v>
      </c>
      <c r="C1874" s="1">
        <f ca="1">IFERROR(__xludf.DUMMYFUNCTION("""COMPUTED_VALUE"""),178.29)</f>
        <v>178.29</v>
      </c>
      <c r="D1874" s="1">
        <f ca="1">IFERROR(__xludf.DUMMYFUNCTION("""COMPUTED_VALUE"""),168.44)</f>
        <v>168.44</v>
      </c>
      <c r="E1874" s="1">
        <f ca="1">IFERROR(__xludf.DUMMYFUNCTION("""COMPUTED_VALUE"""),173.44)</f>
        <v>173.44</v>
      </c>
      <c r="F1874" s="1">
        <f ca="1">IFERROR(__xludf.DUMMYFUNCTION("""COMPUTED_VALUE"""),191488872)</f>
        <v>191488872</v>
      </c>
      <c r="G1874" s="5">
        <f t="shared" ca="1" si="87"/>
        <v>5.9963099630995853E-3</v>
      </c>
      <c r="H1874" s="14">
        <f t="shared" si="88"/>
        <v>2023</v>
      </c>
      <c r="I1874" s="5">
        <f t="shared" ca="1" si="89"/>
        <v>-9.6499743048021336E-3</v>
      </c>
      <c r="J1874" s="16"/>
    </row>
    <row r="1875" spans="1:10" x14ac:dyDescent="0.2">
      <c r="A1875" s="3">
        <v>44998</v>
      </c>
      <c r="B1875" s="1">
        <f ca="1">IFERROR(__xludf.DUMMYFUNCTION("""COMPUTED_VALUE"""),167.46)</f>
        <v>167.46</v>
      </c>
      <c r="C1875" s="1">
        <f ca="1">IFERROR(__xludf.DUMMYFUNCTION("""COMPUTED_VALUE"""),177.35)</f>
        <v>177.35</v>
      </c>
      <c r="D1875" s="1">
        <f ca="1">IFERROR(__xludf.DUMMYFUNCTION("""COMPUTED_VALUE"""),163.91)</f>
        <v>163.91</v>
      </c>
      <c r="E1875" s="1">
        <f ca="1">IFERROR(__xludf.DUMMYFUNCTION("""COMPUTED_VALUE"""),174.48)</f>
        <v>174.48</v>
      </c>
      <c r="F1875" s="1">
        <f ca="1">IFERROR(__xludf.DUMMYFUNCTION("""COMPUTED_VALUE"""),167790256)</f>
        <v>167790256</v>
      </c>
      <c r="G1875" s="5">
        <f t="shared" ca="1" si="87"/>
        <v>5.0320953690967458E-2</v>
      </c>
      <c r="H1875" s="14">
        <f t="shared" si="88"/>
        <v>2023</v>
      </c>
      <c r="I1875" s="5">
        <f t="shared" ca="1" si="89"/>
        <v>4.1920458616983049E-2</v>
      </c>
      <c r="J1875" s="16"/>
    </row>
    <row r="1876" spans="1:10" x14ac:dyDescent="0.2">
      <c r="A1876" s="3">
        <v>44999</v>
      </c>
      <c r="B1876" s="1">
        <f ca="1">IFERROR(__xludf.DUMMYFUNCTION("""COMPUTED_VALUE"""),177.31)</f>
        <v>177.31</v>
      </c>
      <c r="C1876" s="1">
        <f ca="1">IFERROR(__xludf.DUMMYFUNCTION("""COMPUTED_VALUE"""),183.8)</f>
        <v>183.8</v>
      </c>
      <c r="D1876" s="1">
        <f ca="1">IFERROR(__xludf.DUMMYFUNCTION("""COMPUTED_VALUE"""),177.14)</f>
        <v>177.14</v>
      </c>
      <c r="E1876" s="1">
        <f ca="1">IFERROR(__xludf.DUMMYFUNCTION("""COMPUTED_VALUE"""),183.26)</f>
        <v>183.26</v>
      </c>
      <c r="F1876" s="1">
        <f ca="1">IFERROR(__xludf.DUMMYFUNCTION("""COMPUTED_VALUE"""),143717897)</f>
        <v>143717897</v>
      </c>
      <c r="G1876" s="5">
        <f t="shared" ca="1" si="87"/>
        <v>-1.5333406089708623E-2</v>
      </c>
      <c r="H1876" s="14">
        <f t="shared" si="88"/>
        <v>2023</v>
      </c>
      <c r="I1876" s="5">
        <f t="shared" ca="1" si="89"/>
        <v>3.355704697986571E-2</v>
      </c>
      <c r="J1876" s="16"/>
    </row>
    <row r="1877" spans="1:10" x14ac:dyDescent="0.2">
      <c r="A1877" s="3">
        <v>45000</v>
      </c>
      <c r="B1877" s="1">
        <f ca="1">IFERROR(__xludf.DUMMYFUNCTION("""COMPUTED_VALUE"""),180.8)</f>
        <v>180.8</v>
      </c>
      <c r="C1877" s="1">
        <f ca="1">IFERROR(__xludf.DUMMYFUNCTION("""COMPUTED_VALUE"""),182.34)</f>
        <v>182.34</v>
      </c>
      <c r="D1877" s="1">
        <f ca="1">IFERROR(__xludf.DUMMYFUNCTION("""COMPUTED_VALUE"""),176.03)</f>
        <v>176.03</v>
      </c>
      <c r="E1877" s="1">
        <f ca="1">IFERROR(__xludf.DUMMYFUNCTION("""COMPUTED_VALUE"""),180.45)</f>
        <v>180.45</v>
      </c>
      <c r="F1877" s="1">
        <f ca="1">IFERROR(__xludf.DUMMYFUNCTION("""COMPUTED_VALUE"""),145995583)</f>
        <v>145995583</v>
      </c>
      <c r="G1877" s="5">
        <f t="shared" ca="1" si="87"/>
        <v>2.0393460792463326E-2</v>
      </c>
      <c r="H1877" s="14">
        <f t="shared" si="88"/>
        <v>2023</v>
      </c>
      <c r="I1877" s="5">
        <f t="shared" ca="1" si="89"/>
        <v>-1.9358407079647275E-3</v>
      </c>
      <c r="J1877" s="16"/>
    </row>
    <row r="1878" spans="1:10" x14ac:dyDescent="0.2">
      <c r="A1878" s="3">
        <v>45001</v>
      </c>
      <c r="B1878" s="1">
        <f ca="1">IFERROR(__xludf.DUMMYFUNCTION("""COMPUTED_VALUE"""),180.37)</f>
        <v>180.37</v>
      </c>
      <c r="C1878" s="1">
        <f ca="1">IFERROR(__xludf.DUMMYFUNCTION("""COMPUTED_VALUE"""),185.81)</f>
        <v>185.81</v>
      </c>
      <c r="D1878" s="1">
        <f ca="1">IFERROR(__xludf.DUMMYFUNCTION("""COMPUTED_VALUE"""),178.84)</f>
        <v>178.84</v>
      </c>
      <c r="E1878" s="1">
        <f ca="1">IFERROR(__xludf.DUMMYFUNCTION("""COMPUTED_VALUE"""),184.13)</f>
        <v>184.13</v>
      </c>
      <c r="F1878" s="1">
        <f ca="1">IFERROR(__xludf.DUMMYFUNCTION("""COMPUTED_VALUE"""),121374453)</f>
        <v>121374453</v>
      </c>
      <c r="G1878" s="5">
        <f t="shared" ca="1" si="87"/>
        <v>-2.1723782110465432E-2</v>
      </c>
      <c r="H1878" s="14">
        <f t="shared" si="88"/>
        <v>2023</v>
      </c>
      <c r="I1878" s="5">
        <f t="shared" ca="1" si="89"/>
        <v>2.0846038698231362E-2</v>
      </c>
      <c r="J1878" s="16"/>
    </row>
    <row r="1879" spans="1:10" x14ac:dyDescent="0.2">
      <c r="A1879" s="3">
        <v>45002</v>
      </c>
      <c r="B1879" s="1">
        <f ca="1">IFERROR(__xludf.DUMMYFUNCTION("""COMPUTED_VALUE"""),184.52)</f>
        <v>184.52</v>
      </c>
      <c r="C1879" s="1">
        <f ca="1">IFERROR(__xludf.DUMMYFUNCTION("""COMPUTED_VALUE"""),186.22)</f>
        <v>186.22</v>
      </c>
      <c r="D1879" s="1">
        <f ca="1">IFERROR(__xludf.DUMMYFUNCTION("""COMPUTED_VALUE"""),177.33)</f>
        <v>177.33</v>
      </c>
      <c r="E1879" s="1">
        <f ca="1">IFERROR(__xludf.DUMMYFUNCTION("""COMPUTED_VALUE"""),180.13)</f>
        <v>180.13</v>
      </c>
      <c r="F1879" s="1">
        <f ca="1">IFERROR(__xludf.DUMMYFUNCTION("""COMPUTED_VALUE"""),133197140)</f>
        <v>133197140</v>
      </c>
      <c r="G1879" s="5">
        <f t="shared" ca="1" si="87"/>
        <v>1.7320823849442096E-2</v>
      </c>
      <c r="H1879" s="14">
        <f t="shared" si="88"/>
        <v>2023</v>
      </c>
      <c r="I1879" s="5">
        <f t="shared" ca="1" si="89"/>
        <v>-2.3791458920442307E-2</v>
      </c>
      <c r="J1879" s="16"/>
    </row>
    <row r="1880" spans="1:10" x14ac:dyDescent="0.2">
      <c r="A1880" s="3">
        <v>45005</v>
      </c>
      <c r="B1880" s="1">
        <f ca="1">IFERROR(__xludf.DUMMYFUNCTION("""COMPUTED_VALUE"""),178.08)</f>
        <v>178.08</v>
      </c>
      <c r="C1880" s="1">
        <f ca="1">IFERROR(__xludf.DUMMYFUNCTION("""COMPUTED_VALUE"""),186.44)</f>
        <v>186.44</v>
      </c>
      <c r="D1880" s="1">
        <f ca="1">IFERROR(__xludf.DUMMYFUNCTION("""COMPUTED_VALUE"""),176.35)</f>
        <v>176.35</v>
      </c>
      <c r="E1880" s="1">
        <f ca="1">IFERROR(__xludf.DUMMYFUNCTION("""COMPUTED_VALUE"""),183.25)</f>
        <v>183.25</v>
      </c>
      <c r="F1880" s="1">
        <f ca="1">IFERROR(__xludf.DUMMYFUNCTION("""COMPUTED_VALUE"""),129684359)</f>
        <v>129684359</v>
      </c>
      <c r="G1880" s="5">
        <f t="shared" ca="1" si="87"/>
        <v>7.8199181446111932E-2</v>
      </c>
      <c r="H1880" s="14">
        <f t="shared" si="88"/>
        <v>2023</v>
      </c>
      <c r="I1880" s="5">
        <f t="shared" ca="1" si="89"/>
        <v>2.9031895777178723E-2</v>
      </c>
      <c r="J1880" s="16"/>
    </row>
    <row r="1881" spans="1:10" x14ac:dyDescent="0.2">
      <c r="A1881" s="3">
        <v>45006</v>
      </c>
      <c r="B1881" s="1">
        <f ca="1">IFERROR(__xludf.DUMMYFUNCTION("""COMPUTED_VALUE"""),188.28)</f>
        <v>188.28</v>
      </c>
      <c r="C1881" s="1">
        <f ca="1">IFERROR(__xludf.DUMMYFUNCTION("""COMPUTED_VALUE"""),198)</f>
        <v>198</v>
      </c>
      <c r="D1881" s="1">
        <f ca="1">IFERROR(__xludf.DUMMYFUNCTION("""COMPUTED_VALUE"""),188.04)</f>
        <v>188.04</v>
      </c>
      <c r="E1881" s="1">
        <f ca="1">IFERROR(__xludf.DUMMYFUNCTION("""COMPUTED_VALUE"""),197.58)</f>
        <v>197.58</v>
      </c>
      <c r="F1881" s="1">
        <f ca="1">IFERROR(__xludf.DUMMYFUNCTION("""COMPUTED_VALUE"""),153391444)</f>
        <v>153391444</v>
      </c>
      <c r="G1881" s="5">
        <f t="shared" ca="1" si="87"/>
        <v>-3.2543779734791001E-2</v>
      </c>
      <c r="H1881" s="14">
        <f t="shared" si="88"/>
        <v>2023</v>
      </c>
      <c r="I1881" s="5">
        <f t="shared" ca="1" si="89"/>
        <v>4.9394518801784637E-2</v>
      </c>
      <c r="J1881" s="16"/>
    </row>
    <row r="1882" spans="1:10" x14ac:dyDescent="0.2">
      <c r="A1882" s="3">
        <v>45007</v>
      </c>
      <c r="B1882" s="1">
        <f ca="1">IFERROR(__xludf.DUMMYFUNCTION("""COMPUTED_VALUE"""),199.3)</f>
        <v>199.3</v>
      </c>
      <c r="C1882" s="1">
        <f ca="1">IFERROR(__xludf.DUMMYFUNCTION("""COMPUTED_VALUE"""),200.66)</f>
        <v>200.66</v>
      </c>
      <c r="D1882" s="1">
        <f ca="1">IFERROR(__xludf.DUMMYFUNCTION("""COMPUTED_VALUE"""),190.95)</f>
        <v>190.95</v>
      </c>
      <c r="E1882" s="1">
        <f ca="1">IFERROR(__xludf.DUMMYFUNCTION("""COMPUTED_VALUE"""),191.15)</f>
        <v>191.15</v>
      </c>
      <c r="F1882" s="1">
        <f ca="1">IFERROR(__xludf.DUMMYFUNCTION("""COMPUTED_VALUE"""),150376373)</f>
        <v>150376373</v>
      </c>
      <c r="G1882" s="5">
        <f t="shared" ca="1" si="87"/>
        <v>5.5976981428197395E-3</v>
      </c>
      <c r="H1882" s="14">
        <f t="shared" si="88"/>
        <v>2023</v>
      </c>
      <c r="I1882" s="5">
        <f t="shared" ca="1" si="89"/>
        <v>-4.08931259407928E-2</v>
      </c>
      <c r="J1882" s="16"/>
    </row>
    <row r="1883" spans="1:10" x14ac:dyDescent="0.2">
      <c r="A1883" s="3">
        <v>45008</v>
      </c>
      <c r="B1883" s="1">
        <f ca="1">IFERROR(__xludf.DUMMYFUNCTION("""COMPUTED_VALUE"""),195.26)</f>
        <v>195.26</v>
      </c>
      <c r="C1883" s="1">
        <f ca="1">IFERROR(__xludf.DUMMYFUNCTION("""COMPUTED_VALUE"""),199.31)</f>
        <v>199.31</v>
      </c>
      <c r="D1883" s="1">
        <f ca="1">IFERROR(__xludf.DUMMYFUNCTION("""COMPUTED_VALUE"""),188.65)</f>
        <v>188.65</v>
      </c>
      <c r="E1883" s="1">
        <f ca="1">IFERROR(__xludf.DUMMYFUNCTION("""COMPUTED_VALUE"""),192.22)</f>
        <v>192.22</v>
      </c>
      <c r="F1883" s="1">
        <f ca="1">IFERROR(__xludf.DUMMYFUNCTION("""COMPUTED_VALUE"""),144193876)</f>
        <v>144193876</v>
      </c>
      <c r="G1883" s="5">
        <f t="shared" ca="1" si="87"/>
        <v>-9.416293829986485E-3</v>
      </c>
      <c r="H1883" s="14">
        <f t="shared" si="88"/>
        <v>2023</v>
      </c>
      <c r="I1883" s="5">
        <f t="shared" ca="1" si="89"/>
        <v>-1.556898494315268E-2</v>
      </c>
      <c r="J1883" s="16"/>
    </row>
    <row r="1884" spans="1:10" x14ac:dyDescent="0.2">
      <c r="A1884" s="3">
        <v>45009</v>
      </c>
      <c r="B1884" s="1">
        <f ca="1">IFERROR(__xludf.DUMMYFUNCTION("""COMPUTED_VALUE"""),191.65)</f>
        <v>191.65</v>
      </c>
      <c r="C1884" s="1">
        <f ca="1">IFERROR(__xludf.DUMMYFUNCTION("""COMPUTED_VALUE"""),192.36)</f>
        <v>192.36</v>
      </c>
      <c r="D1884" s="1">
        <f ca="1">IFERROR(__xludf.DUMMYFUNCTION("""COMPUTED_VALUE"""),187.15)</f>
        <v>187.15</v>
      </c>
      <c r="E1884" s="1">
        <f ca="1">IFERROR(__xludf.DUMMYFUNCTION("""COMPUTED_VALUE"""),190.41)</f>
        <v>190.41</v>
      </c>
      <c r="F1884" s="1">
        <f ca="1">IFERROR(__xludf.DUMMYFUNCTION("""COMPUTED_VALUE"""),116531584)</f>
        <v>116531584</v>
      </c>
      <c r="G1884" s="5">
        <f t="shared" ca="1" si="87"/>
        <v>7.3525550128670011E-3</v>
      </c>
      <c r="H1884" s="14">
        <f t="shared" si="88"/>
        <v>2023</v>
      </c>
      <c r="I1884" s="5">
        <f t="shared" ca="1" si="89"/>
        <v>-6.4701278372032824E-3</v>
      </c>
      <c r="J1884" s="16"/>
    </row>
    <row r="1885" spans="1:10" x14ac:dyDescent="0.2">
      <c r="A1885" s="3">
        <v>45012</v>
      </c>
      <c r="B1885" s="1">
        <f ca="1">IFERROR(__xludf.DUMMYFUNCTION("""COMPUTED_VALUE"""),194.42)</f>
        <v>194.42</v>
      </c>
      <c r="C1885" s="1">
        <f ca="1">IFERROR(__xludf.DUMMYFUNCTION("""COMPUTED_VALUE"""),197.39)</f>
        <v>197.39</v>
      </c>
      <c r="D1885" s="1">
        <f ca="1">IFERROR(__xludf.DUMMYFUNCTION("""COMPUTED_VALUE"""),189.94)</f>
        <v>189.94</v>
      </c>
      <c r="E1885" s="1">
        <f ca="1">IFERROR(__xludf.DUMMYFUNCTION("""COMPUTED_VALUE"""),191.81)</f>
        <v>191.81</v>
      </c>
      <c r="F1885" s="1">
        <f ca="1">IFERROR(__xludf.DUMMYFUNCTION("""COMPUTED_VALUE"""),120851587)</f>
        <v>120851587</v>
      </c>
      <c r="G1885" s="5">
        <f t="shared" ca="1" si="87"/>
        <v>-1.3659350398832201E-2</v>
      </c>
      <c r="H1885" s="14">
        <f t="shared" si="88"/>
        <v>2023</v>
      </c>
      <c r="I1885" s="5">
        <f t="shared" ca="1" si="89"/>
        <v>-1.3424544799917629E-2</v>
      </c>
      <c r="J1885" s="16"/>
    </row>
    <row r="1886" spans="1:10" x14ac:dyDescent="0.2">
      <c r="A1886" s="3">
        <v>45013</v>
      </c>
      <c r="B1886" s="1">
        <f ca="1">IFERROR(__xludf.DUMMYFUNCTION("""COMPUTED_VALUE"""),192)</f>
        <v>192</v>
      </c>
      <c r="C1886" s="1">
        <f ca="1">IFERROR(__xludf.DUMMYFUNCTION("""COMPUTED_VALUE"""),192.35)</f>
        <v>192.35</v>
      </c>
      <c r="D1886" s="1">
        <f ca="1">IFERROR(__xludf.DUMMYFUNCTION("""COMPUTED_VALUE"""),185.43)</f>
        <v>185.43</v>
      </c>
      <c r="E1886" s="1">
        <f ca="1">IFERROR(__xludf.DUMMYFUNCTION("""COMPUTED_VALUE"""),189.19)</f>
        <v>189.19</v>
      </c>
      <c r="F1886" s="1">
        <f ca="1">IFERROR(__xludf.DUMMYFUNCTION("""COMPUTED_VALUE"""),98654635)</f>
        <v>98654635</v>
      </c>
      <c r="G1886" s="5">
        <f t="shared" ca="1" si="87"/>
        <v>2.4789893757598169E-2</v>
      </c>
      <c r="H1886" s="14">
        <f t="shared" si="88"/>
        <v>2023</v>
      </c>
      <c r="I1886" s="5">
        <f t="shared" ca="1" si="89"/>
        <v>-1.4635416666666679E-2</v>
      </c>
      <c r="J1886" s="16"/>
    </row>
    <row r="1887" spans="1:10" x14ac:dyDescent="0.2">
      <c r="A1887" s="3">
        <v>45014</v>
      </c>
      <c r="B1887" s="1">
        <f ca="1">IFERROR(__xludf.DUMMYFUNCTION("""COMPUTED_VALUE"""),193.13)</f>
        <v>193.13</v>
      </c>
      <c r="C1887" s="1">
        <f ca="1">IFERROR(__xludf.DUMMYFUNCTION("""COMPUTED_VALUE"""),195.29)</f>
        <v>195.29</v>
      </c>
      <c r="D1887" s="1">
        <f ca="1">IFERROR(__xludf.DUMMYFUNCTION("""COMPUTED_VALUE"""),189.44)</f>
        <v>189.44</v>
      </c>
      <c r="E1887" s="1">
        <f ca="1">IFERROR(__xludf.DUMMYFUNCTION("""COMPUTED_VALUE"""),193.88)</f>
        <v>193.88</v>
      </c>
      <c r="F1887" s="1">
        <f ca="1">IFERROR(__xludf.DUMMYFUNCTION("""COMPUTED_VALUE"""),123660026)</f>
        <v>123660026</v>
      </c>
      <c r="G1887" s="5">
        <f t="shared" ca="1" si="87"/>
        <v>7.2209614194347314E-3</v>
      </c>
      <c r="H1887" s="14">
        <f t="shared" si="88"/>
        <v>2023</v>
      </c>
      <c r="I1887" s="5">
        <f t="shared" ca="1" si="89"/>
        <v>3.8833946046704293E-3</v>
      </c>
      <c r="J1887" s="16"/>
    </row>
    <row r="1888" spans="1:10" x14ac:dyDescent="0.2">
      <c r="A1888" s="3">
        <v>45015</v>
      </c>
      <c r="B1888" s="1">
        <f ca="1">IFERROR(__xludf.DUMMYFUNCTION("""COMPUTED_VALUE"""),195.58)</f>
        <v>195.58</v>
      </c>
      <c r="C1888" s="1">
        <f ca="1">IFERROR(__xludf.DUMMYFUNCTION("""COMPUTED_VALUE"""),197.33)</f>
        <v>197.33</v>
      </c>
      <c r="D1888" s="1">
        <f ca="1">IFERROR(__xludf.DUMMYFUNCTION("""COMPUTED_VALUE"""),194.42)</f>
        <v>194.42</v>
      </c>
      <c r="E1888" s="1">
        <f ca="1">IFERROR(__xludf.DUMMYFUNCTION("""COMPUTED_VALUE"""),195.28)</f>
        <v>195.28</v>
      </c>
      <c r="F1888" s="1">
        <f ca="1">IFERROR(__xludf.DUMMYFUNCTION("""COMPUTED_VALUE"""),110252238)</f>
        <v>110252238</v>
      </c>
      <c r="G1888" s="5">
        <f t="shared" ca="1" si="87"/>
        <v>6.2371978697255255E-2</v>
      </c>
      <c r="H1888" s="14">
        <f t="shared" si="88"/>
        <v>2023</v>
      </c>
      <c r="I1888" s="5">
        <f t="shared" ca="1" si="89"/>
        <v>-1.5338991716945052E-3</v>
      </c>
      <c r="J1888" s="16"/>
    </row>
    <row r="1889" spans="1:10" x14ac:dyDescent="0.2">
      <c r="A1889" s="3">
        <v>45016</v>
      </c>
      <c r="B1889" s="1">
        <f ca="1">IFERROR(__xludf.DUMMYFUNCTION("""COMPUTED_VALUE"""),197.53)</f>
        <v>197.53</v>
      </c>
      <c r="C1889" s="1">
        <f ca="1">IFERROR(__xludf.DUMMYFUNCTION("""COMPUTED_VALUE"""),207.79)</f>
        <v>207.79</v>
      </c>
      <c r="D1889" s="1">
        <f ca="1">IFERROR(__xludf.DUMMYFUNCTION("""COMPUTED_VALUE"""),197.2)</f>
        <v>197.2</v>
      </c>
      <c r="E1889" s="1">
        <f ca="1">IFERROR(__xludf.DUMMYFUNCTION("""COMPUTED_VALUE"""),207.46)</f>
        <v>207.46</v>
      </c>
      <c r="F1889" s="1">
        <f ca="1">IFERROR(__xludf.DUMMYFUNCTION("""COMPUTED_VALUE"""),170222118)</f>
        <v>170222118</v>
      </c>
      <c r="G1889" s="5">
        <f t="shared" ca="1" si="87"/>
        <v>-6.1168418008290738E-2</v>
      </c>
      <c r="H1889" s="14">
        <f t="shared" si="88"/>
        <v>2023</v>
      </c>
      <c r="I1889" s="5">
        <f t="shared" ca="1" si="89"/>
        <v>5.0270844934946622E-2</v>
      </c>
      <c r="J1889" s="16"/>
    </row>
    <row r="1890" spans="1:10" x14ac:dyDescent="0.2">
      <c r="A1890" s="3">
        <v>45019</v>
      </c>
      <c r="B1890" s="1">
        <f ca="1">IFERROR(__xludf.DUMMYFUNCTION("""COMPUTED_VALUE"""),199.91)</f>
        <v>199.91</v>
      </c>
      <c r="C1890" s="1">
        <f ca="1">IFERROR(__xludf.DUMMYFUNCTION("""COMPUTED_VALUE"""),202.69)</f>
        <v>202.69</v>
      </c>
      <c r="D1890" s="1">
        <f ca="1">IFERROR(__xludf.DUMMYFUNCTION("""COMPUTED_VALUE"""),192.2)</f>
        <v>192.2</v>
      </c>
      <c r="E1890" s="1">
        <f ca="1">IFERROR(__xludf.DUMMYFUNCTION("""COMPUTED_VALUE"""),194.77)</f>
        <v>194.77</v>
      </c>
      <c r="F1890" s="1">
        <f ca="1">IFERROR(__xludf.DUMMYFUNCTION("""COMPUTED_VALUE"""),169545900)</f>
        <v>169545900</v>
      </c>
      <c r="G1890" s="5">
        <f t="shared" ca="1" si="87"/>
        <v>-1.1244031421676837E-2</v>
      </c>
      <c r="H1890" s="14">
        <f t="shared" si="88"/>
        <v>2023</v>
      </c>
      <c r="I1890" s="5">
        <f t="shared" ca="1" si="89"/>
        <v>-2.5711570206592899E-2</v>
      </c>
      <c r="J1890" s="16"/>
    </row>
    <row r="1891" spans="1:10" x14ac:dyDescent="0.2">
      <c r="A1891" s="3">
        <v>45020</v>
      </c>
      <c r="B1891" s="1">
        <f ca="1">IFERROR(__xludf.DUMMYFUNCTION("""COMPUTED_VALUE"""),197.32)</f>
        <v>197.32</v>
      </c>
      <c r="C1891" s="1">
        <f ca="1">IFERROR(__xludf.DUMMYFUNCTION("""COMPUTED_VALUE"""),198.74)</f>
        <v>198.74</v>
      </c>
      <c r="D1891" s="1">
        <f ca="1">IFERROR(__xludf.DUMMYFUNCTION("""COMPUTED_VALUE"""),190.32)</f>
        <v>190.32</v>
      </c>
      <c r="E1891" s="1">
        <f ca="1">IFERROR(__xludf.DUMMYFUNCTION("""COMPUTED_VALUE"""),192.58)</f>
        <v>192.58</v>
      </c>
      <c r="F1891" s="1">
        <f ca="1">IFERROR(__xludf.DUMMYFUNCTION("""COMPUTED_VALUE"""),126463845)</f>
        <v>126463845</v>
      </c>
      <c r="G1891" s="5">
        <f t="shared" ca="1" si="87"/>
        <v>-3.6660089313532047E-2</v>
      </c>
      <c r="H1891" s="14">
        <f t="shared" si="88"/>
        <v>2023</v>
      </c>
      <c r="I1891" s="5">
        <f t="shared" ca="1" si="89"/>
        <v>-2.4021893371173633E-2</v>
      </c>
      <c r="J1891" s="16"/>
    </row>
    <row r="1892" spans="1:10" x14ac:dyDescent="0.2">
      <c r="A1892" s="3">
        <v>45021</v>
      </c>
      <c r="B1892" s="1">
        <f ca="1">IFERROR(__xludf.DUMMYFUNCTION("""COMPUTED_VALUE"""),190.52)</f>
        <v>190.52</v>
      </c>
      <c r="C1892" s="1">
        <f ca="1">IFERROR(__xludf.DUMMYFUNCTION("""COMPUTED_VALUE"""),190.68)</f>
        <v>190.68</v>
      </c>
      <c r="D1892" s="1">
        <f ca="1">IFERROR(__xludf.DUMMYFUNCTION("""COMPUTED_VALUE"""),183.76)</f>
        <v>183.76</v>
      </c>
      <c r="E1892" s="1">
        <f ca="1">IFERROR(__xludf.DUMMYFUNCTION("""COMPUTED_VALUE"""),185.52)</f>
        <v>185.52</v>
      </c>
      <c r="F1892" s="1">
        <f ca="1">IFERROR(__xludf.DUMMYFUNCTION("""COMPUTED_VALUE"""),133882493)</f>
        <v>133882493</v>
      </c>
      <c r="G1892" s="5">
        <f t="shared" ca="1" si="87"/>
        <v>-2.4795170332040099E-3</v>
      </c>
      <c r="H1892" s="14">
        <f t="shared" si="88"/>
        <v>2023</v>
      </c>
      <c r="I1892" s="5">
        <f t="shared" ca="1" si="89"/>
        <v>-2.6243963888305688E-2</v>
      </c>
      <c r="J1892" s="16"/>
    </row>
    <row r="1893" spans="1:10" x14ac:dyDescent="0.2">
      <c r="A1893" s="3">
        <v>45022</v>
      </c>
      <c r="B1893" s="1">
        <f ca="1">IFERROR(__xludf.DUMMYFUNCTION("""COMPUTED_VALUE"""),183.08)</f>
        <v>183.08</v>
      </c>
      <c r="C1893" s="1">
        <f ca="1">IFERROR(__xludf.DUMMYFUNCTION("""COMPUTED_VALUE"""),186.39)</f>
        <v>186.39</v>
      </c>
      <c r="D1893" s="1">
        <f ca="1">IFERROR(__xludf.DUMMYFUNCTION("""COMPUTED_VALUE"""),179.74)</f>
        <v>179.74</v>
      </c>
      <c r="E1893" s="1">
        <f ca="1">IFERROR(__xludf.DUMMYFUNCTION("""COMPUTED_VALUE"""),185.06)</f>
        <v>185.06</v>
      </c>
      <c r="F1893" s="1">
        <f ca="1">IFERROR(__xludf.DUMMYFUNCTION("""COMPUTED_VALUE"""),123857932)</f>
        <v>123857932</v>
      </c>
      <c r="G1893" s="5">
        <f t="shared" ca="1" si="87"/>
        <v>-2.9720090781368818E-3</v>
      </c>
      <c r="H1893" s="14">
        <f t="shared" si="88"/>
        <v>2023</v>
      </c>
      <c r="I1893" s="5">
        <f t="shared" ca="1" si="89"/>
        <v>1.0814944286650589E-2</v>
      </c>
      <c r="J1893" s="16"/>
    </row>
    <row r="1894" spans="1:10" x14ac:dyDescent="0.2">
      <c r="A1894" s="3">
        <v>45026</v>
      </c>
      <c r="B1894" s="1">
        <f ca="1">IFERROR(__xludf.DUMMYFUNCTION("""COMPUTED_VALUE"""),179.94)</f>
        <v>179.94</v>
      </c>
      <c r="C1894" s="1">
        <f ca="1">IFERROR(__xludf.DUMMYFUNCTION("""COMPUTED_VALUE"""),185.1)</f>
        <v>185.1</v>
      </c>
      <c r="D1894" s="1">
        <f ca="1">IFERROR(__xludf.DUMMYFUNCTION("""COMPUTED_VALUE"""),176.11)</f>
        <v>176.11</v>
      </c>
      <c r="E1894" s="1">
        <f ca="1">IFERROR(__xludf.DUMMYFUNCTION("""COMPUTED_VALUE"""),184.51)</f>
        <v>184.51</v>
      </c>
      <c r="F1894" s="1">
        <f ca="1">IFERROR(__xludf.DUMMYFUNCTION("""COMPUTED_VALUE"""),142154637)</f>
        <v>142154637</v>
      </c>
      <c r="G1894" s="5">
        <f t="shared" ca="1" si="87"/>
        <v>1.2357053818221241E-2</v>
      </c>
      <c r="H1894" s="14">
        <f t="shared" si="88"/>
        <v>2023</v>
      </c>
      <c r="I1894" s="5">
        <f t="shared" ca="1" si="89"/>
        <v>2.5397354673780112E-2</v>
      </c>
      <c r="J1894" s="16"/>
    </row>
    <row r="1895" spans="1:10" x14ac:dyDescent="0.2">
      <c r="A1895" s="3">
        <v>45027</v>
      </c>
      <c r="B1895" s="1">
        <f ca="1">IFERROR(__xludf.DUMMYFUNCTION("""COMPUTED_VALUE"""),186.69)</f>
        <v>186.69</v>
      </c>
      <c r="C1895" s="1">
        <f ca="1">IFERROR(__xludf.DUMMYFUNCTION("""COMPUTED_VALUE"""),189.19)</f>
        <v>189.19</v>
      </c>
      <c r="D1895" s="1">
        <f ca="1">IFERROR(__xludf.DUMMYFUNCTION("""COMPUTED_VALUE"""),185.65)</f>
        <v>185.65</v>
      </c>
      <c r="E1895" s="1">
        <f ca="1">IFERROR(__xludf.DUMMYFUNCTION("""COMPUTED_VALUE"""),186.79)</f>
        <v>186.79</v>
      </c>
      <c r="F1895" s="1">
        <f ca="1">IFERROR(__xludf.DUMMYFUNCTION("""COMPUTED_VALUE"""),115770892)</f>
        <v>115770892</v>
      </c>
      <c r="G1895" s="5">
        <f t="shared" ca="1" si="87"/>
        <v>-3.3460035333797315E-2</v>
      </c>
      <c r="H1895" s="14">
        <f t="shared" si="88"/>
        <v>2023</v>
      </c>
      <c r="I1895" s="5">
        <f t="shared" ca="1" si="89"/>
        <v>5.3564732979803056E-4</v>
      </c>
      <c r="J1895" s="16"/>
    </row>
    <row r="1896" spans="1:10" x14ac:dyDescent="0.2">
      <c r="A1896" s="3">
        <v>45028</v>
      </c>
      <c r="B1896" s="1">
        <f ca="1">IFERROR(__xludf.DUMMYFUNCTION("""COMPUTED_VALUE"""),190.74)</f>
        <v>190.74</v>
      </c>
      <c r="C1896" s="1">
        <f ca="1">IFERROR(__xludf.DUMMYFUNCTION("""COMPUTED_VALUE"""),191.58)</f>
        <v>191.58</v>
      </c>
      <c r="D1896" s="1">
        <f ca="1">IFERROR(__xludf.DUMMYFUNCTION("""COMPUTED_VALUE"""),180.31)</f>
        <v>180.31</v>
      </c>
      <c r="E1896" s="1">
        <f ca="1">IFERROR(__xludf.DUMMYFUNCTION("""COMPUTED_VALUE"""),180.54)</f>
        <v>180.54</v>
      </c>
      <c r="F1896" s="1">
        <f ca="1">IFERROR(__xludf.DUMMYFUNCTION("""COMPUTED_VALUE"""),150256278)</f>
        <v>150256278</v>
      </c>
      <c r="G1896" s="5">
        <f t="shared" ca="1" si="87"/>
        <v>2.9688711642849308E-2</v>
      </c>
      <c r="H1896" s="14">
        <f t="shared" si="88"/>
        <v>2023</v>
      </c>
      <c r="I1896" s="5">
        <f t="shared" ca="1" si="89"/>
        <v>-5.3475935828877094E-2</v>
      </c>
      <c r="J1896" s="16"/>
    </row>
    <row r="1897" spans="1:10" x14ac:dyDescent="0.2">
      <c r="A1897" s="3">
        <v>45029</v>
      </c>
      <c r="B1897" s="1">
        <f ca="1">IFERROR(__xludf.DUMMYFUNCTION("""COMPUTED_VALUE"""),182.96)</f>
        <v>182.96</v>
      </c>
      <c r="C1897" s="1">
        <f ca="1">IFERROR(__xludf.DUMMYFUNCTION("""COMPUTED_VALUE"""),186.5)</f>
        <v>186.5</v>
      </c>
      <c r="D1897" s="1">
        <f ca="1">IFERROR(__xludf.DUMMYFUNCTION("""COMPUTED_VALUE"""),180.94)</f>
        <v>180.94</v>
      </c>
      <c r="E1897" s="1">
        <f ca="1">IFERROR(__xludf.DUMMYFUNCTION("""COMPUTED_VALUE"""),185.9)</f>
        <v>185.9</v>
      </c>
      <c r="F1897" s="1">
        <f ca="1">IFERROR(__xludf.DUMMYFUNCTION("""COMPUTED_VALUE"""),112932985)</f>
        <v>112932985</v>
      </c>
      <c r="G1897" s="5">
        <f t="shared" ca="1" si="87"/>
        <v>-4.841312533620256E-3</v>
      </c>
      <c r="H1897" s="14">
        <f t="shared" si="88"/>
        <v>2023</v>
      </c>
      <c r="I1897" s="5">
        <f t="shared" ca="1" si="89"/>
        <v>1.6069086139046774E-2</v>
      </c>
      <c r="J1897" s="16"/>
    </row>
    <row r="1898" spans="1:10" x14ac:dyDescent="0.2">
      <c r="A1898" s="3">
        <v>45030</v>
      </c>
      <c r="B1898" s="1">
        <f ca="1">IFERROR(__xludf.DUMMYFUNCTION("""COMPUTED_VALUE"""),183.95)</f>
        <v>183.95</v>
      </c>
      <c r="C1898" s="1">
        <f ca="1">IFERROR(__xludf.DUMMYFUNCTION("""COMPUTED_VALUE"""),186.28)</f>
        <v>186.28</v>
      </c>
      <c r="D1898" s="1">
        <f ca="1">IFERROR(__xludf.DUMMYFUNCTION("""COMPUTED_VALUE"""),182.01)</f>
        <v>182.01</v>
      </c>
      <c r="E1898" s="1">
        <f ca="1">IFERROR(__xludf.DUMMYFUNCTION("""COMPUTED_VALUE"""),185)</f>
        <v>185</v>
      </c>
      <c r="F1898" s="1">
        <f ca="1">IFERROR(__xludf.DUMMYFUNCTION("""COMPUTED_VALUE"""),96438664)</f>
        <v>96438664</v>
      </c>
      <c r="G1898" s="5">
        <f t="shared" ca="1" si="87"/>
        <v>1.1027027027026985E-2</v>
      </c>
      <c r="H1898" s="14">
        <f t="shared" si="88"/>
        <v>2023</v>
      </c>
      <c r="I1898" s="5">
        <f t="shared" ca="1" si="89"/>
        <v>5.7080728458820951E-3</v>
      </c>
      <c r="J1898" s="16"/>
    </row>
    <row r="1899" spans="1:10" x14ac:dyDescent="0.2">
      <c r="A1899" s="3">
        <v>45033</v>
      </c>
      <c r="B1899" s="1">
        <f ca="1">IFERROR(__xludf.DUMMYFUNCTION("""COMPUTED_VALUE"""),186.32)</f>
        <v>186.32</v>
      </c>
      <c r="C1899" s="1">
        <f ca="1">IFERROR(__xludf.DUMMYFUNCTION("""COMPUTED_VALUE"""),189.69)</f>
        <v>189.69</v>
      </c>
      <c r="D1899" s="1">
        <f ca="1">IFERROR(__xludf.DUMMYFUNCTION("""COMPUTED_VALUE"""),182.69)</f>
        <v>182.69</v>
      </c>
      <c r="E1899" s="1">
        <f ca="1">IFERROR(__xludf.DUMMYFUNCTION("""COMPUTED_VALUE"""),187.04)</f>
        <v>187.04</v>
      </c>
      <c r="F1899" s="1">
        <f ca="1">IFERROR(__xludf.DUMMYFUNCTION("""COMPUTED_VALUE"""),116662189)</f>
        <v>116662189</v>
      </c>
      <c r="G1899" s="5">
        <f t="shared" ca="1" si="87"/>
        <v>-1.4595808383233478E-2</v>
      </c>
      <c r="H1899" s="14">
        <f t="shared" si="88"/>
        <v>2023</v>
      </c>
      <c r="I1899" s="5">
        <f t="shared" ca="1" si="89"/>
        <v>3.8643194504078943E-3</v>
      </c>
      <c r="J1899" s="16"/>
    </row>
    <row r="1900" spans="1:10" x14ac:dyDescent="0.2">
      <c r="A1900" s="3">
        <v>45034</v>
      </c>
      <c r="B1900" s="1">
        <f ca="1">IFERROR(__xludf.DUMMYFUNCTION("""COMPUTED_VALUE"""),187.15)</f>
        <v>187.15</v>
      </c>
      <c r="C1900" s="1">
        <f ca="1">IFERROR(__xludf.DUMMYFUNCTION("""COMPUTED_VALUE"""),187.69)</f>
        <v>187.69</v>
      </c>
      <c r="D1900" s="1">
        <f ca="1">IFERROR(__xludf.DUMMYFUNCTION("""COMPUTED_VALUE"""),183.58)</f>
        <v>183.58</v>
      </c>
      <c r="E1900" s="1">
        <f ca="1">IFERROR(__xludf.DUMMYFUNCTION("""COMPUTED_VALUE"""),184.31)</f>
        <v>184.31</v>
      </c>
      <c r="F1900" s="1">
        <f ca="1">IFERROR(__xludf.DUMMYFUNCTION("""COMPUTED_VALUE"""),92067016)</f>
        <v>92067016</v>
      </c>
      <c r="G1900" s="5">
        <f t="shared" ca="1" si="87"/>
        <v>-2.0183386685475552E-2</v>
      </c>
      <c r="H1900" s="14">
        <f t="shared" si="88"/>
        <v>2023</v>
      </c>
      <c r="I1900" s="5">
        <f t="shared" ca="1" si="89"/>
        <v>-1.5174993320865634E-2</v>
      </c>
      <c r="J1900" s="16"/>
    </row>
    <row r="1901" spans="1:10" x14ac:dyDescent="0.2">
      <c r="A1901" s="3">
        <v>45035</v>
      </c>
      <c r="B1901" s="1">
        <f ca="1">IFERROR(__xludf.DUMMYFUNCTION("""COMPUTED_VALUE"""),179.1)</f>
        <v>179.1</v>
      </c>
      <c r="C1901" s="1">
        <f ca="1">IFERROR(__xludf.DUMMYFUNCTION("""COMPUTED_VALUE"""),183.5)</f>
        <v>183.5</v>
      </c>
      <c r="D1901" s="1">
        <f ca="1">IFERROR(__xludf.DUMMYFUNCTION("""COMPUTED_VALUE"""),177.65)</f>
        <v>177.65</v>
      </c>
      <c r="E1901" s="1">
        <f ca="1">IFERROR(__xludf.DUMMYFUNCTION("""COMPUTED_VALUE"""),180.59)</f>
        <v>180.59</v>
      </c>
      <c r="F1901" s="1">
        <f ca="1">IFERROR(__xludf.DUMMYFUNCTION("""COMPUTED_VALUE"""),125732687)</f>
        <v>125732687</v>
      </c>
      <c r="G1901" s="5">
        <f t="shared" ca="1" si="87"/>
        <v>-9.7458331026081146E-2</v>
      </c>
      <c r="H1901" s="14">
        <f t="shared" si="88"/>
        <v>2023</v>
      </c>
      <c r="I1901" s="5">
        <f t="shared" ca="1" si="89"/>
        <v>8.319374651032994E-3</v>
      </c>
      <c r="J1901" s="16"/>
    </row>
    <row r="1902" spans="1:10" x14ac:dyDescent="0.2">
      <c r="A1902" s="3">
        <v>45036</v>
      </c>
      <c r="B1902" s="1">
        <f ca="1">IFERROR(__xludf.DUMMYFUNCTION("""COMPUTED_VALUE"""),166.17)</f>
        <v>166.17</v>
      </c>
      <c r="C1902" s="1">
        <f ca="1">IFERROR(__xludf.DUMMYFUNCTION("""COMPUTED_VALUE"""),169.7)</f>
        <v>169.7</v>
      </c>
      <c r="D1902" s="1">
        <f ca="1">IFERROR(__xludf.DUMMYFUNCTION("""COMPUTED_VALUE"""),160.56)</f>
        <v>160.56</v>
      </c>
      <c r="E1902" s="1">
        <f ca="1">IFERROR(__xludf.DUMMYFUNCTION("""COMPUTED_VALUE"""),162.99)</f>
        <v>162.99</v>
      </c>
      <c r="F1902" s="1">
        <f ca="1">IFERROR(__xludf.DUMMYFUNCTION("""COMPUTED_VALUE"""),210970819)</f>
        <v>210970819</v>
      </c>
      <c r="G1902" s="5">
        <f t="shared" ca="1" si="87"/>
        <v>1.2822872568869275E-2</v>
      </c>
      <c r="H1902" s="14">
        <f t="shared" si="88"/>
        <v>2023</v>
      </c>
      <c r="I1902" s="5">
        <f t="shared" ca="1" si="89"/>
        <v>-1.9137028344466383E-2</v>
      </c>
      <c r="J1902" s="16"/>
    </row>
    <row r="1903" spans="1:10" x14ac:dyDescent="0.2">
      <c r="A1903" s="3">
        <v>45037</v>
      </c>
      <c r="B1903" s="1">
        <f ca="1">IFERROR(__xludf.DUMMYFUNCTION("""COMPUTED_VALUE"""),164.8)</f>
        <v>164.8</v>
      </c>
      <c r="C1903" s="1">
        <f ca="1">IFERROR(__xludf.DUMMYFUNCTION("""COMPUTED_VALUE"""),166)</f>
        <v>166</v>
      </c>
      <c r="D1903" s="1">
        <f ca="1">IFERROR(__xludf.DUMMYFUNCTION("""COMPUTED_VALUE"""),161.32)</f>
        <v>161.32</v>
      </c>
      <c r="E1903" s="1">
        <f ca="1">IFERROR(__xludf.DUMMYFUNCTION("""COMPUTED_VALUE"""),165.08)</f>
        <v>165.08</v>
      </c>
      <c r="F1903" s="1">
        <f ca="1">IFERROR(__xludf.DUMMYFUNCTION("""COMPUTED_VALUE"""),123538954)</f>
        <v>123538954</v>
      </c>
      <c r="G1903" s="5">
        <f t="shared" ca="1" si="87"/>
        <v>-1.5325902592682341E-2</v>
      </c>
      <c r="H1903" s="14">
        <f t="shared" si="88"/>
        <v>2023</v>
      </c>
      <c r="I1903" s="5">
        <f t="shared" ca="1" si="89"/>
        <v>1.6990291262135989E-3</v>
      </c>
      <c r="J1903" s="16"/>
    </row>
    <row r="1904" spans="1:10" x14ac:dyDescent="0.2">
      <c r="A1904" s="3">
        <v>45040</v>
      </c>
      <c r="B1904" s="1">
        <f ca="1">IFERROR(__xludf.DUMMYFUNCTION("""COMPUTED_VALUE"""),164.65)</f>
        <v>164.65</v>
      </c>
      <c r="C1904" s="1">
        <f ca="1">IFERROR(__xludf.DUMMYFUNCTION("""COMPUTED_VALUE"""),165.65)</f>
        <v>165.65</v>
      </c>
      <c r="D1904" s="1">
        <f ca="1">IFERROR(__xludf.DUMMYFUNCTION("""COMPUTED_VALUE"""),158.61)</f>
        <v>158.61000000000001</v>
      </c>
      <c r="E1904" s="1">
        <f ca="1">IFERROR(__xludf.DUMMYFUNCTION("""COMPUTED_VALUE"""),162.55)</f>
        <v>162.55000000000001</v>
      </c>
      <c r="F1904" s="1">
        <f ca="1">IFERROR(__xludf.DUMMYFUNCTION("""COMPUTED_VALUE"""),140006559)</f>
        <v>140006559</v>
      </c>
      <c r="G1904" s="5">
        <f t="shared" ca="1" si="87"/>
        <v>-1.1565672100892179E-2</v>
      </c>
      <c r="H1904" s="14">
        <f t="shared" si="88"/>
        <v>2023</v>
      </c>
      <c r="I1904" s="5">
        <f t="shared" ca="1" si="89"/>
        <v>-1.27543273610689E-2</v>
      </c>
      <c r="J1904" s="16"/>
    </row>
    <row r="1905" spans="1:10" x14ac:dyDescent="0.2">
      <c r="A1905" s="3">
        <v>45041</v>
      </c>
      <c r="B1905" s="1">
        <f ca="1">IFERROR(__xludf.DUMMYFUNCTION("""COMPUTED_VALUE"""),159.82)</f>
        <v>159.82</v>
      </c>
      <c r="C1905" s="1">
        <f ca="1">IFERROR(__xludf.DUMMYFUNCTION("""COMPUTED_VALUE"""),163.47)</f>
        <v>163.47</v>
      </c>
      <c r="D1905" s="1">
        <f ca="1">IFERROR(__xludf.DUMMYFUNCTION("""COMPUTED_VALUE"""),158.75)</f>
        <v>158.75</v>
      </c>
      <c r="E1905" s="1">
        <f ca="1">IFERROR(__xludf.DUMMYFUNCTION("""COMPUTED_VALUE"""),160.67)</f>
        <v>160.66999999999999</v>
      </c>
      <c r="F1905" s="1">
        <f ca="1">IFERROR(__xludf.DUMMYFUNCTION("""COMPUTED_VALUE"""),121999312)</f>
        <v>121999312</v>
      </c>
      <c r="G1905" s="5">
        <f t="shared" ca="1" si="87"/>
        <v>-4.3069645857969678E-2</v>
      </c>
      <c r="H1905" s="14">
        <f t="shared" si="88"/>
        <v>2023</v>
      </c>
      <c r="I1905" s="5">
        <f t="shared" ca="1" si="89"/>
        <v>5.3184832937053835E-3</v>
      </c>
      <c r="J1905" s="16"/>
    </row>
    <row r="1906" spans="1:10" x14ac:dyDescent="0.2">
      <c r="A1906" s="3">
        <v>45042</v>
      </c>
      <c r="B1906" s="1">
        <f ca="1">IFERROR(__xludf.DUMMYFUNCTION("""COMPUTED_VALUE"""),160.29)</f>
        <v>160.29</v>
      </c>
      <c r="C1906" s="1">
        <f ca="1">IFERROR(__xludf.DUMMYFUNCTION("""COMPUTED_VALUE"""),160.67)</f>
        <v>160.66999999999999</v>
      </c>
      <c r="D1906" s="1">
        <f ca="1">IFERROR(__xludf.DUMMYFUNCTION("""COMPUTED_VALUE"""),153.14)</f>
        <v>153.13999999999999</v>
      </c>
      <c r="E1906" s="1">
        <f ca="1">IFERROR(__xludf.DUMMYFUNCTION("""COMPUTED_VALUE"""),153.75)</f>
        <v>153.75</v>
      </c>
      <c r="F1906" s="1">
        <f ca="1">IFERROR(__xludf.DUMMYFUNCTION("""COMPUTED_VALUE"""),153364142)</f>
        <v>153364142</v>
      </c>
      <c r="G1906" s="5">
        <f t="shared" ca="1" si="87"/>
        <v>4.1886178861788602E-2</v>
      </c>
      <c r="H1906" s="14">
        <f t="shared" si="88"/>
        <v>2023</v>
      </c>
      <c r="I1906" s="5">
        <f t="shared" ca="1" si="89"/>
        <v>-4.0801048100318128E-2</v>
      </c>
      <c r="J1906" s="16"/>
    </row>
    <row r="1907" spans="1:10" x14ac:dyDescent="0.2">
      <c r="A1907" s="3">
        <v>45043</v>
      </c>
      <c r="B1907" s="1">
        <f ca="1">IFERROR(__xludf.DUMMYFUNCTION("""COMPUTED_VALUE"""),152.64)</f>
        <v>152.63999999999999</v>
      </c>
      <c r="C1907" s="1">
        <f ca="1">IFERROR(__xludf.DUMMYFUNCTION("""COMPUTED_VALUE"""),160.48)</f>
        <v>160.47999999999999</v>
      </c>
      <c r="D1907" s="1">
        <f ca="1">IFERROR(__xludf.DUMMYFUNCTION("""COMPUTED_VALUE"""),152.37)</f>
        <v>152.37</v>
      </c>
      <c r="E1907" s="1">
        <f ca="1">IFERROR(__xludf.DUMMYFUNCTION("""COMPUTED_VALUE"""),160.19)</f>
        <v>160.19</v>
      </c>
      <c r="F1907" s="1">
        <f ca="1">IFERROR(__xludf.DUMMYFUNCTION("""COMPUTED_VALUE"""),127015177)</f>
        <v>127015177</v>
      </c>
      <c r="G1907" s="5">
        <f t="shared" ca="1" si="87"/>
        <v>2.5719458143454676E-2</v>
      </c>
      <c r="H1907" s="14">
        <f t="shared" si="88"/>
        <v>2023</v>
      </c>
      <c r="I1907" s="5">
        <f t="shared" ca="1" si="89"/>
        <v>4.9462788259958153E-2</v>
      </c>
      <c r="J1907" s="16"/>
    </row>
    <row r="1908" spans="1:10" x14ac:dyDescent="0.2">
      <c r="A1908" s="3">
        <v>45044</v>
      </c>
      <c r="B1908" s="1">
        <f ca="1">IFERROR(__xludf.DUMMYFUNCTION("""COMPUTED_VALUE"""),160.9)</f>
        <v>160.9</v>
      </c>
      <c r="C1908" s="1">
        <f ca="1">IFERROR(__xludf.DUMMYFUNCTION("""COMPUTED_VALUE"""),165)</f>
        <v>165</v>
      </c>
      <c r="D1908" s="1">
        <f ca="1">IFERROR(__xludf.DUMMYFUNCTION("""COMPUTED_VALUE"""),157.32)</f>
        <v>157.32</v>
      </c>
      <c r="E1908" s="1">
        <f ca="1">IFERROR(__xludf.DUMMYFUNCTION("""COMPUTED_VALUE"""),164.31)</f>
        <v>164.31</v>
      </c>
      <c r="F1908" s="1">
        <f ca="1">IFERROR(__xludf.DUMMYFUNCTION("""COMPUTED_VALUE"""),122515812)</f>
        <v>122515812</v>
      </c>
      <c r="G1908" s="5">
        <f t="shared" ca="1" si="87"/>
        <v>-1.5093420972551822E-2</v>
      </c>
      <c r="H1908" s="14">
        <f t="shared" si="88"/>
        <v>2023</v>
      </c>
      <c r="I1908" s="5">
        <f t="shared" ca="1" si="89"/>
        <v>2.1193287756370395E-2</v>
      </c>
      <c r="J1908" s="16"/>
    </row>
    <row r="1909" spans="1:10" x14ac:dyDescent="0.2">
      <c r="A1909" s="3">
        <v>45047</v>
      </c>
      <c r="B1909" s="1">
        <f ca="1">IFERROR(__xludf.DUMMYFUNCTION("""COMPUTED_VALUE"""),163.17)</f>
        <v>163.16999999999999</v>
      </c>
      <c r="C1909" s="1">
        <f ca="1">IFERROR(__xludf.DUMMYFUNCTION("""COMPUTED_VALUE"""),163.28)</f>
        <v>163.28</v>
      </c>
      <c r="D1909" s="1">
        <f ca="1">IFERROR(__xludf.DUMMYFUNCTION("""COMPUTED_VALUE"""),158.83)</f>
        <v>158.83000000000001</v>
      </c>
      <c r="E1909" s="1">
        <f ca="1">IFERROR(__xludf.DUMMYFUNCTION("""COMPUTED_VALUE"""),161.83)</f>
        <v>161.83000000000001</v>
      </c>
      <c r="F1909" s="1">
        <f ca="1">IFERROR(__xludf.DUMMYFUNCTION("""COMPUTED_VALUE"""),109015048)</f>
        <v>109015048</v>
      </c>
      <c r="G1909" s="5">
        <f t="shared" ca="1" si="87"/>
        <v>-9.3925724525737511E-3</v>
      </c>
      <c r="H1909" s="14">
        <f t="shared" si="88"/>
        <v>2023</v>
      </c>
      <c r="I1909" s="5">
        <f t="shared" ca="1" si="89"/>
        <v>-8.2122939265794875E-3</v>
      </c>
      <c r="J1909" s="16"/>
    </row>
    <row r="1910" spans="1:10" x14ac:dyDescent="0.2">
      <c r="A1910" s="3">
        <v>45048</v>
      </c>
      <c r="B1910" s="1">
        <f ca="1">IFERROR(__xludf.DUMMYFUNCTION("""COMPUTED_VALUE"""),161.88)</f>
        <v>161.88</v>
      </c>
      <c r="C1910" s="1">
        <f ca="1">IFERROR(__xludf.DUMMYFUNCTION("""COMPUTED_VALUE"""),165.49)</f>
        <v>165.49</v>
      </c>
      <c r="D1910" s="1">
        <f ca="1">IFERROR(__xludf.DUMMYFUNCTION("""COMPUTED_VALUE"""),158.93)</f>
        <v>158.93</v>
      </c>
      <c r="E1910" s="1">
        <f ca="1">IFERROR(__xludf.DUMMYFUNCTION("""COMPUTED_VALUE"""),160.31)</f>
        <v>160.31</v>
      </c>
      <c r="F1910" s="1">
        <f ca="1">IFERROR(__xludf.DUMMYFUNCTION("""COMPUTED_VALUE"""),128259744)</f>
        <v>128259744</v>
      </c>
      <c r="G1910" s="5">
        <f t="shared" ca="1" si="87"/>
        <v>1.8713742124634232E-3</v>
      </c>
      <c r="H1910" s="14">
        <f t="shared" si="88"/>
        <v>2023</v>
      </c>
      <c r="I1910" s="5">
        <f t="shared" ca="1" si="89"/>
        <v>-9.6985421299727783E-3</v>
      </c>
      <c r="J1910" s="16"/>
    </row>
    <row r="1911" spans="1:10" x14ac:dyDescent="0.2">
      <c r="A1911" s="3">
        <v>45049</v>
      </c>
      <c r="B1911" s="1">
        <f ca="1">IFERROR(__xludf.DUMMYFUNCTION("""COMPUTED_VALUE"""),160.01)</f>
        <v>160.01</v>
      </c>
      <c r="C1911" s="1">
        <f ca="1">IFERROR(__xludf.DUMMYFUNCTION("""COMPUTED_VALUE"""),165)</f>
        <v>165</v>
      </c>
      <c r="D1911" s="1">
        <f ca="1">IFERROR(__xludf.DUMMYFUNCTION("""COMPUTED_VALUE"""),159.91)</f>
        <v>159.91</v>
      </c>
      <c r="E1911" s="1">
        <f ca="1">IFERROR(__xludf.DUMMYFUNCTION("""COMPUTED_VALUE"""),160.61)</f>
        <v>160.61000000000001</v>
      </c>
      <c r="F1911" s="1">
        <f ca="1">IFERROR(__xludf.DUMMYFUNCTION("""COMPUTED_VALUE"""),119727972)</f>
        <v>119727972</v>
      </c>
      <c r="G1911" s="5">
        <f t="shared" ca="1" si="87"/>
        <v>3.6734948010707612E-3</v>
      </c>
      <c r="H1911" s="14">
        <f t="shared" si="88"/>
        <v>2023</v>
      </c>
      <c r="I1911" s="5">
        <f t="shared" ca="1" si="89"/>
        <v>3.7497656396476642E-3</v>
      </c>
      <c r="J1911" s="16"/>
    </row>
    <row r="1912" spans="1:10" x14ac:dyDescent="0.2">
      <c r="A1912" s="3">
        <v>45050</v>
      </c>
      <c r="B1912" s="1">
        <f ca="1">IFERROR(__xludf.DUMMYFUNCTION("""COMPUTED_VALUE"""),162.71)</f>
        <v>162.71</v>
      </c>
      <c r="C1912" s="1">
        <f ca="1">IFERROR(__xludf.DUMMYFUNCTION("""COMPUTED_VALUE"""),162.95)</f>
        <v>162.94999999999999</v>
      </c>
      <c r="D1912" s="1">
        <f ca="1">IFERROR(__xludf.DUMMYFUNCTION("""COMPUTED_VALUE"""),159.65)</f>
        <v>159.65</v>
      </c>
      <c r="E1912" s="1">
        <f ca="1">IFERROR(__xludf.DUMMYFUNCTION("""COMPUTED_VALUE"""),161.2)</f>
        <v>161.19999999999999</v>
      </c>
      <c r="F1912" s="1">
        <f ca="1">IFERROR(__xludf.DUMMYFUNCTION("""COMPUTED_VALUE"""),95108492)</f>
        <v>95108492</v>
      </c>
      <c r="G1912" s="5">
        <f t="shared" ca="1" si="87"/>
        <v>5.4962779156327635E-2</v>
      </c>
      <c r="H1912" s="14">
        <f t="shared" si="88"/>
        <v>2023</v>
      </c>
      <c r="I1912" s="5">
        <f t="shared" ca="1" si="89"/>
        <v>-9.2803146702723823E-3</v>
      </c>
      <c r="J1912" s="16"/>
    </row>
    <row r="1913" spans="1:10" x14ac:dyDescent="0.2">
      <c r="A1913" s="3">
        <v>45051</v>
      </c>
      <c r="B1913" s="1">
        <f ca="1">IFERROR(__xludf.DUMMYFUNCTION("""COMPUTED_VALUE"""),163.97)</f>
        <v>163.97</v>
      </c>
      <c r="C1913" s="1">
        <f ca="1">IFERROR(__xludf.DUMMYFUNCTION("""COMPUTED_VALUE"""),170.79)</f>
        <v>170.79</v>
      </c>
      <c r="D1913" s="1">
        <f ca="1">IFERROR(__xludf.DUMMYFUNCTION("""COMPUTED_VALUE"""),163.51)</f>
        <v>163.51</v>
      </c>
      <c r="E1913" s="1">
        <f ca="1">IFERROR(__xludf.DUMMYFUNCTION("""COMPUTED_VALUE"""),170.06)</f>
        <v>170.06</v>
      </c>
      <c r="F1913" s="1">
        <f ca="1">IFERROR(__xludf.DUMMYFUNCTION("""COMPUTED_VALUE"""),107607259)</f>
        <v>107607259</v>
      </c>
      <c r="G1913" s="5">
        <f t="shared" ca="1" si="87"/>
        <v>1.0172880159943489E-2</v>
      </c>
      <c r="H1913" s="14">
        <f t="shared" si="88"/>
        <v>2023</v>
      </c>
      <c r="I1913" s="5">
        <f t="shared" ca="1" si="89"/>
        <v>3.7140940415929767E-2</v>
      </c>
      <c r="J1913" s="16"/>
    </row>
    <row r="1914" spans="1:10" x14ac:dyDescent="0.2">
      <c r="A1914" s="3">
        <v>45054</v>
      </c>
      <c r="B1914" s="1">
        <f ca="1">IFERROR(__xludf.DUMMYFUNCTION("""COMPUTED_VALUE"""),173.72)</f>
        <v>173.72</v>
      </c>
      <c r="C1914" s="1">
        <f ca="1">IFERROR(__xludf.DUMMYFUNCTION("""COMPUTED_VALUE"""),173.8)</f>
        <v>173.8</v>
      </c>
      <c r="D1914" s="1">
        <f ca="1">IFERROR(__xludf.DUMMYFUNCTION("""COMPUTED_VALUE"""),169.19)</f>
        <v>169.19</v>
      </c>
      <c r="E1914" s="1">
        <f ca="1">IFERROR(__xludf.DUMMYFUNCTION("""COMPUTED_VALUE"""),171.79)</f>
        <v>171.79</v>
      </c>
      <c r="F1914" s="1">
        <f ca="1">IFERROR(__xludf.DUMMYFUNCTION("""COMPUTED_VALUE"""),112249449)</f>
        <v>112249449</v>
      </c>
      <c r="G1914" s="5">
        <f t="shared" ca="1" si="87"/>
        <v>-1.536759997671568E-2</v>
      </c>
      <c r="H1914" s="14">
        <f t="shared" si="88"/>
        <v>2023</v>
      </c>
      <c r="I1914" s="5">
        <f t="shared" ca="1" si="89"/>
        <v>-1.1109831913423939E-2</v>
      </c>
      <c r="J1914" s="16"/>
    </row>
    <row r="1915" spans="1:10" x14ac:dyDescent="0.2">
      <c r="A1915" s="3">
        <v>45055</v>
      </c>
      <c r="B1915" s="1">
        <f ca="1">IFERROR(__xludf.DUMMYFUNCTION("""COMPUTED_VALUE"""),168.95)</f>
        <v>168.95</v>
      </c>
      <c r="C1915" s="1">
        <f ca="1">IFERROR(__xludf.DUMMYFUNCTION("""COMPUTED_VALUE"""),169.82)</f>
        <v>169.82</v>
      </c>
      <c r="D1915" s="1">
        <f ca="1">IFERROR(__xludf.DUMMYFUNCTION("""COMPUTED_VALUE"""),166.56)</f>
        <v>166.56</v>
      </c>
      <c r="E1915" s="1">
        <f ca="1">IFERROR(__xludf.DUMMYFUNCTION("""COMPUTED_VALUE"""),169.15)</f>
        <v>169.15</v>
      </c>
      <c r="F1915" s="1">
        <f ca="1">IFERROR(__xludf.DUMMYFUNCTION("""COMPUTED_VALUE"""),88965043)</f>
        <v>88965043</v>
      </c>
      <c r="G1915" s="5">
        <f t="shared" ca="1" si="87"/>
        <v>-3.6062666272539973E-3</v>
      </c>
      <c r="H1915" s="14">
        <f t="shared" si="88"/>
        <v>2023</v>
      </c>
      <c r="I1915" s="5">
        <f t="shared" ca="1" si="89"/>
        <v>1.1837821840782307E-3</v>
      </c>
      <c r="J1915" s="16"/>
    </row>
    <row r="1916" spans="1:10" x14ac:dyDescent="0.2">
      <c r="A1916" s="3">
        <v>45056</v>
      </c>
      <c r="B1916" s="1">
        <f ca="1">IFERROR(__xludf.DUMMYFUNCTION("""COMPUTED_VALUE"""),172.55)</f>
        <v>172.55</v>
      </c>
      <c r="C1916" s="1">
        <f ca="1">IFERROR(__xludf.DUMMYFUNCTION("""COMPUTED_VALUE"""),174.43)</f>
        <v>174.43</v>
      </c>
      <c r="D1916" s="1">
        <f ca="1">IFERROR(__xludf.DUMMYFUNCTION("""COMPUTED_VALUE"""),166.68)</f>
        <v>166.68</v>
      </c>
      <c r="E1916" s="1">
        <f ca="1">IFERROR(__xludf.DUMMYFUNCTION("""COMPUTED_VALUE"""),168.54)</f>
        <v>168.54</v>
      </c>
      <c r="F1916" s="1">
        <f ca="1">IFERROR(__xludf.DUMMYFUNCTION("""COMPUTED_VALUE"""),119840693)</f>
        <v>119840693</v>
      </c>
      <c r="G1916" s="5">
        <f t="shared" ca="1" si="87"/>
        <v>2.1003915984336183E-2</v>
      </c>
      <c r="H1916" s="14">
        <f t="shared" si="88"/>
        <v>2023</v>
      </c>
      <c r="I1916" s="5">
        <f t="shared" ca="1" si="89"/>
        <v>-2.323964068385986E-2</v>
      </c>
      <c r="J1916" s="16"/>
    </row>
    <row r="1917" spans="1:10" x14ac:dyDescent="0.2">
      <c r="A1917" s="3">
        <v>45057</v>
      </c>
      <c r="B1917" s="1">
        <f ca="1">IFERROR(__xludf.DUMMYFUNCTION("""COMPUTED_VALUE"""),168.7)</f>
        <v>168.7</v>
      </c>
      <c r="C1917" s="1">
        <f ca="1">IFERROR(__xludf.DUMMYFUNCTION("""COMPUTED_VALUE"""),173.57)</f>
        <v>173.57</v>
      </c>
      <c r="D1917" s="1">
        <f ca="1">IFERROR(__xludf.DUMMYFUNCTION("""COMPUTED_VALUE"""),166.79)</f>
        <v>166.79</v>
      </c>
      <c r="E1917" s="1">
        <f ca="1">IFERROR(__xludf.DUMMYFUNCTION("""COMPUTED_VALUE"""),172.08)</f>
        <v>172.08</v>
      </c>
      <c r="F1917" s="1">
        <f ca="1">IFERROR(__xludf.DUMMYFUNCTION("""COMPUTED_VALUE"""),103889930)</f>
        <v>103889930</v>
      </c>
      <c r="G1917" s="5">
        <f t="shared" ca="1" si="87"/>
        <v>-2.3826127382612868E-2</v>
      </c>
      <c r="H1917" s="14">
        <f t="shared" si="88"/>
        <v>2023</v>
      </c>
      <c r="I1917" s="5">
        <f t="shared" ca="1" si="89"/>
        <v>2.0035566093657524E-2</v>
      </c>
      <c r="J1917" s="16"/>
    </row>
    <row r="1918" spans="1:10" x14ac:dyDescent="0.2">
      <c r="A1918" s="3">
        <v>45058</v>
      </c>
      <c r="B1918" s="1">
        <f ca="1">IFERROR(__xludf.DUMMYFUNCTION("""COMPUTED_VALUE"""),176.07)</f>
        <v>176.07</v>
      </c>
      <c r="C1918" s="1">
        <f ca="1">IFERROR(__xludf.DUMMYFUNCTION("""COMPUTED_VALUE"""),177.38)</f>
        <v>177.38</v>
      </c>
      <c r="D1918" s="1">
        <f ca="1">IFERROR(__xludf.DUMMYFUNCTION("""COMPUTED_VALUE"""),167.23)</f>
        <v>167.23</v>
      </c>
      <c r="E1918" s="1">
        <f ca="1">IFERROR(__xludf.DUMMYFUNCTION("""COMPUTED_VALUE"""),167.98)</f>
        <v>167.98</v>
      </c>
      <c r="F1918" s="1">
        <f ca="1">IFERROR(__xludf.DUMMYFUNCTION("""COMPUTED_VALUE"""),157849625)</f>
        <v>157849625</v>
      </c>
      <c r="G1918" s="5">
        <f t="shared" ca="1" si="87"/>
        <v>-9.7035361352541712E-3</v>
      </c>
      <c r="H1918" s="14">
        <f t="shared" si="88"/>
        <v>2023</v>
      </c>
      <c r="I1918" s="5">
        <f t="shared" ca="1" si="89"/>
        <v>-4.5947634463565645E-2</v>
      </c>
      <c r="J1918" s="16"/>
    </row>
    <row r="1919" spans="1:10" x14ac:dyDescent="0.2">
      <c r="A1919" s="3">
        <v>45061</v>
      </c>
      <c r="B1919" s="1">
        <f ca="1">IFERROR(__xludf.DUMMYFUNCTION("""COMPUTED_VALUE"""),167.66)</f>
        <v>167.66</v>
      </c>
      <c r="C1919" s="1">
        <f ca="1">IFERROR(__xludf.DUMMYFUNCTION("""COMPUTED_VALUE"""),169.76)</f>
        <v>169.76</v>
      </c>
      <c r="D1919" s="1">
        <f ca="1">IFERROR(__xludf.DUMMYFUNCTION("""COMPUTED_VALUE"""),164.55)</f>
        <v>164.55</v>
      </c>
      <c r="E1919" s="1">
        <f ca="1">IFERROR(__xludf.DUMMYFUNCTION("""COMPUTED_VALUE"""),166.35)</f>
        <v>166.35</v>
      </c>
      <c r="F1919" s="1">
        <f ca="1">IFERROR(__xludf.DUMMYFUNCTION("""COMPUTED_VALUE"""),105592510)</f>
        <v>105592510</v>
      </c>
      <c r="G1919" s="5">
        <f t="shared" ca="1" si="87"/>
        <v>1.0219416892095939E-3</v>
      </c>
      <c r="H1919" s="14">
        <f t="shared" si="88"/>
        <v>2023</v>
      </c>
      <c r="I1919" s="5">
        <f t="shared" ca="1" si="89"/>
        <v>-7.8134319456042121E-3</v>
      </c>
      <c r="J1919" s="16"/>
    </row>
    <row r="1920" spans="1:10" x14ac:dyDescent="0.2">
      <c r="A1920" s="3">
        <v>45062</v>
      </c>
      <c r="B1920" s="1">
        <f ca="1">IFERROR(__xludf.DUMMYFUNCTION("""COMPUTED_VALUE"""),165.65)</f>
        <v>165.65</v>
      </c>
      <c r="C1920" s="1">
        <f ca="1">IFERROR(__xludf.DUMMYFUNCTION("""COMPUTED_VALUE"""),169.52)</f>
        <v>169.52</v>
      </c>
      <c r="D1920" s="1">
        <f ca="1">IFERROR(__xludf.DUMMYFUNCTION("""COMPUTED_VALUE"""),164.35)</f>
        <v>164.35</v>
      </c>
      <c r="E1920" s="1">
        <f ca="1">IFERROR(__xludf.DUMMYFUNCTION("""COMPUTED_VALUE"""),166.52)</f>
        <v>166.52</v>
      </c>
      <c r="F1920" s="1">
        <f ca="1">IFERROR(__xludf.DUMMYFUNCTION("""COMPUTED_VALUE"""),98288792)</f>
        <v>98288792</v>
      </c>
      <c r="G1920" s="5">
        <f t="shared" ca="1" si="87"/>
        <v>4.4078789334614475E-2</v>
      </c>
      <c r="H1920" s="14">
        <f t="shared" si="88"/>
        <v>2023</v>
      </c>
      <c r="I1920" s="5">
        <f t="shared" ca="1" si="89"/>
        <v>5.2520374283127344E-3</v>
      </c>
      <c r="J1920" s="16"/>
    </row>
    <row r="1921" spans="1:10" x14ac:dyDescent="0.2">
      <c r="A1921" s="3">
        <v>45063</v>
      </c>
      <c r="B1921" s="1">
        <f ca="1">IFERROR(__xludf.DUMMYFUNCTION("""COMPUTED_VALUE"""),168.41)</f>
        <v>168.41</v>
      </c>
      <c r="C1921" s="1">
        <f ca="1">IFERROR(__xludf.DUMMYFUNCTION("""COMPUTED_VALUE"""),174.5)</f>
        <v>174.5</v>
      </c>
      <c r="D1921" s="1">
        <f ca="1">IFERROR(__xludf.DUMMYFUNCTION("""COMPUTED_VALUE"""),167.19)</f>
        <v>167.19</v>
      </c>
      <c r="E1921" s="1">
        <f ca="1">IFERROR(__xludf.DUMMYFUNCTION("""COMPUTED_VALUE"""),173.86)</f>
        <v>173.86</v>
      </c>
      <c r="F1921" s="1">
        <f ca="1">IFERROR(__xludf.DUMMYFUNCTION("""COMPUTED_VALUE"""),125473558)</f>
        <v>125473558</v>
      </c>
      <c r="G1921" s="5">
        <f t="shared" ca="1" si="87"/>
        <v>1.7427815483722377E-2</v>
      </c>
      <c r="H1921" s="14">
        <f t="shared" si="88"/>
        <v>2023</v>
      </c>
      <c r="I1921" s="5">
        <f t="shared" ca="1" si="89"/>
        <v>3.2361498723353824E-2</v>
      </c>
      <c r="J1921" s="16"/>
    </row>
    <row r="1922" spans="1:10" x14ac:dyDescent="0.2">
      <c r="A1922" s="3">
        <v>45064</v>
      </c>
      <c r="B1922" s="1">
        <f ca="1">IFERROR(__xludf.DUMMYFUNCTION("""COMPUTED_VALUE"""),174.22)</f>
        <v>174.22</v>
      </c>
      <c r="C1922" s="1">
        <f ca="1">IFERROR(__xludf.DUMMYFUNCTION("""COMPUTED_VALUE"""),177.06)</f>
        <v>177.06</v>
      </c>
      <c r="D1922" s="1">
        <f ca="1">IFERROR(__xludf.DUMMYFUNCTION("""COMPUTED_VALUE"""),172.45)</f>
        <v>172.45</v>
      </c>
      <c r="E1922" s="1">
        <f ca="1">IFERROR(__xludf.DUMMYFUNCTION("""COMPUTED_VALUE"""),176.89)</f>
        <v>176.89</v>
      </c>
      <c r="F1922" s="1">
        <f ca="1">IFERROR(__xludf.DUMMYFUNCTION("""COMPUTED_VALUE"""),109520332)</f>
        <v>109520332</v>
      </c>
      <c r="G1922" s="5">
        <f t="shared" ca="1" si="87"/>
        <v>1.8373000169596927E-2</v>
      </c>
      <c r="H1922" s="14">
        <f t="shared" si="88"/>
        <v>2023</v>
      </c>
      <c r="I1922" s="5">
        <f t="shared" ca="1" si="89"/>
        <v>1.532545057972671E-2</v>
      </c>
      <c r="J1922" s="16"/>
    </row>
    <row r="1923" spans="1:10" x14ac:dyDescent="0.2">
      <c r="A1923" s="3">
        <v>45065</v>
      </c>
      <c r="B1923" s="1">
        <f ca="1">IFERROR(__xludf.DUMMYFUNCTION("""COMPUTED_VALUE"""),177.17)</f>
        <v>177.17</v>
      </c>
      <c r="C1923" s="1">
        <f ca="1">IFERROR(__xludf.DUMMYFUNCTION("""COMPUTED_VALUE"""),181.95)</f>
        <v>181.95</v>
      </c>
      <c r="D1923" s="1">
        <f ca="1">IFERROR(__xludf.DUMMYFUNCTION("""COMPUTED_VALUE"""),176.31)</f>
        <v>176.31</v>
      </c>
      <c r="E1923" s="1">
        <f ca="1">IFERROR(__xludf.DUMMYFUNCTION("""COMPUTED_VALUE"""),180.14)</f>
        <v>180.14</v>
      </c>
      <c r="F1923" s="1">
        <f ca="1">IFERROR(__xludf.DUMMYFUNCTION("""COMPUTED_VALUE"""),136196668)</f>
        <v>136196668</v>
      </c>
      <c r="G1923" s="5">
        <f t="shared" ref="G1923:G1986" ca="1" si="90">(E1924-E1923)/E1923</f>
        <v>4.8462307094482175E-2</v>
      </c>
      <c r="H1923" s="14">
        <f t="shared" ref="H1923:H1986" si="91">YEAR(A1923)</f>
        <v>2023</v>
      </c>
      <c r="I1923" s="5">
        <f t="shared" ref="I1923:I1986" ca="1" si="92">((E1923 - B1923) / B1923)</f>
        <v>1.6763560422193367E-2</v>
      </c>
      <c r="J1923" s="16"/>
    </row>
    <row r="1924" spans="1:10" x14ac:dyDescent="0.2">
      <c r="A1924" s="3">
        <v>45068</v>
      </c>
      <c r="B1924" s="1">
        <f ca="1">IFERROR(__xludf.DUMMYFUNCTION("""COMPUTED_VALUE"""),180.7)</f>
        <v>180.7</v>
      </c>
      <c r="C1924" s="1">
        <f ca="1">IFERROR(__xludf.DUMMYFUNCTION("""COMPUTED_VALUE"""),189.32)</f>
        <v>189.32</v>
      </c>
      <c r="D1924" s="1">
        <f ca="1">IFERROR(__xludf.DUMMYFUNCTION("""COMPUTED_VALUE"""),180.11)</f>
        <v>180.11</v>
      </c>
      <c r="E1924" s="1">
        <f ca="1">IFERROR(__xludf.DUMMYFUNCTION("""COMPUTED_VALUE"""),188.87)</f>
        <v>188.87</v>
      </c>
      <c r="F1924" s="1">
        <f ca="1">IFERROR(__xludf.DUMMYFUNCTION("""COMPUTED_VALUE"""),132001430)</f>
        <v>132001430</v>
      </c>
      <c r="G1924" s="5">
        <f t="shared" ca="1" si="90"/>
        <v>-1.6413406046486972E-2</v>
      </c>
      <c r="H1924" s="14">
        <f t="shared" si="91"/>
        <v>2023</v>
      </c>
      <c r="I1924" s="5">
        <f t="shared" ca="1" si="92"/>
        <v>4.521306032097408E-2</v>
      </c>
      <c r="J1924" s="16"/>
    </row>
    <row r="1925" spans="1:10" x14ac:dyDescent="0.2">
      <c r="A1925" s="3">
        <v>45069</v>
      </c>
      <c r="B1925" s="1">
        <f ca="1">IFERROR(__xludf.DUMMYFUNCTION("""COMPUTED_VALUE"""),186.2)</f>
        <v>186.2</v>
      </c>
      <c r="C1925" s="1">
        <f ca="1">IFERROR(__xludf.DUMMYFUNCTION("""COMPUTED_VALUE"""),192.96)</f>
        <v>192.96</v>
      </c>
      <c r="D1925" s="1">
        <f ca="1">IFERROR(__xludf.DUMMYFUNCTION("""COMPUTED_VALUE"""),185.26)</f>
        <v>185.26</v>
      </c>
      <c r="E1925" s="1">
        <f ca="1">IFERROR(__xludf.DUMMYFUNCTION("""COMPUTED_VALUE"""),185.77)</f>
        <v>185.77</v>
      </c>
      <c r="F1925" s="1">
        <f ca="1">IFERROR(__xludf.DUMMYFUNCTION("""COMPUTED_VALUE"""),156952130)</f>
        <v>156952130</v>
      </c>
      <c r="G1925" s="5">
        <f t="shared" ca="1" si="90"/>
        <v>-1.5449211390429049E-2</v>
      </c>
      <c r="H1925" s="14">
        <f t="shared" si="91"/>
        <v>2023</v>
      </c>
      <c r="I1925" s="5">
        <f t="shared" ca="1" si="92"/>
        <v>-2.3093447905476821E-3</v>
      </c>
      <c r="J1925" s="16"/>
    </row>
    <row r="1926" spans="1:10" x14ac:dyDescent="0.2">
      <c r="A1926" s="3">
        <v>45070</v>
      </c>
      <c r="B1926" s="1">
        <f ca="1">IFERROR(__xludf.DUMMYFUNCTION("""COMPUTED_VALUE"""),182.23)</f>
        <v>182.23</v>
      </c>
      <c r="C1926" s="1">
        <f ca="1">IFERROR(__xludf.DUMMYFUNCTION("""COMPUTED_VALUE"""),184.22)</f>
        <v>184.22</v>
      </c>
      <c r="D1926" s="1">
        <f ca="1">IFERROR(__xludf.DUMMYFUNCTION("""COMPUTED_VALUE"""),178.22)</f>
        <v>178.22</v>
      </c>
      <c r="E1926" s="1">
        <f ca="1">IFERROR(__xludf.DUMMYFUNCTION("""COMPUTED_VALUE"""),182.9)</f>
        <v>182.9</v>
      </c>
      <c r="F1926" s="1">
        <f ca="1">IFERROR(__xludf.DUMMYFUNCTION("""COMPUTED_VALUE"""),137605054)</f>
        <v>137605054</v>
      </c>
      <c r="G1926" s="5">
        <f t="shared" ca="1" si="90"/>
        <v>8.5839256424275184E-3</v>
      </c>
      <c r="H1926" s="14">
        <f t="shared" si="91"/>
        <v>2023</v>
      </c>
      <c r="I1926" s="5">
        <f t="shared" ca="1" si="92"/>
        <v>3.6766723371564284E-3</v>
      </c>
      <c r="J1926" s="16"/>
    </row>
    <row r="1927" spans="1:10" x14ac:dyDescent="0.2">
      <c r="A1927" s="3">
        <v>45071</v>
      </c>
      <c r="B1927" s="1">
        <f ca="1">IFERROR(__xludf.DUMMYFUNCTION("""COMPUTED_VALUE"""),186.54)</f>
        <v>186.54</v>
      </c>
      <c r="C1927" s="1">
        <f ca="1">IFERROR(__xludf.DUMMYFUNCTION("""COMPUTED_VALUE"""),186.78)</f>
        <v>186.78</v>
      </c>
      <c r="D1927" s="1">
        <f ca="1">IFERROR(__xludf.DUMMYFUNCTION("""COMPUTED_VALUE"""),180.58)</f>
        <v>180.58</v>
      </c>
      <c r="E1927" s="1">
        <f ca="1">IFERROR(__xludf.DUMMYFUNCTION("""COMPUTED_VALUE"""),184.47)</f>
        <v>184.47</v>
      </c>
      <c r="F1927" s="1">
        <f ca="1">IFERROR(__xludf.DUMMYFUNCTION("""COMPUTED_VALUE"""),96870719)</f>
        <v>96870719</v>
      </c>
      <c r="G1927" s="5">
        <f t="shared" ca="1" si="90"/>
        <v>4.716214018539594E-2</v>
      </c>
      <c r="H1927" s="14">
        <f t="shared" si="91"/>
        <v>2023</v>
      </c>
      <c r="I1927" s="5">
        <f t="shared" ca="1" si="92"/>
        <v>-1.1096815696365355E-2</v>
      </c>
      <c r="J1927" s="16"/>
    </row>
    <row r="1928" spans="1:10" x14ac:dyDescent="0.2">
      <c r="A1928" s="3">
        <v>45072</v>
      </c>
      <c r="B1928" s="1">
        <f ca="1">IFERROR(__xludf.DUMMYFUNCTION("""COMPUTED_VALUE"""),184.62)</f>
        <v>184.62</v>
      </c>
      <c r="C1928" s="1">
        <f ca="1">IFERROR(__xludf.DUMMYFUNCTION("""COMPUTED_VALUE"""),198.6)</f>
        <v>198.6</v>
      </c>
      <c r="D1928" s="1">
        <f ca="1">IFERROR(__xludf.DUMMYFUNCTION("""COMPUTED_VALUE"""),184.53)</f>
        <v>184.53</v>
      </c>
      <c r="E1928" s="1">
        <f ca="1">IFERROR(__xludf.DUMMYFUNCTION("""COMPUTED_VALUE"""),193.17)</f>
        <v>193.17</v>
      </c>
      <c r="F1928" s="1">
        <f ca="1">IFERROR(__xludf.DUMMYFUNCTION("""COMPUTED_VALUE"""),162061496)</f>
        <v>162061496</v>
      </c>
      <c r="G1928" s="5">
        <f t="shared" ca="1" si="90"/>
        <v>4.1362530413625351E-2</v>
      </c>
      <c r="H1928" s="14">
        <f t="shared" si="91"/>
        <v>2023</v>
      </c>
      <c r="I1928" s="5">
        <f t="shared" ca="1" si="92"/>
        <v>4.6311342216444493E-2</v>
      </c>
      <c r="J1928" s="16"/>
    </row>
    <row r="1929" spans="1:10" x14ac:dyDescent="0.2">
      <c r="A1929" s="3">
        <v>45076</v>
      </c>
      <c r="B1929" s="1">
        <f ca="1">IFERROR(__xludf.DUMMYFUNCTION("""COMPUTED_VALUE"""),200.1)</f>
        <v>200.1</v>
      </c>
      <c r="C1929" s="1">
        <f ca="1">IFERROR(__xludf.DUMMYFUNCTION("""COMPUTED_VALUE"""),204.48)</f>
        <v>204.48</v>
      </c>
      <c r="D1929" s="1">
        <f ca="1">IFERROR(__xludf.DUMMYFUNCTION("""COMPUTED_VALUE"""),197.53)</f>
        <v>197.53</v>
      </c>
      <c r="E1929" s="1">
        <f ca="1">IFERROR(__xludf.DUMMYFUNCTION("""COMPUTED_VALUE"""),201.16)</f>
        <v>201.16</v>
      </c>
      <c r="F1929" s="1">
        <f ca="1">IFERROR(__xludf.DUMMYFUNCTION("""COMPUTED_VALUE"""),128818746)</f>
        <v>128818746</v>
      </c>
      <c r="G1929" s="5">
        <f t="shared" ca="1" si="90"/>
        <v>1.3770133227281817E-2</v>
      </c>
      <c r="H1929" s="14">
        <f t="shared" si="91"/>
        <v>2023</v>
      </c>
      <c r="I1929" s="5">
        <f t="shared" ca="1" si="92"/>
        <v>5.2973513243378427E-3</v>
      </c>
      <c r="J1929" s="16"/>
    </row>
    <row r="1930" spans="1:10" x14ac:dyDescent="0.2">
      <c r="A1930" s="3">
        <v>45077</v>
      </c>
      <c r="B1930" s="1">
        <f ca="1">IFERROR(__xludf.DUMMYFUNCTION("""COMPUTED_VALUE"""),199.78)</f>
        <v>199.78</v>
      </c>
      <c r="C1930" s="1">
        <f ca="1">IFERROR(__xludf.DUMMYFUNCTION("""COMPUTED_VALUE"""),203.95)</f>
        <v>203.95</v>
      </c>
      <c r="D1930" s="1">
        <f ca="1">IFERROR(__xludf.DUMMYFUNCTION("""COMPUTED_VALUE"""),195.12)</f>
        <v>195.12</v>
      </c>
      <c r="E1930" s="1">
        <f ca="1">IFERROR(__xludf.DUMMYFUNCTION("""COMPUTED_VALUE"""),203.93)</f>
        <v>203.93</v>
      </c>
      <c r="F1930" s="1">
        <f ca="1">IFERROR(__xludf.DUMMYFUNCTION("""COMPUTED_VALUE"""),150711736)</f>
        <v>150711736</v>
      </c>
      <c r="G1930" s="5">
        <f t="shared" ca="1" si="90"/>
        <v>1.7604079831314682E-2</v>
      </c>
      <c r="H1930" s="14">
        <f t="shared" si="91"/>
        <v>2023</v>
      </c>
      <c r="I1930" s="5">
        <f t="shared" ca="1" si="92"/>
        <v>2.0772850135148693E-2</v>
      </c>
      <c r="J1930" s="16"/>
    </row>
    <row r="1931" spans="1:10" x14ac:dyDescent="0.2">
      <c r="A1931" s="3">
        <v>45078</v>
      </c>
      <c r="B1931" s="1">
        <f ca="1">IFERROR(__xludf.DUMMYFUNCTION("""COMPUTED_VALUE"""),202.59)</f>
        <v>202.59</v>
      </c>
      <c r="C1931" s="1">
        <f ca="1">IFERROR(__xludf.DUMMYFUNCTION("""COMPUTED_VALUE"""),209.8)</f>
        <v>209.8</v>
      </c>
      <c r="D1931" s="1">
        <f ca="1">IFERROR(__xludf.DUMMYFUNCTION("""COMPUTED_VALUE"""),199.37)</f>
        <v>199.37</v>
      </c>
      <c r="E1931" s="1">
        <f ca="1">IFERROR(__xludf.DUMMYFUNCTION("""COMPUTED_VALUE"""),207.52)</f>
        <v>207.52</v>
      </c>
      <c r="F1931" s="1">
        <f ca="1">IFERROR(__xludf.DUMMYFUNCTION("""COMPUTED_VALUE"""),148029931)</f>
        <v>148029931</v>
      </c>
      <c r="G1931" s="5">
        <f t="shared" ca="1" si="90"/>
        <v>3.108134155744019E-2</v>
      </c>
      <c r="H1931" s="14">
        <f t="shared" si="91"/>
        <v>2023</v>
      </c>
      <c r="I1931" s="5">
        <f t="shared" ca="1" si="92"/>
        <v>2.4334863517449068E-2</v>
      </c>
      <c r="J1931" s="16"/>
    </row>
    <row r="1932" spans="1:10" x14ac:dyDescent="0.2">
      <c r="A1932" s="3">
        <v>45079</v>
      </c>
      <c r="B1932" s="1">
        <f ca="1">IFERROR(__xludf.DUMMYFUNCTION("""COMPUTED_VALUE"""),210.15)</f>
        <v>210.15</v>
      </c>
      <c r="C1932" s="1">
        <f ca="1">IFERROR(__xludf.DUMMYFUNCTION("""COMPUTED_VALUE"""),217.25)</f>
        <v>217.25</v>
      </c>
      <c r="D1932" s="1">
        <f ca="1">IFERROR(__xludf.DUMMYFUNCTION("""COMPUTED_VALUE"""),209.75)</f>
        <v>209.75</v>
      </c>
      <c r="E1932" s="1">
        <f ca="1">IFERROR(__xludf.DUMMYFUNCTION("""COMPUTED_VALUE"""),213.97)</f>
        <v>213.97</v>
      </c>
      <c r="F1932" s="1">
        <f ca="1">IFERROR(__xludf.DUMMYFUNCTION("""COMPUTED_VALUE"""),164398372)</f>
        <v>164398372</v>
      </c>
      <c r="G1932" s="5">
        <f t="shared" ca="1" si="90"/>
        <v>1.7011730616441626E-2</v>
      </c>
      <c r="H1932" s="14">
        <f t="shared" si="91"/>
        <v>2023</v>
      </c>
      <c r="I1932" s="5">
        <f t="shared" ca="1" si="92"/>
        <v>1.8177492267427996E-2</v>
      </c>
      <c r="J1932" s="16"/>
    </row>
    <row r="1933" spans="1:10" x14ac:dyDescent="0.2">
      <c r="A1933" s="3">
        <v>45082</v>
      </c>
      <c r="B1933" s="1">
        <f ca="1">IFERROR(__xludf.DUMMYFUNCTION("""COMPUTED_VALUE"""),217.8)</f>
        <v>217.8</v>
      </c>
      <c r="C1933" s="1">
        <f ca="1">IFERROR(__xludf.DUMMYFUNCTION("""COMPUTED_VALUE"""),221.29)</f>
        <v>221.29</v>
      </c>
      <c r="D1933" s="1">
        <f ca="1">IFERROR(__xludf.DUMMYFUNCTION("""COMPUTED_VALUE"""),214.52)</f>
        <v>214.52</v>
      </c>
      <c r="E1933" s="1">
        <f ca="1">IFERROR(__xludf.DUMMYFUNCTION("""COMPUTED_VALUE"""),217.61)</f>
        <v>217.61</v>
      </c>
      <c r="F1933" s="1">
        <f ca="1">IFERROR(__xludf.DUMMYFUNCTION("""COMPUTED_VALUE"""),151143052)</f>
        <v>151143052</v>
      </c>
      <c r="G1933" s="5">
        <f t="shared" ca="1" si="90"/>
        <v>1.7002895087541881E-2</v>
      </c>
      <c r="H1933" s="14">
        <f t="shared" si="91"/>
        <v>2023</v>
      </c>
      <c r="I1933" s="5">
        <f t="shared" ca="1" si="92"/>
        <v>-8.723599632690437E-4</v>
      </c>
      <c r="J1933" s="16"/>
    </row>
    <row r="1934" spans="1:10" x14ac:dyDescent="0.2">
      <c r="A1934" s="3">
        <v>45083</v>
      </c>
      <c r="B1934" s="1">
        <f ca="1">IFERROR(__xludf.DUMMYFUNCTION("""COMPUTED_VALUE"""),216.14)</f>
        <v>216.14</v>
      </c>
      <c r="C1934" s="1">
        <f ca="1">IFERROR(__xludf.DUMMYFUNCTION("""COMPUTED_VALUE"""),221.91)</f>
        <v>221.91</v>
      </c>
      <c r="D1934" s="1">
        <f ca="1">IFERROR(__xludf.DUMMYFUNCTION("""COMPUTED_VALUE"""),212.53)</f>
        <v>212.53</v>
      </c>
      <c r="E1934" s="1">
        <f ca="1">IFERROR(__xludf.DUMMYFUNCTION("""COMPUTED_VALUE"""),221.31)</f>
        <v>221.31</v>
      </c>
      <c r="F1934" s="1">
        <f ca="1">IFERROR(__xludf.DUMMYFUNCTION("""COMPUTED_VALUE"""),146911576)</f>
        <v>146911576</v>
      </c>
      <c r="G1934" s="5">
        <f t="shared" ca="1" si="90"/>
        <v>1.4730468573494153E-2</v>
      </c>
      <c r="H1934" s="14">
        <f t="shared" si="91"/>
        <v>2023</v>
      </c>
      <c r="I1934" s="5">
        <f t="shared" ca="1" si="92"/>
        <v>2.3919681687795024E-2</v>
      </c>
      <c r="J1934" s="16"/>
    </row>
    <row r="1935" spans="1:10" x14ac:dyDescent="0.2">
      <c r="A1935" s="3">
        <v>45084</v>
      </c>
      <c r="B1935" s="1">
        <f ca="1">IFERROR(__xludf.DUMMYFUNCTION("""COMPUTED_VALUE"""),228)</f>
        <v>228</v>
      </c>
      <c r="C1935" s="1">
        <f ca="1">IFERROR(__xludf.DUMMYFUNCTION("""COMPUTED_VALUE"""),230.83)</f>
        <v>230.83</v>
      </c>
      <c r="D1935" s="1">
        <f ca="1">IFERROR(__xludf.DUMMYFUNCTION("""COMPUTED_VALUE"""),223.2)</f>
        <v>223.2</v>
      </c>
      <c r="E1935" s="1">
        <f ca="1">IFERROR(__xludf.DUMMYFUNCTION("""COMPUTED_VALUE"""),224.57)</f>
        <v>224.57</v>
      </c>
      <c r="F1935" s="1">
        <f ca="1">IFERROR(__xludf.DUMMYFUNCTION("""COMPUTED_VALUE"""),185710777)</f>
        <v>185710777</v>
      </c>
      <c r="G1935" s="5">
        <f t="shared" ca="1" si="90"/>
        <v>4.5820902168588952E-2</v>
      </c>
      <c r="H1935" s="14">
        <f t="shared" si="91"/>
        <v>2023</v>
      </c>
      <c r="I1935" s="5">
        <f t="shared" ca="1" si="92"/>
        <v>-1.5043859649122837E-2</v>
      </c>
      <c r="J1935" s="16"/>
    </row>
    <row r="1936" spans="1:10" x14ac:dyDescent="0.2">
      <c r="A1936" s="3">
        <v>45085</v>
      </c>
      <c r="B1936" s="1">
        <f ca="1">IFERROR(__xludf.DUMMYFUNCTION("""COMPUTED_VALUE"""),224.22)</f>
        <v>224.22</v>
      </c>
      <c r="C1936" s="1">
        <f ca="1">IFERROR(__xludf.DUMMYFUNCTION("""COMPUTED_VALUE"""),235.23)</f>
        <v>235.23</v>
      </c>
      <c r="D1936" s="1">
        <f ca="1">IFERROR(__xludf.DUMMYFUNCTION("""COMPUTED_VALUE"""),223.01)</f>
        <v>223.01</v>
      </c>
      <c r="E1936" s="1">
        <f ca="1">IFERROR(__xludf.DUMMYFUNCTION("""COMPUTED_VALUE"""),234.86)</f>
        <v>234.86</v>
      </c>
      <c r="F1936" s="1">
        <f ca="1">IFERROR(__xludf.DUMMYFUNCTION("""COMPUTED_VALUE"""),164489739)</f>
        <v>164489739</v>
      </c>
      <c r="G1936" s="5">
        <f t="shared" ca="1" si="90"/>
        <v>4.0619943796304146E-2</v>
      </c>
      <c r="H1936" s="14">
        <f t="shared" si="91"/>
        <v>2023</v>
      </c>
      <c r="I1936" s="5">
        <f t="shared" ca="1" si="92"/>
        <v>4.7453393988047522E-2</v>
      </c>
      <c r="J1936" s="16"/>
    </row>
    <row r="1937" spans="1:10" x14ac:dyDescent="0.2">
      <c r="A1937" s="3">
        <v>45086</v>
      </c>
      <c r="B1937" s="1">
        <f ca="1">IFERROR(__xludf.DUMMYFUNCTION("""COMPUTED_VALUE"""),249.07)</f>
        <v>249.07</v>
      </c>
      <c r="C1937" s="1">
        <f ca="1">IFERROR(__xludf.DUMMYFUNCTION("""COMPUTED_VALUE"""),252.42)</f>
        <v>252.42</v>
      </c>
      <c r="D1937" s="1">
        <f ca="1">IFERROR(__xludf.DUMMYFUNCTION("""COMPUTED_VALUE"""),242.02)</f>
        <v>242.02</v>
      </c>
      <c r="E1937" s="1">
        <f ca="1">IFERROR(__xludf.DUMMYFUNCTION("""COMPUTED_VALUE"""),244.4)</f>
        <v>244.4</v>
      </c>
      <c r="F1937" s="1">
        <f ca="1">IFERROR(__xludf.DUMMYFUNCTION("""COMPUTED_VALUE"""),200242371)</f>
        <v>200242371</v>
      </c>
      <c r="G1937" s="5">
        <f t="shared" ca="1" si="90"/>
        <v>2.2217675941080223E-2</v>
      </c>
      <c r="H1937" s="14">
        <f t="shared" si="91"/>
        <v>2023</v>
      </c>
      <c r="I1937" s="5">
        <f t="shared" ca="1" si="92"/>
        <v>-1.8749749066527432E-2</v>
      </c>
      <c r="J1937" s="16"/>
    </row>
    <row r="1938" spans="1:10" x14ac:dyDescent="0.2">
      <c r="A1938" s="3">
        <v>45089</v>
      </c>
      <c r="B1938" s="1">
        <f ca="1">IFERROR(__xludf.DUMMYFUNCTION("""COMPUTED_VALUE"""),247.94)</f>
        <v>247.94</v>
      </c>
      <c r="C1938" s="1">
        <f ca="1">IFERROR(__xludf.DUMMYFUNCTION("""COMPUTED_VALUE"""),250.97)</f>
        <v>250.97</v>
      </c>
      <c r="D1938" s="1">
        <f ca="1">IFERROR(__xludf.DUMMYFUNCTION("""COMPUTED_VALUE"""),244.59)</f>
        <v>244.59</v>
      </c>
      <c r="E1938" s="1">
        <f ca="1">IFERROR(__xludf.DUMMYFUNCTION("""COMPUTED_VALUE"""),249.83)</f>
        <v>249.83</v>
      </c>
      <c r="F1938" s="1">
        <f ca="1">IFERROR(__xludf.DUMMYFUNCTION("""COMPUTED_VALUE"""),150740523)</f>
        <v>150740523</v>
      </c>
      <c r="G1938" s="5">
        <f t="shared" ca="1" si="90"/>
        <v>3.5544170035624094E-2</v>
      </c>
      <c r="H1938" s="14">
        <f t="shared" si="91"/>
        <v>2023</v>
      </c>
      <c r="I1938" s="5">
        <f t="shared" ca="1" si="92"/>
        <v>7.6228119706381169E-3</v>
      </c>
      <c r="J1938" s="16"/>
    </row>
    <row r="1939" spans="1:10" x14ac:dyDescent="0.2">
      <c r="A1939" s="3">
        <v>45090</v>
      </c>
      <c r="B1939" s="1">
        <f ca="1">IFERROR(__xludf.DUMMYFUNCTION("""COMPUTED_VALUE"""),253.51)</f>
        <v>253.51</v>
      </c>
      <c r="C1939" s="1">
        <f ca="1">IFERROR(__xludf.DUMMYFUNCTION("""COMPUTED_VALUE"""),259.68)</f>
        <v>259.68</v>
      </c>
      <c r="D1939" s="1">
        <f ca="1">IFERROR(__xludf.DUMMYFUNCTION("""COMPUTED_VALUE"""),251.34)</f>
        <v>251.34</v>
      </c>
      <c r="E1939" s="1">
        <f ca="1">IFERROR(__xludf.DUMMYFUNCTION("""COMPUTED_VALUE"""),258.71)</f>
        <v>258.70999999999998</v>
      </c>
      <c r="F1939" s="1">
        <f ca="1">IFERROR(__xludf.DUMMYFUNCTION("""COMPUTED_VALUE"""),162384343)</f>
        <v>162384343</v>
      </c>
      <c r="G1939" s="5">
        <f t="shared" ca="1" si="90"/>
        <v>-7.4214371303774852E-3</v>
      </c>
      <c r="H1939" s="14">
        <f t="shared" si="91"/>
        <v>2023</v>
      </c>
      <c r="I1939" s="5">
        <f t="shared" ca="1" si="92"/>
        <v>2.0512011360498555E-2</v>
      </c>
      <c r="J1939" s="16"/>
    </row>
    <row r="1940" spans="1:10" x14ac:dyDescent="0.2">
      <c r="A1940" s="3">
        <v>45091</v>
      </c>
      <c r="B1940" s="1">
        <f ca="1">IFERROR(__xludf.DUMMYFUNCTION("""COMPUTED_VALUE"""),260.17)</f>
        <v>260.17</v>
      </c>
      <c r="C1940" s="1">
        <f ca="1">IFERROR(__xludf.DUMMYFUNCTION("""COMPUTED_VALUE"""),261.57)</f>
        <v>261.57</v>
      </c>
      <c r="D1940" s="1">
        <f ca="1">IFERROR(__xludf.DUMMYFUNCTION("""COMPUTED_VALUE"""),250.5)</f>
        <v>250.5</v>
      </c>
      <c r="E1940" s="1">
        <f ca="1">IFERROR(__xludf.DUMMYFUNCTION("""COMPUTED_VALUE"""),256.79)</f>
        <v>256.79000000000002</v>
      </c>
      <c r="F1940" s="1">
        <f ca="1">IFERROR(__xludf.DUMMYFUNCTION("""COMPUTED_VALUE"""),170575536)</f>
        <v>170575536</v>
      </c>
      <c r="G1940" s="5">
        <f t="shared" ca="1" si="90"/>
        <v>-3.4658670508976781E-3</v>
      </c>
      <c r="H1940" s="14">
        <f t="shared" si="91"/>
        <v>2023</v>
      </c>
      <c r="I1940" s="5">
        <f t="shared" ca="1" si="92"/>
        <v>-1.2991505554060789E-2</v>
      </c>
      <c r="J1940" s="16"/>
    </row>
    <row r="1941" spans="1:10" x14ac:dyDescent="0.2">
      <c r="A1941" s="3">
        <v>45092</v>
      </c>
      <c r="B1941" s="1">
        <f ca="1">IFERROR(__xludf.DUMMYFUNCTION("""COMPUTED_VALUE"""),248.4)</f>
        <v>248.4</v>
      </c>
      <c r="C1941" s="1">
        <f ca="1">IFERROR(__xludf.DUMMYFUNCTION("""COMPUTED_VALUE"""),258.95)</f>
        <v>258.95</v>
      </c>
      <c r="D1941" s="1">
        <f ca="1">IFERROR(__xludf.DUMMYFUNCTION("""COMPUTED_VALUE"""),247.29)</f>
        <v>247.29</v>
      </c>
      <c r="E1941" s="1">
        <f ca="1">IFERROR(__xludf.DUMMYFUNCTION("""COMPUTED_VALUE"""),255.9)</f>
        <v>255.9</v>
      </c>
      <c r="F1941" s="1">
        <f ca="1">IFERROR(__xludf.DUMMYFUNCTION("""COMPUTED_VALUE"""),160171238)</f>
        <v>160171238</v>
      </c>
      <c r="G1941" s="5">
        <f t="shared" ca="1" si="90"/>
        <v>1.8132082844861331E-2</v>
      </c>
      <c r="H1941" s="14">
        <f t="shared" si="91"/>
        <v>2023</v>
      </c>
      <c r="I1941" s="5">
        <f t="shared" ca="1" si="92"/>
        <v>3.0193236714975844E-2</v>
      </c>
      <c r="J1941" s="16"/>
    </row>
    <row r="1942" spans="1:10" x14ac:dyDescent="0.2">
      <c r="A1942" s="3">
        <v>45093</v>
      </c>
      <c r="B1942" s="1">
        <f ca="1">IFERROR(__xludf.DUMMYFUNCTION("""COMPUTED_VALUE"""),258.92)</f>
        <v>258.92</v>
      </c>
      <c r="C1942" s="1">
        <f ca="1">IFERROR(__xludf.DUMMYFUNCTION("""COMPUTED_VALUE"""),263.6)</f>
        <v>263.60000000000002</v>
      </c>
      <c r="D1942" s="1">
        <f ca="1">IFERROR(__xludf.DUMMYFUNCTION("""COMPUTED_VALUE"""),257.21)</f>
        <v>257.20999999999998</v>
      </c>
      <c r="E1942" s="1">
        <f ca="1">IFERROR(__xludf.DUMMYFUNCTION("""COMPUTED_VALUE"""),260.54)</f>
        <v>260.54000000000002</v>
      </c>
      <c r="F1942" s="1">
        <f ca="1">IFERROR(__xludf.DUMMYFUNCTION("""COMPUTED_VALUE"""),167915649)</f>
        <v>167915649</v>
      </c>
      <c r="G1942" s="5">
        <f t="shared" ca="1" si="90"/>
        <v>5.3389114915176047E-2</v>
      </c>
      <c r="H1942" s="14">
        <f t="shared" si="91"/>
        <v>2023</v>
      </c>
      <c r="I1942" s="5">
        <f t="shared" ca="1" si="92"/>
        <v>6.2567588444307296E-3</v>
      </c>
      <c r="J1942" s="16"/>
    </row>
    <row r="1943" spans="1:10" x14ac:dyDescent="0.2">
      <c r="A1943" s="3">
        <v>45097</v>
      </c>
      <c r="B1943" s="1">
        <f ca="1">IFERROR(__xludf.DUMMYFUNCTION("""COMPUTED_VALUE"""),261.5)</f>
        <v>261.5</v>
      </c>
      <c r="C1943" s="1">
        <f ca="1">IFERROR(__xludf.DUMMYFUNCTION("""COMPUTED_VALUE"""),274.75)</f>
        <v>274.75</v>
      </c>
      <c r="D1943" s="1">
        <f ca="1">IFERROR(__xludf.DUMMYFUNCTION("""COMPUTED_VALUE"""),261.12)</f>
        <v>261.12</v>
      </c>
      <c r="E1943" s="1">
        <f ca="1">IFERROR(__xludf.DUMMYFUNCTION("""COMPUTED_VALUE"""),274.45)</f>
        <v>274.45</v>
      </c>
      <c r="F1943" s="1">
        <f ca="1">IFERROR(__xludf.DUMMYFUNCTION("""COMPUTED_VALUE"""),165611217)</f>
        <v>165611217</v>
      </c>
      <c r="G1943" s="5">
        <f t="shared" ca="1" si="90"/>
        <v>-5.4618327564219381E-2</v>
      </c>
      <c r="H1943" s="14">
        <f t="shared" si="91"/>
        <v>2023</v>
      </c>
      <c r="I1943" s="5">
        <f t="shared" ca="1" si="92"/>
        <v>4.9521988527724624E-2</v>
      </c>
      <c r="J1943" s="16"/>
    </row>
    <row r="1944" spans="1:10" x14ac:dyDescent="0.2">
      <c r="A1944" s="3">
        <v>45098</v>
      </c>
      <c r="B1944" s="1">
        <f ca="1">IFERROR(__xludf.DUMMYFUNCTION("""COMPUTED_VALUE"""),275.13)</f>
        <v>275.13</v>
      </c>
      <c r="C1944" s="1">
        <f ca="1">IFERROR(__xludf.DUMMYFUNCTION("""COMPUTED_VALUE"""),276.99)</f>
        <v>276.99</v>
      </c>
      <c r="D1944" s="1">
        <f ca="1">IFERROR(__xludf.DUMMYFUNCTION("""COMPUTED_VALUE"""),257.78)</f>
        <v>257.77999999999997</v>
      </c>
      <c r="E1944" s="1">
        <f ca="1">IFERROR(__xludf.DUMMYFUNCTION("""COMPUTED_VALUE"""),259.46)</f>
        <v>259.45999999999998</v>
      </c>
      <c r="F1944" s="1">
        <f ca="1">IFERROR(__xludf.DUMMYFUNCTION("""COMPUTED_VALUE"""),211797109)</f>
        <v>211797109</v>
      </c>
      <c r="G1944" s="5">
        <f t="shared" ca="1" si="90"/>
        <v>1.984891698142309E-2</v>
      </c>
      <c r="H1944" s="14">
        <f t="shared" si="91"/>
        <v>2023</v>
      </c>
      <c r="I1944" s="5">
        <f t="shared" ca="1" si="92"/>
        <v>-5.6954894050085476E-2</v>
      </c>
      <c r="J1944" s="16"/>
    </row>
    <row r="1945" spans="1:10" x14ac:dyDescent="0.2">
      <c r="A1945" s="3">
        <v>45099</v>
      </c>
      <c r="B1945" s="1">
        <f ca="1">IFERROR(__xludf.DUMMYFUNCTION("""COMPUTED_VALUE"""),250.77)</f>
        <v>250.77</v>
      </c>
      <c r="C1945" s="1">
        <f ca="1">IFERROR(__xludf.DUMMYFUNCTION("""COMPUTED_VALUE"""),265)</f>
        <v>265</v>
      </c>
      <c r="D1945" s="1">
        <f ca="1">IFERROR(__xludf.DUMMYFUNCTION("""COMPUTED_VALUE"""),248.25)</f>
        <v>248.25</v>
      </c>
      <c r="E1945" s="1">
        <f ca="1">IFERROR(__xludf.DUMMYFUNCTION("""COMPUTED_VALUE"""),264.61)</f>
        <v>264.61</v>
      </c>
      <c r="F1945" s="1">
        <f ca="1">IFERROR(__xludf.DUMMYFUNCTION("""COMPUTED_VALUE"""),166875944)</f>
        <v>166875944</v>
      </c>
      <c r="G1945" s="5">
        <f t="shared" ca="1" si="90"/>
        <v>-3.0270964816144479E-2</v>
      </c>
      <c r="H1945" s="14">
        <f t="shared" si="91"/>
        <v>2023</v>
      </c>
      <c r="I1945" s="5">
        <f t="shared" ca="1" si="92"/>
        <v>5.5190014754555976E-2</v>
      </c>
      <c r="J1945" s="16"/>
    </row>
    <row r="1946" spans="1:10" x14ac:dyDescent="0.2">
      <c r="A1946" s="3">
        <v>45100</v>
      </c>
      <c r="B1946" s="1">
        <f ca="1">IFERROR(__xludf.DUMMYFUNCTION("""COMPUTED_VALUE"""),259.29)</f>
        <v>259.29000000000002</v>
      </c>
      <c r="C1946" s="1">
        <f ca="1">IFERROR(__xludf.DUMMYFUNCTION("""COMPUTED_VALUE"""),262.45)</f>
        <v>262.45</v>
      </c>
      <c r="D1946" s="1">
        <f ca="1">IFERROR(__xludf.DUMMYFUNCTION("""COMPUTED_VALUE"""),252.8)</f>
        <v>252.8</v>
      </c>
      <c r="E1946" s="1">
        <f ca="1">IFERROR(__xludf.DUMMYFUNCTION("""COMPUTED_VALUE"""),256.6)</f>
        <v>256.60000000000002</v>
      </c>
      <c r="F1946" s="1">
        <f ca="1">IFERROR(__xludf.DUMMYFUNCTION("""COMPUTED_VALUE"""),177460803)</f>
        <v>177460803</v>
      </c>
      <c r="G1946" s="5">
        <f t="shared" ca="1" si="90"/>
        <v>-6.0600155884645401E-2</v>
      </c>
      <c r="H1946" s="14">
        <f t="shared" si="91"/>
        <v>2023</v>
      </c>
      <c r="I1946" s="5">
        <f t="shared" ca="1" si="92"/>
        <v>-1.0374484168305748E-2</v>
      </c>
      <c r="J1946" s="16"/>
    </row>
    <row r="1947" spans="1:10" x14ac:dyDescent="0.2">
      <c r="A1947" s="3">
        <v>45103</v>
      </c>
      <c r="B1947" s="1">
        <f ca="1">IFERROR(__xludf.DUMMYFUNCTION("""COMPUTED_VALUE"""),250.07)</f>
        <v>250.07</v>
      </c>
      <c r="C1947" s="1">
        <f ca="1">IFERROR(__xludf.DUMMYFUNCTION("""COMPUTED_VALUE"""),258.37)</f>
        <v>258.37</v>
      </c>
      <c r="D1947" s="1">
        <f ca="1">IFERROR(__xludf.DUMMYFUNCTION("""COMPUTED_VALUE"""),240.7)</f>
        <v>240.7</v>
      </c>
      <c r="E1947" s="1">
        <f ca="1">IFERROR(__xludf.DUMMYFUNCTION("""COMPUTED_VALUE"""),241.05)</f>
        <v>241.05</v>
      </c>
      <c r="F1947" s="1">
        <f ca="1">IFERROR(__xludf.DUMMYFUNCTION("""COMPUTED_VALUE"""),179990552)</f>
        <v>179990552</v>
      </c>
      <c r="G1947" s="5">
        <f t="shared" ca="1" si="90"/>
        <v>3.8000414851690506E-2</v>
      </c>
      <c r="H1947" s="14">
        <f t="shared" si="91"/>
        <v>2023</v>
      </c>
      <c r="I1947" s="5">
        <f t="shared" ca="1" si="92"/>
        <v>-3.6069900427880122E-2</v>
      </c>
      <c r="J1947" s="16"/>
    </row>
    <row r="1948" spans="1:10" x14ac:dyDescent="0.2">
      <c r="A1948" s="3">
        <v>45104</v>
      </c>
      <c r="B1948" s="1">
        <f ca="1">IFERROR(__xludf.DUMMYFUNCTION("""COMPUTED_VALUE"""),243.24)</f>
        <v>243.24</v>
      </c>
      <c r="C1948" s="1">
        <f ca="1">IFERROR(__xludf.DUMMYFUNCTION("""COMPUTED_VALUE"""),250.39)</f>
        <v>250.39</v>
      </c>
      <c r="D1948" s="1">
        <f ca="1">IFERROR(__xludf.DUMMYFUNCTION("""COMPUTED_VALUE"""),240.85)</f>
        <v>240.85</v>
      </c>
      <c r="E1948" s="1">
        <f ca="1">IFERROR(__xludf.DUMMYFUNCTION("""COMPUTED_VALUE"""),250.21)</f>
        <v>250.21</v>
      </c>
      <c r="F1948" s="1">
        <f ca="1">IFERROR(__xludf.DUMMYFUNCTION("""COMPUTED_VALUE"""),164968214)</f>
        <v>164968214</v>
      </c>
      <c r="G1948" s="5">
        <f t="shared" ca="1" si="90"/>
        <v>2.4099756204787982E-2</v>
      </c>
      <c r="H1948" s="14">
        <f t="shared" si="91"/>
        <v>2023</v>
      </c>
      <c r="I1948" s="5">
        <f t="shared" ca="1" si="92"/>
        <v>2.8654826508797891E-2</v>
      </c>
      <c r="J1948" s="16"/>
    </row>
    <row r="1949" spans="1:10" x14ac:dyDescent="0.2">
      <c r="A1949" s="3">
        <v>45105</v>
      </c>
      <c r="B1949" s="1">
        <f ca="1">IFERROR(__xludf.DUMMYFUNCTION("""COMPUTED_VALUE"""),249.7)</f>
        <v>249.7</v>
      </c>
      <c r="C1949" s="1">
        <f ca="1">IFERROR(__xludf.DUMMYFUNCTION("""COMPUTED_VALUE"""),259.88)</f>
        <v>259.88</v>
      </c>
      <c r="D1949" s="1">
        <f ca="1">IFERROR(__xludf.DUMMYFUNCTION("""COMPUTED_VALUE"""),248.89)</f>
        <v>248.89</v>
      </c>
      <c r="E1949" s="1">
        <f ca="1">IFERROR(__xludf.DUMMYFUNCTION("""COMPUTED_VALUE"""),256.24)</f>
        <v>256.24</v>
      </c>
      <c r="F1949" s="1">
        <f ca="1">IFERROR(__xludf.DUMMYFUNCTION("""COMPUTED_VALUE"""),159770797)</f>
        <v>159770797</v>
      </c>
      <c r="G1949" s="5">
        <f t="shared" ca="1" si="90"/>
        <v>4.9172650640024618E-3</v>
      </c>
      <c r="H1949" s="14">
        <f t="shared" si="91"/>
        <v>2023</v>
      </c>
      <c r="I1949" s="5">
        <f t="shared" ca="1" si="92"/>
        <v>2.6191429715658875E-2</v>
      </c>
      <c r="J1949" s="16"/>
    </row>
    <row r="1950" spans="1:10" x14ac:dyDescent="0.2">
      <c r="A1950" s="3">
        <v>45106</v>
      </c>
      <c r="B1950" s="1">
        <f ca="1">IFERROR(__xludf.DUMMYFUNCTION("""COMPUTED_VALUE"""),258.03)</f>
        <v>258.02999999999997</v>
      </c>
      <c r="C1950" s="1">
        <f ca="1">IFERROR(__xludf.DUMMYFUNCTION("""COMPUTED_VALUE"""),260.74)</f>
        <v>260.74</v>
      </c>
      <c r="D1950" s="1">
        <f ca="1">IFERROR(__xludf.DUMMYFUNCTION("""COMPUTED_VALUE"""),253.61)</f>
        <v>253.61</v>
      </c>
      <c r="E1950" s="1">
        <f ca="1">IFERROR(__xludf.DUMMYFUNCTION("""COMPUTED_VALUE"""),257.5)</f>
        <v>257.5</v>
      </c>
      <c r="F1950" s="1">
        <f ca="1">IFERROR(__xludf.DUMMYFUNCTION("""COMPUTED_VALUE"""),131283360)</f>
        <v>131283360</v>
      </c>
      <c r="G1950" s="5">
        <f t="shared" ca="1" si="90"/>
        <v>1.658252427184459E-2</v>
      </c>
      <c r="H1950" s="14">
        <f t="shared" si="91"/>
        <v>2023</v>
      </c>
      <c r="I1950" s="5">
        <f t="shared" ca="1" si="92"/>
        <v>-2.0540247258069712E-3</v>
      </c>
      <c r="J1950" s="16"/>
    </row>
    <row r="1951" spans="1:10" x14ac:dyDescent="0.2">
      <c r="A1951" s="3">
        <v>45107</v>
      </c>
      <c r="B1951" s="1">
        <f ca="1">IFERROR(__xludf.DUMMYFUNCTION("""COMPUTED_VALUE"""),260.6)</f>
        <v>260.60000000000002</v>
      </c>
      <c r="C1951" s="1">
        <f ca="1">IFERROR(__xludf.DUMMYFUNCTION("""COMPUTED_VALUE"""),264.45)</f>
        <v>264.45</v>
      </c>
      <c r="D1951" s="1">
        <f ca="1">IFERROR(__xludf.DUMMYFUNCTION("""COMPUTED_VALUE"""),259.89)</f>
        <v>259.89</v>
      </c>
      <c r="E1951" s="1">
        <f ca="1">IFERROR(__xludf.DUMMYFUNCTION("""COMPUTED_VALUE"""),261.77)</f>
        <v>261.77</v>
      </c>
      <c r="F1951" s="1">
        <f ca="1">IFERROR(__xludf.DUMMYFUNCTION("""COMPUTED_VALUE"""),112620784)</f>
        <v>112620784</v>
      </c>
      <c r="G1951" s="5">
        <f t="shared" ca="1" si="90"/>
        <v>6.8953661611338243E-2</v>
      </c>
      <c r="H1951" s="14">
        <f t="shared" si="91"/>
        <v>2023</v>
      </c>
      <c r="I1951" s="5">
        <f t="shared" ca="1" si="92"/>
        <v>4.4896392939369105E-3</v>
      </c>
      <c r="J1951" s="16"/>
    </row>
    <row r="1952" spans="1:10" x14ac:dyDescent="0.2">
      <c r="A1952" s="3">
        <v>45110</v>
      </c>
      <c r="B1952" s="1">
        <f ca="1">IFERROR(__xludf.DUMMYFUNCTION("""COMPUTED_VALUE"""),276.49)</f>
        <v>276.49</v>
      </c>
      <c r="C1952" s="1">
        <f ca="1">IFERROR(__xludf.DUMMYFUNCTION("""COMPUTED_VALUE"""),284.25)</f>
        <v>284.25</v>
      </c>
      <c r="D1952" s="1">
        <f ca="1">IFERROR(__xludf.DUMMYFUNCTION("""COMPUTED_VALUE"""),275.11)</f>
        <v>275.11</v>
      </c>
      <c r="E1952" s="1">
        <f ca="1">IFERROR(__xludf.DUMMYFUNCTION("""COMPUTED_VALUE"""),279.82)</f>
        <v>279.82</v>
      </c>
      <c r="F1952" s="1">
        <f ca="1">IFERROR(__xludf.DUMMYFUNCTION("""COMPUTED_VALUE"""),119685891)</f>
        <v>119685891</v>
      </c>
      <c r="G1952" s="5">
        <f t="shared" ca="1" si="90"/>
        <v>9.5061110714031345E-3</v>
      </c>
      <c r="H1952" s="14">
        <f t="shared" si="91"/>
        <v>2023</v>
      </c>
      <c r="I1952" s="5">
        <f t="shared" ca="1" si="92"/>
        <v>1.2043835220080235E-2</v>
      </c>
      <c r="J1952" s="16"/>
    </row>
    <row r="1953" spans="1:10" x14ac:dyDescent="0.2">
      <c r="A1953" s="3">
        <v>45112</v>
      </c>
      <c r="B1953" s="1">
        <f ca="1">IFERROR(__xludf.DUMMYFUNCTION("""COMPUTED_VALUE"""),278.82)</f>
        <v>278.82</v>
      </c>
      <c r="C1953" s="1">
        <f ca="1">IFERROR(__xludf.DUMMYFUNCTION("""COMPUTED_VALUE"""),283.85)</f>
        <v>283.85000000000002</v>
      </c>
      <c r="D1953" s="1">
        <f ca="1">IFERROR(__xludf.DUMMYFUNCTION("""COMPUTED_VALUE"""),277.6)</f>
        <v>277.60000000000002</v>
      </c>
      <c r="E1953" s="1">
        <f ca="1">IFERROR(__xludf.DUMMYFUNCTION("""COMPUTED_VALUE"""),282.48)</f>
        <v>282.48</v>
      </c>
      <c r="F1953" s="1">
        <f ca="1">IFERROR(__xludf.DUMMYFUNCTION("""COMPUTED_VALUE"""),131530862)</f>
        <v>131530862</v>
      </c>
      <c r="G1953" s="5">
        <f t="shared" ca="1" si="90"/>
        <v>-2.1028037383177562E-2</v>
      </c>
      <c r="H1953" s="14">
        <f t="shared" si="91"/>
        <v>2023</v>
      </c>
      <c r="I1953" s="5">
        <f t="shared" ca="1" si="92"/>
        <v>1.312674843985376E-2</v>
      </c>
      <c r="J1953" s="16"/>
    </row>
    <row r="1954" spans="1:10" x14ac:dyDescent="0.2">
      <c r="A1954" s="3">
        <v>45113</v>
      </c>
      <c r="B1954" s="1">
        <f ca="1">IFERROR(__xludf.DUMMYFUNCTION("""COMPUTED_VALUE"""),278.09)</f>
        <v>278.08999999999997</v>
      </c>
      <c r="C1954" s="1">
        <f ca="1">IFERROR(__xludf.DUMMYFUNCTION("""COMPUTED_VALUE"""),279.97)</f>
        <v>279.97000000000003</v>
      </c>
      <c r="D1954" s="1">
        <f ca="1">IFERROR(__xludf.DUMMYFUNCTION("""COMPUTED_VALUE"""),272.88)</f>
        <v>272.88</v>
      </c>
      <c r="E1954" s="1">
        <f ca="1">IFERROR(__xludf.DUMMYFUNCTION("""COMPUTED_VALUE"""),276.54)</f>
        <v>276.54000000000002</v>
      </c>
      <c r="F1954" s="1">
        <f ca="1">IFERROR(__xludf.DUMMYFUNCTION("""COMPUTED_VALUE"""),120707419)</f>
        <v>120707419</v>
      </c>
      <c r="G1954" s="5">
        <f t="shared" ca="1" si="90"/>
        <v>-7.6299992767773685E-3</v>
      </c>
      <c r="H1954" s="14">
        <f t="shared" si="91"/>
        <v>2023</v>
      </c>
      <c r="I1954" s="5">
        <f t="shared" ca="1" si="92"/>
        <v>-5.5737351217230204E-3</v>
      </c>
      <c r="J1954" s="16"/>
    </row>
    <row r="1955" spans="1:10" x14ac:dyDescent="0.2">
      <c r="A1955" s="3">
        <v>45114</v>
      </c>
      <c r="B1955" s="1">
        <f ca="1">IFERROR(__xludf.DUMMYFUNCTION("""COMPUTED_VALUE"""),278.43)</f>
        <v>278.43</v>
      </c>
      <c r="C1955" s="1">
        <f ca="1">IFERROR(__xludf.DUMMYFUNCTION("""COMPUTED_VALUE"""),280.78)</f>
        <v>280.77999999999997</v>
      </c>
      <c r="D1955" s="1">
        <f ca="1">IFERROR(__xludf.DUMMYFUNCTION("""COMPUTED_VALUE"""),273.77)</f>
        <v>273.77</v>
      </c>
      <c r="E1955" s="1">
        <f ca="1">IFERROR(__xludf.DUMMYFUNCTION("""COMPUTED_VALUE"""),274.43)</f>
        <v>274.43</v>
      </c>
      <c r="F1955" s="1">
        <f ca="1">IFERROR(__xludf.DUMMYFUNCTION("""COMPUTED_VALUE"""),113879174)</f>
        <v>113879174</v>
      </c>
      <c r="G1955" s="5">
        <f t="shared" ca="1" si="90"/>
        <v>-1.7563677440513039E-2</v>
      </c>
      <c r="H1955" s="14">
        <f t="shared" si="91"/>
        <v>2023</v>
      </c>
      <c r="I1955" s="5">
        <f t="shared" ca="1" si="92"/>
        <v>-1.4366268002729591E-2</v>
      </c>
      <c r="J1955" s="16"/>
    </row>
    <row r="1956" spans="1:10" x14ac:dyDescent="0.2">
      <c r="A1956" s="3">
        <v>45117</v>
      </c>
      <c r="B1956" s="1">
        <f ca="1">IFERROR(__xludf.DUMMYFUNCTION("""COMPUTED_VALUE"""),276.47)</f>
        <v>276.47000000000003</v>
      </c>
      <c r="C1956" s="1">
        <f ca="1">IFERROR(__xludf.DUMMYFUNCTION("""COMPUTED_VALUE"""),277.52)</f>
        <v>277.52</v>
      </c>
      <c r="D1956" s="1">
        <f ca="1">IFERROR(__xludf.DUMMYFUNCTION("""COMPUTED_VALUE"""),265.1)</f>
        <v>265.10000000000002</v>
      </c>
      <c r="E1956" s="1">
        <f ca="1">IFERROR(__xludf.DUMMYFUNCTION("""COMPUTED_VALUE"""),269.61)</f>
        <v>269.61</v>
      </c>
      <c r="F1956" s="1">
        <f ca="1">IFERROR(__xludf.DUMMYFUNCTION("""COMPUTED_VALUE"""),119425405)</f>
        <v>119425405</v>
      </c>
      <c r="G1956" s="5">
        <f t="shared" ca="1" si="90"/>
        <v>6.6763102258820823E-4</v>
      </c>
      <c r="H1956" s="14">
        <f t="shared" si="91"/>
        <v>2023</v>
      </c>
      <c r="I1956" s="5">
        <f t="shared" ca="1" si="92"/>
        <v>-2.4812818750678239E-2</v>
      </c>
      <c r="J1956" s="16"/>
    </row>
    <row r="1957" spans="1:10" x14ac:dyDescent="0.2">
      <c r="A1957" s="3">
        <v>45118</v>
      </c>
      <c r="B1957" s="1">
        <f ca="1">IFERROR(__xludf.DUMMYFUNCTION("""COMPUTED_VALUE"""),268.65)</f>
        <v>268.64999999999998</v>
      </c>
      <c r="C1957" s="1">
        <f ca="1">IFERROR(__xludf.DUMMYFUNCTION("""COMPUTED_VALUE"""),270.9)</f>
        <v>270.89999999999998</v>
      </c>
      <c r="D1957" s="1">
        <f ca="1">IFERROR(__xludf.DUMMYFUNCTION("""COMPUTED_VALUE"""),266.37)</f>
        <v>266.37</v>
      </c>
      <c r="E1957" s="1">
        <f ca="1">IFERROR(__xludf.DUMMYFUNCTION("""COMPUTED_VALUE"""),269.79)</f>
        <v>269.79000000000002</v>
      </c>
      <c r="F1957" s="1">
        <f ca="1">IFERROR(__xludf.DUMMYFUNCTION("""COMPUTED_VALUE"""),91972358)</f>
        <v>91972358</v>
      </c>
      <c r="G1957" s="5">
        <f t="shared" ca="1" si="90"/>
        <v>8.1544905296711823E-3</v>
      </c>
      <c r="H1957" s="14">
        <f t="shared" si="91"/>
        <v>2023</v>
      </c>
      <c r="I1957" s="5">
        <f t="shared" ca="1" si="92"/>
        <v>4.2434394193189779E-3</v>
      </c>
      <c r="J1957" s="16"/>
    </row>
    <row r="1958" spans="1:10" x14ac:dyDescent="0.2">
      <c r="A1958" s="3">
        <v>45119</v>
      </c>
      <c r="B1958" s="1">
        <f ca="1">IFERROR(__xludf.DUMMYFUNCTION("""COMPUTED_VALUE"""),276.33)</f>
        <v>276.33</v>
      </c>
      <c r="C1958" s="1">
        <f ca="1">IFERROR(__xludf.DUMMYFUNCTION("""COMPUTED_VALUE"""),276.52)</f>
        <v>276.52</v>
      </c>
      <c r="D1958" s="1">
        <f ca="1">IFERROR(__xludf.DUMMYFUNCTION("""COMPUTED_VALUE"""),271.46)</f>
        <v>271.45999999999998</v>
      </c>
      <c r="E1958" s="1">
        <f ca="1">IFERROR(__xludf.DUMMYFUNCTION("""COMPUTED_VALUE"""),271.99)</f>
        <v>271.99</v>
      </c>
      <c r="F1958" s="1">
        <f ca="1">IFERROR(__xludf.DUMMYFUNCTION("""COMPUTED_VALUE"""),95672139)</f>
        <v>95672139</v>
      </c>
      <c r="G1958" s="5">
        <f t="shared" ca="1" si="90"/>
        <v>2.1728740027206764E-2</v>
      </c>
      <c r="H1958" s="14">
        <f t="shared" si="91"/>
        <v>2023</v>
      </c>
      <c r="I1958" s="5">
        <f t="shared" ca="1" si="92"/>
        <v>-1.5705858936778401E-2</v>
      </c>
      <c r="J1958" s="16"/>
    </row>
    <row r="1959" spans="1:10" x14ac:dyDescent="0.2">
      <c r="A1959" s="3">
        <v>45120</v>
      </c>
      <c r="B1959" s="1">
        <f ca="1">IFERROR(__xludf.DUMMYFUNCTION("""COMPUTED_VALUE"""),274.59)</f>
        <v>274.58999999999997</v>
      </c>
      <c r="C1959" s="1">
        <f ca="1">IFERROR(__xludf.DUMMYFUNCTION("""COMPUTED_VALUE"""),279.45)</f>
        <v>279.45</v>
      </c>
      <c r="D1959" s="1">
        <f ca="1">IFERROR(__xludf.DUMMYFUNCTION("""COMPUTED_VALUE"""),270.6)</f>
        <v>270.60000000000002</v>
      </c>
      <c r="E1959" s="1">
        <f ca="1">IFERROR(__xludf.DUMMYFUNCTION("""COMPUTED_VALUE"""),277.9)</f>
        <v>277.89999999999998</v>
      </c>
      <c r="F1959" s="1">
        <f ca="1">IFERROR(__xludf.DUMMYFUNCTION("""COMPUTED_VALUE"""),112681458)</f>
        <v>112681458</v>
      </c>
      <c r="G1959" s="5">
        <f t="shared" ca="1" si="90"/>
        <v>1.2522490104354151E-2</v>
      </c>
      <c r="H1959" s="14">
        <f t="shared" si="91"/>
        <v>2023</v>
      </c>
      <c r="I1959" s="5">
        <f t="shared" ca="1" si="92"/>
        <v>1.2054335554827206E-2</v>
      </c>
      <c r="J1959" s="16"/>
    </row>
    <row r="1960" spans="1:10" x14ac:dyDescent="0.2">
      <c r="A1960" s="3">
        <v>45121</v>
      </c>
      <c r="B1960" s="1">
        <f ca="1">IFERROR(__xludf.DUMMYFUNCTION("""COMPUTED_VALUE"""),277.01)</f>
        <v>277.01</v>
      </c>
      <c r="C1960" s="1">
        <f ca="1">IFERROR(__xludf.DUMMYFUNCTION("""COMPUTED_VALUE"""),285.3)</f>
        <v>285.3</v>
      </c>
      <c r="D1960" s="1">
        <f ca="1">IFERROR(__xludf.DUMMYFUNCTION("""COMPUTED_VALUE"""),276.31)</f>
        <v>276.31</v>
      </c>
      <c r="E1960" s="1">
        <f ca="1">IFERROR(__xludf.DUMMYFUNCTION("""COMPUTED_VALUE"""),281.38)</f>
        <v>281.38</v>
      </c>
      <c r="F1960" s="1">
        <f ca="1">IFERROR(__xludf.DUMMYFUNCTION("""COMPUTED_VALUE"""),120062369)</f>
        <v>120062369</v>
      </c>
      <c r="G1960" s="5">
        <f t="shared" ca="1" si="90"/>
        <v>3.1985215722510486E-2</v>
      </c>
      <c r="H1960" s="14">
        <f t="shared" si="91"/>
        <v>2023</v>
      </c>
      <c r="I1960" s="5">
        <f t="shared" ca="1" si="92"/>
        <v>1.5775603768817027E-2</v>
      </c>
      <c r="J1960" s="16"/>
    </row>
    <row r="1961" spans="1:10" x14ac:dyDescent="0.2">
      <c r="A1961" s="3">
        <v>45124</v>
      </c>
      <c r="B1961" s="1">
        <f ca="1">IFERROR(__xludf.DUMMYFUNCTION("""COMPUTED_VALUE"""),286.63)</f>
        <v>286.63</v>
      </c>
      <c r="C1961" s="1">
        <f ca="1">IFERROR(__xludf.DUMMYFUNCTION("""COMPUTED_VALUE"""),292.23)</f>
        <v>292.23</v>
      </c>
      <c r="D1961" s="1">
        <f ca="1">IFERROR(__xludf.DUMMYFUNCTION("""COMPUTED_VALUE"""),283.57)</f>
        <v>283.57</v>
      </c>
      <c r="E1961" s="1">
        <f ca="1">IFERROR(__xludf.DUMMYFUNCTION("""COMPUTED_VALUE"""),290.38)</f>
        <v>290.38</v>
      </c>
      <c r="F1961" s="1">
        <f ca="1">IFERROR(__xludf.DUMMYFUNCTION("""COMPUTED_VALUE"""),131569593)</f>
        <v>131569593</v>
      </c>
      <c r="G1961" s="5">
        <f t="shared" ca="1" si="90"/>
        <v>1.0193539499965492E-2</v>
      </c>
      <c r="H1961" s="14">
        <f t="shared" si="91"/>
        <v>2023</v>
      </c>
      <c r="I1961" s="5">
        <f t="shared" ca="1" si="92"/>
        <v>1.3083068764609428E-2</v>
      </c>
      <c r="J1961" s="16"/>
    </row>
    <row r="1962" spans="1:10" x14ac:dyDescent="0.2">
      <c r="A1962" s="3">
        <v>45125</v>
      </c>
      <c r="B1962" s="1">
        <f ca="1">IFERROR(__xludf.DUMMYFUNCTION("""COMPUTED_VALUE"""),290.15)</f>
        <v>290.14999999999998</v>
      </c>
      <c r="C1962" s="1">
        <f ca="1">IFERROR(__xludf.DUMMYFUNCTION("""COMPUTED_VALUE"""),295.26)</f>
        <v>295.26</v>
      </c>
      <c r="D1962" s="1">
        <f ca="1">IFERROR(__xludf.DUMMYFUNCTION("""COMPUTED_VALUE"""),286.01)</f>
        <v>286.01</v>
      </c>
      <c r="E1962" s="1">
        <f ca="1">IFERROR(__xludf.DUMMYFUNCTION("""COMPUTED_VALUE"""),293.34)</f>
        <v>293.33999999999997</v>
      </c>
      <c r="F1962" s="1">
        <f ca="1">IFERROR(__xludf.DUMMYFUNCTION("""COMPUTED_VALUE"""),112434713)</f>
        <v>112434713</v>
      </c>
      <c r="G1962" s="5">
        <f t="shared" ca="1" si="90"/>
        <v>-7.0907479375468202E-3</v>
      </c>
      <c r="H1962" s="14">
        <f t="shared" si="91"/>
        <v>2023</v>
      </c>
      <c r="I1962" s="5">
        <f t="shared" ca="1" si="92"/>
        <v>1.0994313286231253E-2</v>
      </c>
      <c r="J1962" s="16"/>
    </row>
    <row r="1963" spans="1:10" x14ac:dyDescent="0.2">
      <c r="A1963" s="3">
        <v>45126</v>
      </c>
      <c r="B1963" s="1">
        <f ca="1">IFERROR(__xludf.DUMMYFUNCTION("""COMPUTED_VALUE"""),296.04)</f>
        <v>296.04000000000002</v>
      </c>
      <c r="C1963" s="1">
        <f ca="1">IFERROR(__xludf.DUMMYFUNCTION("""COMPUTED_VALUE"""),299.29)</f>
        <v>299.29000000000002</v>
      </c>
      <c r="D1963" s="1">
        <f ca="1">IFERROR(__xludf.DUMMYFUNCTION("""COMPUTED_VALUE"""),289.52)</f>
        <v>289.52</v>
      </c>
      <c r="E1963" s="1">
        <f ca="1">IFERROR(__xludf.DUMMYFUNCTION("""COMPUTED_VALUE"""),291.26)</f>
        <v>291.26</v>
      </c>
      <c r="F1963" s="1">
        <f ca="1">IFERROR(__xludf.DUMMYFUNCTION("""COMPUTED_VALUE"""),142355353)</f>
        <v>142355353</v>
      </c>
      <c r="G1963" s="5">
        <f t="shared" ca="1" si="90"/>
        <v>-9.7370047380347505E-2</v>
      </c>
      <c r="H1963" s="14">
        <f t="shared" si="91"/>
        <v>2023</v>
      </c>
      <c r="I1963" s="5">
        <f t="shared" ca="1" si="92"/>
        <v>-1.6146466693690142E-2</v>
      </c>
      <c r="J1963" s="16"/>
    </row>
    <row r="1964" spans="1:10" x14ac:dyDescent="0.2">
      <c r="A1964" s="3">
        <v>45127</v>
      </c>
      <c r="B1964" s="1">
        <f ca="1">IFERROR(__xludf.DUMMYFUNCTION("""COMPUTED_VALUE"""),279.56)</f>
        <v>279.56</v>
      </c>
      <c r="C1964" s="1">
        <f ca="1">IFERROR(__xludf.DUMMYFUNCTION("""COMPUTED_VALUE"""),280.93)</f>
        <v>280.93</v>
      </c>
      <c r="D1964" s="1">
        <f ca="1">IFERROR(__xludf.DUMMYFUNCTION("""COMPUTED_VALUE"""),261.2)</f>
        <v>261.2</v>
      </c>
      <c r="E1964" s="1">
        <f ca="1">IFERROR(__xludf.DUMMYFUNCTION("""COMPUTED_VALUE"""),262.9)</f>
        <v>262.89999999999998</v>
      </c>
      <c r="F1964" s="1">
        <f ca="1">IFERROR(__xludf.DUMMYFUNCTION("""COMPUTED_VALUE"""),175158273)</f>
        <v>175158273</v>
      </c>
      <c r="G1964" s="5">
        <f t="shared" ca="1" si="90"/>
        <v>-1.0954735640928094E-2</v>
      </c>
      <c r="H1964" s="14">
        <f t="shared" si="91"/>
        <v>2023</v>
      </c>
      <c r="I1964" s="5">
        <f t="shared" ca="1" si="92"/>
        <v>-5.9593647159822669E-2</v>
      </c>
      <c r="J1964" s="16"/>
    </row>
    <row r="1965" spans="1:10" x14ac:dyDescent="0.2">
      <c r="A1965" s="3">
        <v>45128</v>
      </c>
      <c r="B1965" s="1">
        <f ca="1">IFERROR(__xludf.DUMMYFUNCTION("""COMPUTED_VALUE"""),268)</f>
        <v>268</v>
      </c>
      <c r="C1965" s="1">
        <f ca="1">IFERROR(__xludf.DUMMYFUNCTION("""COMPUTED_VALUE"""),268)</f>
        <v>268</v>
      </c>
      <c r="D1965" s="1">
        <f ca="1">IFERROR(__xludf.DUMMYFUNCTION("""COMPUTED_VALUE"""),255.8)</f>
        <v>255.8</v>
      </c>
      <c r="E1965" s="1">
        <f ca="1">IFERROR(__xludf.DUMMYFUNCTION("""COMPUTED_VALUE"""),260.02)</f>
        <v>260.02</v>
      </c>
      <c r="F1965" s="1">
        <f ca="1">IFERROR(__xludf.DUMMYFUNCTION("""COMPUTED_VALUE"""),161796073)</f>
        <v>161796073</v>
      </c>
      <c r="G1965" s="5">
        <f t="shared" ca="1" si="90"/>
        <v>3.4766556418737105E-2</v>
      </c>
      <c r="H1965" s="14">
        <f t="shared" si="91"/>
        <v>2023</v>
      </c>
      <c r="I1965" s="5">
        <f t="shared" ca="1" si="92"/>
        <v>-2.9776119402985142E-2</v>
      </c>
      <c r="J1965" s="16"/>
    </row>
    <row r="1966" spans="1:10" x14ac:dyDescent="0.2">
      <c r="A1966" s="3">
        <v>45131</v>
      </c>
      <c r="B1966" s="1">
        <f ca="1">IFERROR(__xludf.DUMMYFUNCTION("""COMPUTED_VALUE"""),255.85)</f>
        <v>255.85</v>
      </c>
      <c r="C1966" s="1">
        <f ca="1">IFERROR(__xludf.DUMMYFUNCTION("""COMPUTED_VALUE"""),269.85)</f>
        <v>269.85000000000002</v>
      </c>
      <c r="D1966" s="1">
        <f ca="1">IFERROR(__xludf.DUMMYFUNCTION("""COMPUTED_VALUE"""),254.12)</f>
        <v>254.12</v>
      </c>
      <c r="E1966" s="1">
        <f ca="1">IFERROR(__xludf.DUMMYFUNCTION("""COMPUTED_VALUE"""),269.06)</f>
        <v>269.06</v>
      </c>
      <c r="F1966" s="1">
        <f ca="1">IFERROR(__xludf.DUMMYFUNCTION("""COMPUTED_VALUE"""),137005037)</f>
        <v>137005037</v>
      </c>
      <c r="G1966" s="5">
        <f t="shared" ca="1" si="90"/>
        <v>-1.4048911023563627E-2</v>
      </c>
      <c r="H1966" s="14">
        <f t="shared" si="91"/>
        <v>2023</v>
      </c>
      <c r="I1966" s="5">
        <f t="shared" ca="1" si="92"/>
        <v>5.1631815516904468E-2</v>
      </c>
      <c r="J1966" s="16"/>
    </row>
    <row r="1967" spans="1:10" x14ac:dyDescent="0.2">
      <c r="A1967" s="3">
        <v>45132</v>
      </c>
      <c r="B1967" s="1">
        <f ca="1">IFERROR(__xludf.DUMMYFUNCTION("""COMPUTED_VALUE"""),272.38)</f>
        <v>272.38</v>
      </c>
      <c r="C1967" s="1">
        <f ca="1">IFERROR(__xludf.DUMMYFUNCTION("""COMPUTED_VALUE"""),272.9)</f>
        <v>272.89999999999998</v>
      </c>
      <c r="D1967" s="1">
        <f ca="1">IFERROR(__xludf.DUMMYFUNCTION("""COMPUTED_VALUE"""),265)</f>
        <v>265</v>
      </c>
      <c r="E1967" s="1">
        <f ca="1">IFERROR(__xludf.DUMMYFUNCTION("""COMPUTED_VALUE"""),265.28)</f>
        <v>265.27999999999997</v>
      </c>
      <c r="F1967" s="1">
        <f ca="1">IFERROR(__xludf.DUMMYFUNCTION("""COMPUTED_VALUE"""),112757327)</f>
        <v>112757327</v>
      </c>
      <c r="G1967" s="5">
        <f t="shared" ca="1" si="90"/>
        <v>-3.5057297949334667E-3</v>
      </c>
      <c r="H1967" s="14">
        <f t="shared" si="91"/>
        <v>2023</v>
      </c>
      <c r="I1967" s="5">
        <f t="shared" ca="1" si="92"/>
        <v>-2.6066524708128435E-2</v>
      </c>
      <c r="J1967" s="16"/>
    </row>
    <row r="1968" spans="1:10" x14ac:dyDescent="0.2">
      <c r="A1968" s="3">
        <v>45133</v>
      </c>
      <c r="B1968" s="1">
        <f ca="1">IFERROR(__xludf.DUMMYFUNCTION("""COMPUTED_VALUE"""),263.25)</f>
        <v>263.25</v>
      </c>
      <c r="C1968" s="1">
        <f ca="1">IFERROR(__xludf.DUMMYFUNCTION("""COMPUTED_VALUE"""),268.04)</f>
        <v>268.04000000000002</v>
      </c>
      <c r="D1968" s="1">
        <f ca="1">IFERROR(__xludf.DUMMYFUNCTION("""COMPUTED_VALUE"""),261.75)</f>
        <v>261.75</v>
      </c>
      <c r="E1968" s="1">
        <f ca="1">IFERROR(__xludf.DUMMYFUNCTION("""COMPUTED_VALUE"""),264.35)</f>
        <v>264.35000000000002</v>
      </c>
      <c r="F1968" s="1">
        <f ca="1">IFERROR(__xludf.DUMMYFUNCTION("""COMPUTED_VALUE"""),95856177)</f>
        <v>95856177</v>
      </c>
      <c r="G1968" s="5">
        <f t="shared" ca="1" si="90"/>
        <v>-3.2683941743900186E-2</v>
      </c>
      <c r="H1968" s="14">
        <f t="shared" si="91"/>
        <v>2023</v>
      </c>
      <c r="I1968" s="5">
        <f t="shared" ca="1" si="92"/>
        <v>4.1785375118709315E-3</v>
      </c>
      <c r="J1968" s="16"/>
    </row>
    <row r="1969" spans="1:10" x14ac:dyDescent="0.2">
      <c r="A1969" s="3">
        <v>45134</v>
      </c>
      <c r="B1969" s="1">
        <f ca="1">IFERROR(__xludf.DUMMYFUNCTION("""COMPUTED_VALUE"""),268.31)</f>
        <v>268.31</v>
      </c>
      <c r="C1969" s="1">
        <f ca="1">IFERROR(__xludf.DUMMYFUNCTION("""COMPUTED_VALUE"""),269.13)</f>
        <v>269.13</v>
      </c>
      <c r="D1969" s="1">
        <f ca="1">IFERROR(__xludf.DUMMYFUNCTION("""COMPUTED_VALUE"""),255.3)</f>
        <v>255.3</v>
      </c>
      <c r="E1969" s="1">
        <f ca="1">IFERROR(__xludf.DUMMYFUNCTION("""COMPUTED_VALUE"""),255.71)</f>
        <v>255.71</v>
      </c>
      <c r="F1969" s="1">
        <f ca="1">IFERROR(__xludf.DUMMYFUNCTION("""COMPUTED_VALUE"""),103697263)</f>
        <v>103697263</v>
      </c>
      <c r="G1969" s="5">
        <f t="shared" ca="1" si="90"/>
        <v>4.1961597121739427E-2</v>
      </c>
      <c r="H1969" s="14">
        <f t="shared" si="91"/>
        <v>2023</v>
      </c>
      <c r="I1969" s="5">
        <f t="shared" ca="1" si="92"/>
        <v>-4.6960605270023457E-2</v>
      </c>
      <c r="J1969" s="16"/>
    </row>
    <row r="1970" spans="1:10" x14ac:dyDescent="0.2">
      <c r="A1970" s="3">
        <v>45135</v>
      </c>
      <c r="B1970" s="1">
        <f ca="1">IFERROR(__xludf.DUMMYFUNCTION("""COMPUTED_VALUE"""),259.86)</f>
        <v>259.86</v>
      </c>
      <c r="C1970" s="1">
        <f ca="1">IFERROR(__xludf.DUMMYFUNCTION("""COMPUTED_VALUE"""),267.25)</f>
        <v>267.25</v>
      </c>
      <c r="D1970" s="1">
        <f ca="1">IFERROR(__xludf.DUMMYFUNCTION("""COMPUTED_VALUE"""),258.23)</f>
        <v>258.23</v>
      </c>
      <c r="E1970" s="1">
        <f ca="1">IFERROR(__xludf.DUMMYFUNCTION("""COMPUTED_VALUE"""),266.44)</f>
        <v>266.44</v>
      </c>
      <c r="F1970" s="1">
        <f ca="1">IFERROR(__xludf.DUMMYFUNCTION("""COMPUTED_VALUE"""),111446026)</f>
        <v>111446026</v>
      </c>
      <c r="G1970" s="5">
        <f t="shared" ca="1" si="90"/>
        <v>3.715658309563163E-3</v>
      </c>
      <c r="H1970" s="14">
        <f t="shared" si="91"/>
        <v>2023</v>
      </c>
      <c r="I1970" s="5">
        <f t="shared" ca="1" si="92"/>
        <v>2.5321326868313645E-2</v>
      </c>
      <c r="J1970" s="16"/>
    </row>
    <row r="1971" spans="1:10" x14ac:dyDescent="0.2">
      <c r="A1971" s="3">
        <v>45138</v>
      </c>
      <c r="B1971" s="1">
        <f ca="1">IFERROR(__xludf.DUMMYFUNCTION("""COMPUTED_VALUE"""),267.48)</f>
        <v>267.48</v>
      </c>
      <c r="C1971" s="1">
        <f ca="1">IFERROR(__xludf.DUMMYFUNCTION("""COMPUTED_VALUE"""),269.08)</f>
        <v>269.08</v>
      </c>
      <c r="D1971" s="1">
        <f ca="1">IFERROR(__xludf.DUMMYFUNCTION("""COMPUTED_VALUE"""),263.78)</f>
        <v>263.77999999999997</v>
      </c>
      <c r="E1971" s="1">
        <f ca="1">IFERROR(__xludf.DUMMYFUNCTION("""COMPUTED_VALUE"""),267.43)</f>
        <v>267.43</v>
      </c>
      <c r="F1971" s="1">
        <f ca="1">IFERROR(__xludf.DUMMYFUNCTION("""COMPUTED_VALUE"""),84582172)</f>
        <v>84582172</v>
      </c>
      <c r="G1971" s="5">
        <f t="shared" ca="1" si="90"/>
        <v>-2.3781924241857731E-2</v>
      </c>
      <c r="H1971" s="14">
        <f t="shared" si="91"/>
        <v>2023</v>
      </c>
      <c r="I1971" s="5">
        <f t="shared" ca="1" si="92"/>
        <v>-1.8692986391510155E-4</v>
      </c>
      <c r="J1971" s="16"/>
    </row>
    <row r="1972" spans="1:10" x14ac:dyDescent="0.2">
      <c r="A1972" s="3">
        <v>45139</v>
      </c>
      <c r="B1972" s="1">
        <f ca="1">IFERROR(__xludf.DUMMYFUNCTION("""COMPUTED_VALUE"""),266.26)</f>
        <v>266.26</v>
      </c>
      <c r="C1972" s="1">
        <f ca="1">IFERROR(__xludf.DUMMYFUNCTION("""COMPUTED_VALUE"""),266.47)</f>
        <v>266.47000000000003</v>
      </c>
      <c r="D1972" s="1">
        <f ca="1">IFERROR(__xludf.DUMMYFUNCTION("""COMPUTED_VALUE"""),260.25)</f>
        <v>260.25</v>
      </c>
      <c r="E1972" s="1">
        <f ca="1">IFERROR(__xludf.DUMMYFUNCTION("""COMPUTED_VALUE"""),261.07)</f>
        <v>261.07</v>
      </c>
      <c r="F1972" s="1">
        <f ca="1">IFERROR(__xludf.DUMMYFUNCTION("""COMPUTED_VALUE"""),83645720)</f>
        <v>83645720</v>
      </c>
      <c r="G1972" s="5">
        <f t="shared" ca="1" si="90"/>
        <v>-2.6659516604741945E-2</v>
      </c>
      <c r="H1972" s="14">
        <f t="shared" si="91"/>
        <v>2023</v>
      </c>
      <c r="I1972" s="5">
        <f t="shared" ca="1" si="92"/>
        <v>-1.9492225644107256E-2</v>
      </c>
      <c r="J1972" s="16"/>
    </row>
    <row r="1973" spans="1:10" x14ac:dyDescent="0.2">
      <c r="A1973" s="3">
        <v>45140</v>
      </c>
      <c r="B1973" s="1">
        <f ca="1">IFERROR(__xludf.DUMMYFUNCTION("""COMPUTED_VALUE"""),255.57)</f>
        <v>255.57</v>
      </c>
      <c r="C1973" s="1">
        <f ca="1">IFERROR(__xludf.DUMMYFUNCTION("""COMPUTED_VALUE"""),259.52)</f>
        <v>259.52</v>
      </c>
      <c r="D1973" s="1">
        <f ca="1">IFERROR(__xludf.DUMMYFUNCTION("""COMPUTED_VALUE"""),250.49)</f>
        <v>250.49</v>
      </c>
      <c r="E1973" s="1">
        <f ca="1">IFERROR(__xludf.DUMMYFUNCTION("""COMPUTED_VALUE"""),254.11)</f>
        <v>254.11</v>
      </c>
      <c r="F1973" s="1">
        <f ca="1">IFERROR(__xludf.DUMMYFUNCTION("""COMPUTED_VALUE"""),101752865)</f>
        <v>101752865</v>
      </c>
      <c r="G1973" s="5">
        <f t="shared" ca="1" si="90"/>
        <v>2.0502931801188382E-2</v>
      </c>
      <c r="H1973" s="14">
        <f t="shared" si="91"/>
        <v>2023</v>
      </c>
      <c r="I1973" s="5">
        <f t="shared" ca="1" si="92"/>
        <v>-5.7127205853581388E-3</v>
      </c>
      <c r="J1973" s="16"/>
    </row>
    <row r="1974" spans="1:10" x14ac:dyDescent="0.2">
      <c r="A1974" s="3">
        <v>45141</v>
      </c>
      <c r="B1974" s="1">
        <f ca="1">IFERROR(__xludf.DUMMYFUNCTION("""COMPUTED_VALUE"""),252.04)</f>
        <v>252.04</v>
      </c>
      <c r="C1974" s="1">
        <f ca="1">IFERROR(__xludf.DUMMYFUNCTION("""COMPUTED_VALUE"""),260.49)</f>
        <v>260.49</v>
      </c>
      <c r="D1974" s="1">
        <f ca="1">IFERROR(__xludf.DUMMYFUNCTION("""COMPUTED_VALUE"""),252)</f>
        <v>252</v>
      </c>
      <c r="E1974" s="1">
        <f ca="1">IFERROR(__xludf.DUMMYFUNCTION("""COMPUTED_VALUE"""),259.32)</f>
        <v>259.32</v>
      </c>
      <c r="F1974" s="1">
        <f ca="1">IFERROR(__xludf.DUMMYFUNCTION("""COMPUTED_VALUE"""),97829545)</f>
        <v>97829545</v>
      </c>
      <c r="G1974" s="5">
        <f t="shared" ca="1" si="90"/>
        <v>-2.1055067098565399E-2</v>
      </c>
      <c r="H1974" s="14">
        <f t="shared" si="91"/>
        <v>2023</v>
      </c>
      <c r="I1974" s="5">
        <f t="shared" ca="1" si="92"/>
        <v>2.8884304078717671E-2</v>
      </c>
      <c r="J1974" s="16"/>
    </row>
    <row r="1975" spans="1:10" x14ac:dyDescent="0.2">
      <c r="A1975" s="3">
        <v>45142</v>
      </c>
      <c r="B1975" s="1">
        <f ca="1">IFERROR(__xludf.DUMMYFUNCTION("""COMPUTED_VALUE"""),260.97)</f>
        <v>260.97000000000003</v>
      </c>
      <c r="C1975" s="1">
        <f ca="1">IFERROR(__xludf.DUMMYFUNCTION("""COMPUTED_VALUE"""),264.77)</f>
        <v>264.77</v>
      </c>
      <c r="D1975" s="1">
        <f ca="1">IFERROR(__xludf.DUMMYFUNCTION("""COMPUTED_VALUE"""),253.11)</f>
        <v>253.11</v>
      </c>
      <c r="E1975" s="1">
        <f ca="1">IFERROR(__xludf.DUMMYFUNCTION("""COMPUTED_VALUE"""),253.86)</f>
        <v>253.86</v>
      </c>
      <c r="F1975" s="1">
        <f ca="1">IFERROR(__xludf.DUMMYFUNCTION("""COMPUTED_VALUE"""),99539907)</f>
        <v>99539907</v>
      </c>
      <c r="G1975" s="5">
        <f t="shared" ca="1" si="90"/>
        <v>-9.4934215709447135E-3</v>
      </c>
      <c r="H1975" s="14">
        <f t="shared" si="91"/>
        <v>2023</v>
      </c>
      <c r="I1975" s="5">
        <f t="shared" ca="1" si="92"/>
        <v>-2.7244510863317674E-2</v>
      </c>
      <c r="J1975" s="16"/>
    </row>
    <row r="1976" spans="1:10" x14ac:dyDescent="0.2">
      <c r="A1976" s="3">
        <v>45145</v>
      </c>
      <c r="B1976" s="1">
        <f ca="1">IFERROR(__xludf.DUMMYFUNCTION("""COMPUTED_VALUE"""),251.45)</f>
        <v>251.45</v>
      </c>
      <c r="C1976" s="1">
        <f ca="1">IFERROR(__xludf.DUMMYFUNCTION("""COMPUTED_VALUE"""),253.65)</f>
        <v>253.65</v>
      </c>
      <c r="D1976" s="1">
        <f ca="1">IFERROR(__xludf.DUMMYFUNCTION("""COMPUTED_VALUE"""),242.76)</f>
        <v>242.76</v>
      </c>
      <c r="E1976" s="1">
        <f ca="1">IFERROR(__xludf.DUMMYFUNCTION("""COMPUTED_VALUE"""),251.45)</f>
        <v>251.45</v>
      </c>
      <c r="F1976" s="1">
        <f ca="1">IFERROR(__xludf.DUMMYFUNCTION("""COMPUTED_VALUE"""),111097943)</f>
        <v>111097943</v>
      </c>
      <c r="G1976" s="5">
        <f t="shared" ca="1" si="90"/>
        <v>-6.9596341220918671E-3</v>
      </c>
      <c r="H1976" s="14">
        <f t="shared" si="91"/>
        <v>2023</v>
      </c>
      <c r="I1976" s="5">
        <f t="shared" ca="1" si="92"/>
        <v>0</v>
      </c>
      <c r="J1976" s="16"/>
    </row>
    <row r="1977" spans="1:10" x14ac:dyDescent="0.2">
      <c r="A1977" s="3">
        <v>45146</v>
      </c>
      <c r="B1977" s="1">
        <f ca="1">IFERROR(__xludf.DUMMYFUNCTION("""COMPUTED_VALUE"""),247.45)</f>
        <v>247.45</v>
      </c>
      <c r="C1977" s="1">
        <f ca="1">IFERROR(__xludf.DUMMYFUNCTION("""COMPUTED_VALUE"""),250.92)</f>
        <v>250.92</v>
      </c>
      <c r="D1977" s="1">
        <f ca="1">IFERROR(__xludf.DUMMYFUNCTION("""COMPUTED_VALUE"""),245.01)</f>
        <v>245.01</v>
      </c>
      <c r="E1977" s="1">
        <f ca="1">IFERROR(__xludf.DUMMYFUNCTION("""COMPUTED_VALUE"""),249.7)</f>
        <v>249.7</v>
      </c>
      <c r="F1977" s="1">
        <f ca="1">IFERROR(__xludf.DUMMYFUNCTION("""COMPUTED_VALUE"""),96642183)</f>
        <v>96642183</v>
      </c>
      <c r="G1977" s="5">
        <f t="shared" ca="1" si="90"/>
        <v>-3.0076091309571451E-2</v>
      </c>
      <c r="H1977" s="14">
        <f t="shared" si="91"/>
        <v>2023</v>
      </c>
      <c r="I1977" s="5">
        <f t="shared" ca="1" si="92"/>
        <v>9.0927460092948068E-3</v>
      </c>
      <c r="J1977" s="16"/>
    </row>
    <row r="1978" spans="1:10" x14ac:dyDescent="0.2">
      <c r="A1978" s="3">
        <v>45147</v>
      </c>
      <c r="B1978" s="1">
        <f ca="1">IFERROR(__xludf.DUMMYFUNCTION("""COMPUTED_VALUE"""),250.87)</f>
        <v>250.87</v>
      </c>
      <c r="C1978" s="1">
        <f ca="1">IFERROR(__xludf.DUMMYFUNCTION("""COMPUTED_VALUE"""),251.1)</f>
        <v>251.1</v>
      </c>
      <c r="D1978" s="1">
        <f ca="1">IFERROR(__xludf.DUMMYFUNCTION("""COMPUTED_VALUE"""),241.9)</f>
        <v>241.9</v>
      </c>
      <c r="E1978" s="1">
        <f ca="1">IFERROR(__xludf.DUMMYFUNCTION("""COMPUTED_VALUE"""),242.19)</f>
        <v>242.19</v>
      </c>
      <c r="F1978" s="1">
        <f ca="1">IFERROR(__xludf.DUMMYFUNCTION("""COMPUTED_VALUE"""),101596324)</f>
        <v>101596324</v>
      </c>
      <c r="G1978" s="5">
        <f t="shared" ca="1" si="90"/>
        <v>1.3006317354143464E-2</v>
      </c>
      <c r="H1978" s="14">
        <f t="shared" si="91"/>
        <v>2023</v>
      </c>
      <c r="I1978" s="5">
        <f t="shared" ca="1" si="92"/>
        <v>-3.459959341491612E-2</v>
      </c>
      <c r="J1978" s="16"/>
    </row>
    <row r="1979" spans="1:10" x14ac:dyDescent="0.2">
      <c r="A1979" s="3">
        <v>45148</v>
      </c>
      <c r="B1979" s="1">
        <f ca="1">IFERROR(__xludf.DUMMYFUNCTION("""COMPUTED_VALUE"""),245.4)</f>
        <v>245.4</v>
      </c>
      <c r="C1979" s="1">
        <f ca="1">IFERROR(__xludf.DUMMYFUNCTION("""COMPUTED_VALUE"""),251.8)</f>
        <v>251.8</v>
      </c>
      <c r="D1979" s="1">
        <f ca="1">IFERROR(__xludf.DUMMYFUNCTION("""COMPUTED_VALUE"""),243)</f>
        <v>243</v>
      </c>
      <c r="E1979" s="1">
        <f ca="1">IFERROR(__xludf.DUMMYFUNCTION("""COMPUTED_VALUE"""),245.34)</f>
        <v>245.34</v>
      </c>
      <c r="F1979" s="1">
        <f ca="1">IFERROR(__xludf.DUMMYFUNCTION("""COMPUTED_VALUE"""),109498608)</f>
        <v>109498608</v>
      </c>
      <c r="G1979" s="5">
        <f t="shared" ca="1" si="90"/>
        <v>-1.0964375968044338E-2</v>
      </c>
      <c r="H1979" s="14">
        <f t="shared" si="91"/>
        <v>2023</v>
      </c>
      <c r="I1979" s="5">
        <f t="shared" ca="1" si="92"/>
        <v>-2.4449877750612172E-4</v>
      </c>
      <c r="J1979" s="16"/>
    </row>
    <row r="1980" spans="1:10" x14ac:dyDescent="0.2">
      <c r="A1980" s="3">
        <v>45149</v>
      </c>
      <c r="B1980" s="1">
        <f ca="1">IFERROR(__xludf.DUMMYFUNCTION("""COMPUTED_VALUE"""),241.77)</f>
        <v>241.77</v>
      </c>
      <c r="C1980" s="1">
        <f ca="1">IFERROR(__xludf.DUMMYFUNCTION("""COMPUTED_VALUE"""),243.79)</f>
        <v>243.79</v>
      </c>
      <c r="D1980" s="1">
        <f ca="1">IFERROR(__xludf.DUMMYFUNCTION("""COMPUTED_VALUE"""),238.02)</f>
        <v>238.02</v>
      </c>
      <c r="E1980" s="1">
        <f ca="1">IFERROR(__xludf.DUMMYFUNCTION("""COMPUTED_VALUE"""),242.65)</f>
        <v>242.65</v>
      </c>
      <c r="F1980" s="1">
        <f ca="1">IFERROR(__xludf.DUMMYFUNCTION("""COMPUTED_VALUE"""),99038642)</f>
        <v>99038642</v>
      </c>
      <c r="G1980" s="5">
        <f t="shared" ca="1" si="90"/>
        <v>-1.1910158664743518E-2</v>
      </c>
      <c r="H1980" s="14">
        <f t="shared" si="91"/>
        <v>2023</v>
      </c>
      <c r="I1980" s="5">
        <f t="shared" ca="1" si="92"/>
        <v>3.6398229722463308E-3</v>
      </c>
      <c r="J1980" s="16"/>
    </row>
    <row r="1981" spans="1:10" x14ac:dyDescent="0.2">
      <c r="A1981" s="3">
        <v>45152</v>
      </c>
      <c r="B1981" s="1">
        <f ca="1">IFERROR(__xludf.DUMMYFUNCTION("""COMPUTED_VALUE"""),235.7)</f>
        <v>235.7</v>
      </c>
      <c r="C1981" s="1">
        <f ca="1">IFERROR(__xludf.DUMMYFUNCTION("""COMPUTED_VALUE"""),240.66)</f>
        <v>240.66</v>
      </c>
      <c r="D1981" s="1">
        <f ca="1">IFERROR(__xludf.DUMMYFUNCTION("""COMPUTED_VALUE"""),233.75)</f>
        <v>233.75</v>
      </c>
      <c r="E1981" s="1">
        <f ca="1">IFERROR(__xludf.DUMMYFUNCTION("""COMPUTED_VALUE"""),239.76)</f>
        <v>239.76</v>
      </c>
      <c r="F1981" s="1">
        <f ca="1">IFERROR(__xludf.DUMMYFUNCTION("""COMPUTED_VALUE"""),98595331)</f>
        <v>98595331</v>
      </c>
      <c r="G1981" s="5">
        <f t="shared" ca="1" si="90"/>
        <v>-2.8361695028361625E-2</v>
      </c>
      <c r="H1981" s="14">
        <f t="shared" si="91"/>
        <v>2023</v>
      </c>
      <c r="I1981" s="5">
        <f t="shared" ca="1" si="92"/>
        <v>1.7225286380992799E-2</v>
      </c>
      <c r="J1981" s="16"/>
    </row>
    <row r="1982" spans="1:10" x14ac:dyDescent="0.2">
      <c r="A1982" s="3">
        <v>45153</v>
      </c>
      <c r="B1982" s="1">
        <f ca="1">IFERROR(__xludf.DUMMYFUNCTION("""COMPUTED_VALUE"""),238.73)</f>
        <v>238.73</v>
      </c>
      <c r="C1982" s="1">
        <f ca="1">IFERROR(__xludf.DUMMYFUNCTION("""COMPUTED_VALUE"""),240.5)</f>
        <v>240.5</v>
      </c>
      <c r="D1982" s="1">
        <f ca="1">IFERROR(__xludf.DUMMYFUNCTION("""COMPUTED_VALUE"""),232.61)</f>
        <v>232.61</v>
      </c>
      <c r="E1982" s="1">
        <f ca="1">IFERROR(__xludf.DUMMYFUNCTION("""COMPUTED_VALUE"""),232.96)</f>
        <v>232.96</v>
      </c>
      <c r="F1982" s="1">
        <f ca="1">IFERROR(__xludf.DUMMYFUNCTION("""COMPUTED_VALUE"""),88197599)</f>
        <v>88197599</v>
      </c>
      <c r="G1982" s="5">
        <f t="shared" ca="1" si="90"/>
        <v>-3.1593406593406648E-2</v>
      </c>
      <c r="H1982" s="14">
        <f t="shared" si="91"/>
        <v>2023</v>
      </c>
      <c r="I1982" s="5">
        <f t="shared" ca="1" si="92"/>
        <v>-2.4169563942529143E-2</v>
      </c>
      <c r="J1982" s="16"/>
    </row>
    <row r="1983" spans="1:10" x14ac:dyDescent="0.2">
      <c r="A1983" s="3">
        <v>45154</v>
      </c>
      <c r="B1983" s="1">
        <f ca="1">IFERROR(__xludf.DUMMYFUNCTION("""COMPUTED_VALUE"""),228.02)</f>
        <v>228.02</v>
      </c>
      <c r="C1983" s="1">
        <f ca="1">IFERROR(__xludf.DUMMYFUNCTION("""COMPUTED_VALUE"""),233.97)</f>
        <v>233.97</v>
      </c>
      <c r="D1983" s="1">
        <f ca="1">IFERROR(__xludf.DUMMYFUNCTION("""COMPUTED_VALUE"""),225.38)</f>
        <v>225.38</v>
      </c>
      <c r="E1983" s="1">
        <f ca="1">IFERROR(__xludf.DUMMYFUNCTION("""COMPUTED_VALUE"""),225.6)</f>
        <v>225.6</v>
      </c>
      <c r="F1983" s="1">
        <f ca="1">IFERROR(__xludf.DUMMYFUNCTION("""COMPUTED_VALUE"""),112484520)</f>
        <v>112484520</v>
      </c>
      <c r="G1983" s="5">
        <f t="shared" ca="1" si="90"/>
        <v>-2.8280141843971613E-2</v>
      </c>
      <c r="H1983" s="14">
        <f t="shared" si="91"/>
        <v>2023</v>
      </c>
      <c r="I1983" s="5">
        <f t="shared" ca="1" si="92"/>
        <v>-1.0613104113674308E-2</v>
      </c>
      <c r="J1983" s="16"/>
    </row>
    <row r="1984" spans="1:10" x14ac:dyDescent="0.2">
      <c r="A1984" s="3">
        <v>45155</v>
      </c>
      <c r="B1984" s="1">
        <f ca="1">IFERROR(__xludf.DUMMYFUNCTION("""COMPUTED_VALUE"""),226.06)</f>
        <v>226.06</v>
      </c>
      <c r="C1984" s="1">
        <f ca="1">IFERROR(__xludf.DUMMYFUNCTION("""COMPUTED_VALUE"""),226.74)</f>
        <v>226.74</v>
      </c>
      <c r="D1984" s="1">
        <f ca="1">IFERROR(__xludf.DUMMYFUNCTION("""COMPUTED_VALUE"""),218.83)</f>
        <v>218.83</v>
      </c>
      <c r="E1984" s="1">
        <f ca="1">IFERROR(__xludf.DUMMYFUNCTION("""COMPUTED_VALUE"""),219.22)</f>
        <v>219.22</v>
      </c>
      <c r="F1984" s="1">
        <f ca="1">IFERROR(__xludf.DUMMYFUNCTION("""COMPUTED_VALUE"""),120718417)</f>
        <v>120718417</v>
      </c>
      <c r="G1984" s="5">
        <f t="shared" ca="1" si="90"/>
        <v>-1.7014870905939193E-2</v>
      </c>
      <c r="H1984" s="14">
        <f t="shared" si="91"/>
        <v>2023</v>
      </c>
      <c r="I1984" s="5">
        <f t="shared" ca="1" si="92"/>
        <v>-3.0257453773334528E-2</v>
      </c>
      <c r="J1984" s="16"/>
    </row>
    <row r="1985" spans="1:10" x14ac:dyDescent="0.2">
      <c r="A1985" s="3">
        <v>45156</v>
      </c>
      <c r="B1985" s="1">
        <f ca="1">IFERROR(__xludf.DUMMYFUNCTION("""COMPUTED_VALUE"""),214.12)</f>
        <v>214.12</v>
      </c>
      <c r="C1985" s="1">
        <f ca="1">IFERROR(__xludf.DUMMYFUNCTION("""COMPUTED_VALUE"""),217.58)</f>
        <v>217.58</v>
      </c>
      <c r="D1985" s="1">
        <f ca="1">IFERROR(__xludf.DUMMYFUNCTION("""COMPUTED_VALUE"""),212.36)</f>
        <v>212.36</v>
      </c>
      <c r="E1985" s="1">
        <f ca="1">IFERROR(__xludf.DUMMYFUNCTION("""COMPUTED_VALUE"""),215.49)</f>
        <v>215.49</v>
      </c>
      <c r="F1985" s="1">
        <f ca="1">IFERROR(__xludf.DUMMYFUNCTION("""COMPUTED_VALUE"""),136276584)</f>
        <v>136276584</v>
      </c>
      <c r="G1985" s="5">
        <f t="shared" ca="1" si="90"/>
        <v>7.3274861942549493E-2</v>
      </c>
      <c r="H1985" s="14">
        <f t="shared" si="91"/>
        <v>2023</v>
      </c>
      <c r="I1985" s="5">
        <f t="shared" ca="1" si="92"/>
        <v>6.3982813375677398E-3</v>
      </c>
      <c r="J1985" s="16"/>
    </row>
    <row r="1986" spans="1:10" x14ac:dyDescent="0.2">
      <c r="A1986" s="3">
        <v>45159</v>
      </c>
      <c r="B1986" s="1">
        <f ca="1">IFERROR(__xludf.DUMMYFUNCTION("""COMPUTED_VALUE"""),221.55)</f>
        <v>221.55</v>
      </c>
      <c r="C1986" s="1">
        <f ca="1">IFERROR(__xludf.DUMMYFUNCTION("""COMPUTED_VALUE"""),232.13)</f>
        <v>232.13</v>
      </c>
      <c r="D1986" s="1">
        <f ca="1">IFERROR(__xludf.DUMMYFUNCTION("""COMPUTED_VALUE"""),220.58)</f>
        <v>220.58</v>
      </c>
      <c r="E1986" s="1">
        <f ca="1">IFERROR(__xludf.DUMMYFUNCTION("""COMPUTED_VALUE"""),231.28)</f>
        <v>231.28</v>
      </c>
      <c r="F1986" s="1">
        <f ca="1">IFERROR(__xludf.DUMMYFUNCTION("""COMPUTED_VALUE"""),135702671)</f>
        <v>135702671</v>
      </c>
      <c r="G1986" s="5">
        <f t="shared" ca="1" si="90"/>
        <v>8.2583881010030984E-3</v>
      </c>
      <c r="H1986" s="14">
        <f t="shared" si="91"/>
        <v>2023</v>
      </c>
      <c r="I1986" s="5">
        <f t="shared" ca="1" si="92"/>
        <v>4.3917851500789841E-2</v>
      </c>
      <c r="J1986" s="16"/>
    </row>
    <row r="1987" spans="1:10" x14ac:dyDescent="0.2">
      <c r="A1987" s="3">
        <v>45160</v>
      </c>
      <c r="B1987" s="1">
        <f ca="1">IFERROR(__xludf.DUMMYFUNCTION("""COMPUTED_VALUE"""),240.25)</f>
        <v>240.25</v>
      </c>
      <c r="C1987" s="1">
        <f ca="1">IFERROR(__xludf.DUMMYFUNCTION("""COMPUTED_VALUE"""),240.82)</f>
        <v>240.82</v>
      </c>
      <c r="D1987" s="1">
        <f ca="1">IFERROR(__xludf.DUMMYFUNCTION("""COMPUTED_VALUE"""),229.55)</f>
        <v>229.55</v>
      </c>
      <c r="E1987" s="1">
        <f ca="1">IFERROR(__xludf.DUMMYFUNCTION("""COMPUTED_VALUE"""),233.19)</f>
        <v>233.19</v>
      </c>
      <c r="F1987" s="1">
        <f ca="1">IFERROR(__xludf.DUMMYFUNCTION("""COMPUTED_VALUE"""),130597886)</f>
        <v>130597886</v>
      </c>
      <c r="G1987" s="5">
        <f t="shared" ref="G1987:G2050" ca="1" si="93">(E1988-E1987)/E1987</f>
        <v>1.5738239204082575E-2</v>
      </c>
      <c r="H1987" s="14">
        <f t="shared" ref="H1987:H2050" si="94">YEAR(A1987)</f>
        <v>2023</v>
      </c>
      <c r="I1987" s="5">
        <f t="shared" ref="I1987:I2050" ca="1" si="95">((E1987 - B1987) / B1987)</f>
        <v>-2.9386056191467232E-2</v>
      </c>
      <c r="J1987" s="16"/>
    </row>
    <row r="1988" spans="1:10" x14ac:dyDescent="0.2">
      <c r="A1988" s="3">
        <v>45161</v>
      </c>
      <c r="B1988" s="1">
        <f ca="1">IFERROR(__xludf.DUMMYFUNCTION("""COMPUTED_VALUE"""),229.34)</f>
        <v>229.34</v>
      </c>
      <c r="C1988" s="1">
        <f ca="1">IFERROR(__xludf.DUMMYFUNCTION("""COMPUTED_VALUE"""),238.98)</f>
        <v>238.98</v>
      </c>
      <c r="D1988" s="1">
        <f ca="1">IFERROR(__xludf.DUMMYFUNCTION("""COMPUTED_VALUE"""),229.29)</f>
        <v>229.29</v>
      </c>
      <c r="E1988" s="1">
        <f ca="1">IFERROR(__xludf.DUMMYFUNCTION("""COMPUTED_VALUE"""),236.86)</f>
        <v>236.86</v>
      </c>
      <c r="F1988" s="1">
        <f ca="1">IFERROR(__xludf.DUMMYFUNCTION("""COMPUTED_VALUE"""),101077635)</f>
        <v>101077635</v>
      </c>
      <c r="G1988" s="5">
        <f t="shared" ca="1" si="93"/>
        <v>-2.8793380055729213E-2</v>
      </c>
      <c r="H1988" s="14">
        <f t="shared" si="94"/>
        <v>2023</v>
      </c>
      <c r="I1988" s="5">
        <f t="shared" ca="1" si="95"/>
        <v>3.2789744484172018E-2</v>
      </c>
      <c r="J1988" s="16"/>
    </row>
    <row r="1989" spans="1:10" x14ac:dyDescent="0.2">
      <c r="A1989" s="3">
        <v>45162</v>
      </c>
      <c r="B1989" s="1">
        <f ca="1">IFERROR(__xludf.DUMMYFUNCTION("""COMPUTED_VALUE"""),238.66)</f>
        <v>238.66</v>
      </c>
      <c r="C1989" s="1">
        <f ca="1">IFERROR(__xludf.DUMMYFUNCTION("""COMPUTED_VALUE"""),238.92)</f>
        <v>238.92</v>
      </c>
      <c r="D1989" s="1">
        <f ca="1">IFERROR(__xludf.DUMMYFUNCTION("""COMPUTED_VALUE"""),228.18)</f>
        <v>228.18</v>
      </c>
      <c r="E1989" s="1">
        <f ca="1">IFERROR(__xludf.DUMMYFUNCTION("""COMPUTED_VALUE"""),230.04)</f>
        <v>230.04</v>
      </c>
      <c r="F1989" s="1">
        <f ca="1">IFERROR(__xludf.DUMMYFUNCTION("""COMPUTED_VALUE"""),99777432)</f>
        <v>99777432</v>
      </c>
      <c r="G1989" s="5">
        <f t="shared" ca="1" si="93"/>
        <v>3.7167449139280176E-2</v>
      </c>
      <c r="H1989" s="14">
        <f t="shared" si="94"/>
        <v>2023</v>
      </c>
      <c r="I1989" s="5">
        <f t="shared" ca="1" si="95"/>
        <v>-3.6118327327579004E-2</v>
      </c>
      <c r="J1989" s="16"/>
    </row>
    <row r="1990" spans="1:10" x14ac:dyDescent="0.2">
      <c r="A1990" s="3">
        <v>45163</v>
      </c>
      <c r="B1990" s="1">
        <f ca="1">IFERROR(__xludf.DUMMYFUNCTION("""COMPUTED_VALUE"""),231.31)</f>
        <v>231.31</v>
      </c>
      <c r="C1990" s="1">
        <f ca="1">IFERROR(__xludf.DUMMYFUNCTION("""COMPUTED_VALUE"""),239)</f>
        <v>239</v>
      </c>
      <c r="D1990" s="1">
        <f ca="1">IFERROR(__xludf.DUMMYFUNCTION("""COMPUTED_VALUE"""),230.35)</f>
        <v>230.35</v>
      </c>
      <c r="E1990" s="1">
        <f ca="1">IFERROR(__xludf.DUMMYFUNCTION("""COMPUTED_VALUE"""),238.59)</f>
        <v>238.59</v>
      </c>
      <c r="F1990" s="1">
        <f ca="1">IFERROR(__xludf.DUMMYFUNCTION("""COMPUTED_VALUE"""),106612231)</f>
        <v>106612231</v>
      </c>
      <c r="G1990" s="5">
        <f t="shared" ca="1" si="93"/>
        <v>9.6399681461917838E-4</v>
      </c>
      <c r="H1990" s="14">
        <f t="shared" si="94"/>
        <v>2023</v>
      </c>
      <c r="I1990" s="5">
        <f t="shared" ca="1" si="95"/>
        <v>3.1472915135532409E-2</v>
      </c>
      <c r="J1990" s="16"/>
    </row>
    <row r="1991" spans="1:10" x14ac:dyDescent="0.2">
      <c r="A1991" s="3">
        <v>45166</v>
      </c>
      <c r="B1991" s="1">
        <f ca="1">IFERROR(__xludf.DUMMYFUNCTION("""COMPUTED_VALUE"""),242.58)</f>
        <v>242.58</v>
      </c>
      <c r="C1991" s="1">
        <f ca="1">IFERROR(__xludf.DUMMYFUNCTION("""COMPUTED_VALUE"""),244.38)</f>
        <v>244.38</v>
      </c>
      <c r="D1991" s="1">
        <f ca="1">IFERROR(__xludf.DUMMYFUNCTION("""COMPUTED_VALUE"""),235.35)</f>
        <v>235.35</v>
      </c>
      <c r="E1991" s="1">
        <f ca="1">IFERROR(__xludf.DUMMYFUNCTION("""COMPUTED_VALUE"""),238.82)</f>
        <v>238.82</v>
      </c>
      <c r="F1991" s="1">
        <f ca="1">IFERROR(__xludf.DUMMYFUNCTION("""COMPUTED_VALUE"""),107673727)</f>
        <v>107673727</v>
      </c>
      <c r="G1991" s="5">
        <f t="shared" ca="1" si="93"/>
        <v>7.6877983418474224E-2</v>
      </c>
      <c r="H1991" s="14">
        <f t="shared" si="94"/>
        <v>2023</v>
      </c>
      <c r="I1991" s="5">
        <f t="shared" ca="1" si="95"/>
        <v>-1.550004122351397E-2</v>
      </c>
      <c r="J1991" s="16"/>
    </row>
    <row r="1992" spans="1:10" x14ac:dyDescent="0.2">
      <c r="A1992" s="3">
        <v>45167</v>
      </c>
      <c r="B1992" s="1">
        <f ca="1">IFERROR(__xludf.DUMMYFUNCTION("""COMPUTED_VALUE"""),238.58)</f>
        <v>238.58</v>
      </c>
      <c r="C1992" s="1">
        <f ca="1">IFERROR(__xludf.DUMMYFUNCTION("""COMPUTED_VALUE"""),257.48)</f>
        <v>257.48</v>
      </c>
      <c r="D1992" s="1">
        <f ca="1">IFERROR(__xludf.DUMMYFUNCTION("""COMPUTED_VALUE"""),237.77)</f>
        <v>237.77</v>
      </c>
      <c r="E1992" s="1">
        <f ca="1">IFERROR(__xludf.DUMMYFUNCTION("""COMPUTED_VALUE"""),257.18)</f>
        <v>257.18</v>
      </c>
      <c r="F1992" s="1">
        <f ca="1">IFERROR(__xludf.DUMMYFUNCTION("""COMPUTED_VALUE"""),134047603)</f>
        <v>134047603</v>
      </c>
      <c r="G1992" s="5">
        <f t="shared" ca="1" si="93"/>
        <v>-1.0887316276538982E-3</v>
      </c>
      <c r="H1992" s="14">
        <f t="shared" si="94"/>
        <v>2023</v>
      </c>
      <c r="I1992" s="5">
        <f t="shared" ca="1" si="95"/>
        <v>7.7961270852544187E-2</v>
      </c>
      <c r="J1992" s="16"/>
    </row>
    <row r="1993" spans="1:10" x14ac:dyDescent="0.2">
      <c r="A1993" s="3">
        <v>45168</v>
      </c>
      <c r="B1993" s="1">
        <f ca="1">IFERROR(__xludf.DUMMYFUNCTION("""COMPUTED_VALUE"""),254.2)</f>
        <v>254.2</v>
      </c>
      <c r="C1993" s="1">
        <f ca="1">IFERROR(__xludf.DUMMYFUNCTION("""COMPUTED_VALUE"""),260.51)</f>
        <v>260.51</v>
      </c>
      <c r="D1993" s="1">
        <f ca="1">IFERROR(__xludf.DUMMYFUNCTION("""COMPUTED_VALUE"""),250.59)</f>
        <v>250.59</v>
      </c>
      <c r="E1993" s="1">
        <f ca="1">IFERROR(__xludf.DUMMYFUNCTION("""COMPUTED_VALUE"""),256.9)</f>
        <v>256.89999999999998</v>
      </c>
      <c r="F1993" s="1">
        <f ca="1">IFERROR(__xludf.DUMMYFUNCTION("""COMPUTED_VALUE"""),121988437)</f>
        <v>121988437</v>
      </c>
      <c r="G1993" s="5">
        <f t="shared" ca="1" si="93"/>
        <v>4.5932269365512139E-3</v>
      </c>
      <c r="H1993" s="14">
        <f t="shared" si="94"/>
        <v>2023</v>
      </c>
      <c r="I1993" s="5">
        <f t="shared" ca="1" si="95"/>
        <v>1.0621557828481466E-2</v>
      </c>
      <c r="J1993" s="16"/>
    </row>
    <row r="1994" spans="1:10" x14ac:dyDescent="0.2">
      <c r="A1994" s="3">
        <v>45169</v>
      </c>
      <c r="B1994" s="1">
        <f ca="1">IFERROR(__xludf.DUMMYFUNCTION("""COMPUTED_VALUE"""),255.98)</f>
        <v>255.98</v>
      </c>
      <c r="C1994" s="1">
        <f ca="1">IFERROR(__xludf.DUMMYFUNCTION("""COMPUTED_VALUE"""),261.18)</f>
        <v>261.18</v>
      </c>
      <c r="D1994" s="1">
        <f ca="1">IFERROR(__xludf.DUMMYFUNCTION("""COMPUTED_VALUE"""),255.05)</f>
        <v>255.05</v>
      </c>
      <c r="E1994" s="1">
        <f ca="1">IFERROR(__xludf.DUMMYFUNCTION("""COMPUTED_VALUE"""),258.08)</f>
        <v>258.08</v>
      </c>
      <c r="F1994" s="1">
        <f ca="1">IFERROR(__xludf.DUMMYFUNCTION("""COMPUTED_VALUE"""),108861698)</f>
        <v>108861698</v>
      </c>
      <c r="G1994" s="5">
        <f t="shared" ca="1" si="93"/>
        <v>-5.0643211407315536E-2</v>
      </c>
      <c r="H1994" s="14">
        <f t="shared" si="94"/>
        <v>2023</v>
      </c>
      <c r="I1994" s="5">
        <f t="shared" ca="1" si="95"/>
        <v>8.2037659192124163E-3</v>
      </c>
      <c r="J1994" s="16"/>
    </row>
    <row r="1995" spans="1:10" x14ac:dyDescent="0.2">
      <c r="A1995" s="3">
        <v>45170</v>
      </c>
      <c r="B1995" s="1">
        <f ca="1">IFERROR(__xludf.DUMMYFUNCTION("""COMPUTED_VALUE"""),257.26)</f>
        <v>257.26</v>
      </c>
      <c r="C1995" s="1">
        <f ca="1">IFERROR(__xludf.DUMMYFUNCTION("""COMPUTED_VALUE"""),259.08)</f>
        <v>259.08</v>
      </c>
      <c r="D1995" s="1">
        <f ca="1">IFERROR(__xludf.DUMMYFUNCTION("""COMPUTED_VALUE"""),242.01)</f>
        <v>242.01</v>
      </c>
      <c r="E1995" s="1">
        <f ca="1">IFERROR(__xludf.DUMMYFUNCTION("""COMPUTED_VALUE"""),245.01)</f>
        <v>245.01</v>
      </c>
      <c r="F1995" s="1">
        <f ca="1">IFERROR(__xludf.DUMMYFUNCTION("""COMPUTED_VALUE"""),132541640)</f>
        <v>132541640</v>
      </c>
      <c r="G1995" s="5">
        <f t="shared" ca="1" si="93"/>
        <v>4.6855230398759308E-2</v>
      </c>
      <c r="H1995" s="14">
        <f t="shared" si="94"/>
        <v>2023</v>
      </c>
      <c r="I1995" s="5">
        <f t="shared" ca="1" si="95"/>
        <v>-4.7617196610433024E-2</v>
      </c>
      <c r="J1995" s="16"/>
    </row>
    <row r="1996" spans="1:10" x14ac:dyDescent="0.2">
      <c r="A1996" s="3">
        <v>45174</v>
      </c>
      <c r="B1996" s="1">
        <f ca="1">IFERROR(__xludf.DUMMYFUNCTION("""COMPUTED_VALUE"""),245)</f>
        <v>245</v>
      </c>
      <c r="C1996" s="1">
        <f ca="1">IFERROR(__xludf.DUMMYFUNCTION("""COMPUTED_VALUE"""),258)</f>
        <v>258</v>
      </c>
      <c r="D1996" s="1">
        <f ca="1">IFERROR(__xludf.DUMMYFUNCTION("""COMPUTED_VALUE"""),244.86)</f>
        <v>244.86</v>
      </c>
      <c r="E1996" s="1">
        <f ca="1">IFERROR(__xludf.DUMMYFUNCTION("""COMPUTED_VALUE"""),256.49)</f>
        <v>256.49</v>
      </c>
      <c r="F1996" s="1">
        <f ca="1">IFERROR(__xludf.DUMMYFUNCTION("""COMPUTED_VALUE"""),129469565)</f>
        <v>129469565</v>
      </c>
      <c r="G1996" s="5">
        <f t="shared" ca="1" si="93"/>
        <v>-1.7817458770322512E-2</v>
      </c>
      <c r="H1996" s="14">
        <f t="shared" si="94"/>
        <v>2023</v>
      </c>
      <c r="I1996" s="5">
        <f t="shared" ca="1" si="95"/>
        <v>4.689795918367351E-2</v>
      </c>
      <c r="J1996" s="16"/>
    </row>
    <row r="1997" spans="1:10" x14ac:dyDescent="0.2">
      <c r="A1997" s="3">
        <v>45175</v>
      </c>
      <c r="B1997" s="1">
        <f ca="1">IFERROR(__xludf.DUMMYFUNCTION("""COMPUTED_VALUE"""),255.14)</f>
        <v>255.14</v>
      </c>
      <c r="C1997" s="1">
        <f ca="1">IFERROR(__xludf.DUMMYFUNCTION("""COMPUTED_VALUE"""),255.39)</f>
        <v>255.39</v>
      </c>
      <c r="D1997" s="1">
        <f ca="1">IFERROR(__xludf.DUMMYFUNCTION("""COMPUTED_VALUE"""),245.06)</f>
        <v>245.06</v>
      </c>
      <c r="E1997" s="1">
        <f ca="1">IFERROR(__xludf.DUMMYFUNCTION("""COMPUTED_VALUE"""),251.92)</f>
        <v>251.92</v>
      </c>
      <c r="F1997" s="1">
        <f ca="1">IFERROR(__xludf.DUMMYFUNCTION("""COMPUTED_VALUE"""),116959759)</f>
        <v>116959759</v>
      </c>
      <c r="G1997" s="5">
        <f t="shared" ca="1" si="93"/>
        <v>-1.7068910765321468E-3</v>
      </c>
      <c r="H1997" s="14">
        <f t="shared" si="94"/>
        <v>2023</v>
      </c>
      <c r="I1997" s="5">
        <f t="shared" ca="1" si="95"/>
        <v>-1.2620522066316529E-2</v>
      </c>
      <c r="J1997" s="16"/>
    </row>
    <row r="1998" spans="1:10" x14ac:dyDescent="0.2">
      <c r="A1998" s="3">
        <v>45176</v>
      </c>
      <c r="B1998" s="1">
        <f ca="1">IFERROR(__xludf.DUMMYFUNCTION("""COMPUTED_VALUE"""),245.07)</f>
        <v>245.07</v>
      </c>
      <c r="C1998" s="1">
        <f ca="1">IFERROR(__xludf.DUMMYFUNCTION("""COMPUTED_VALUE"""),252.81)</f>
        <v>252.81</v>
      </c>
      <c r="D1998" s="1">
        <f ca="1">IFERROR(__xludf.DUMMYFUNCTION("""COMPUTED_VALUE"""),243.27)</f>
        <v>243.27</v>
      </c>
      <c r="E1998" s="1">
        <f ca="1">IFERROR(__xludf.DUMMYFUNCTION("""COMPUTED_VALUE"""),251.49)</f>
        <v>251.49</v>
      </c>
      <c r="F1998" s="1">
        <f ca="1">IFERROR(__xludf.DUMMYFUNCTION("""COMPUTED_VALUE"""),115312886)</f>
        <v>115312886</v>
      </c>
      <c r="G1998" s="5">
        <f t="shared" ca="1" si="93"/>
        <v>-1.1889140721301081E-2</v>
      </c>
      <c r="H1998" s="14">
        <f t="shared" si="94"/>
        <v>2023</v>
      </c>
      <c r="I1998" s="5">
        <f t="shared" ca="1" si="95"/>
        <v>2.6196596890684359E-2</v>
      </c>
      <c r="J1998" s="16"/>
    </row>
    <row r="1999" spans="1:10" x14ac:dyDescent="0.2">
      <c r="A1999" s="3">
        <v>45177</v>
      </c>
      <c r="B1999" s="1">
        <f ca="1">IFERROR(__xludf.DUMMYFUNCTION("""COMPUTED_VALUE"""),251.22)</f>
        <v>251.22</v>
      </c>
      <c r="C1999" s="1">
        <f ca="1">IFERROR(__xludf.DUMMYFUNCTION("""COMPUTED_VALUE"""),256.52)</f>
        <v>256.52</v>
      </c>
      <c r="D1999" s="1">
        <f ca="1">IFERROR(__xludf.DUMMYFUNCTION("""COMPUTED_VALUE"""),246.67)</f>
        <v>246.67</v>
      </c>
      <c r="E1999" s="1">
        <f ca="1">IFERROR(__xludf.DUMMYFUNCTION("""COMPUTED_VALUE"""),248.5)</f>
        <v>248.5</v>
      </c>
      <c r="F1999" s="1">
        <f ca="1">IFERROR(__xludf.DUMMYFUNCTION("""COMPUTED_VALUE"""),118559635)</f>
        <v>118559635</v>
      </c>
      <c r="G1999" s="5">
        <f t="shared" ca="1" si="93"/>
        <v>0.10092555331991945</v>
      </c>
      <c r="H1999" s="14">
        <f t="shared" si="94"/>
        <v>2023</v>
      </c>
      <c r="I1999" s="5">
        <f t="shared" ca="1" si="95"/>
        <v>-1.0827163442401078E-2</v>
      </c>
      <c r="J1999" s="16"/>
    </row>
    <row r="2000" spans="1:10" x14ac:dyDescent="0.2">
      <c r="A2000" s="3">
        <v>45180</v>
      </c>
      <c r="B2000" s="1">
        <f ca="1">IFERROR(__xludf.DUMMYFUNCTION("""COMPUTED_VALUE"""),264.27)</f>
        <v>264.27</v>
      </c>
      <c r="C2000" s="1">
        <f ca="1">IFERROR(__xludf.DUMMYFUNCTION("""COMPUTED_VALUE"""),274.85)</f>
        <v>274.85000000000002</v>
      </c>
      <c r="D2000" s="1">
        <f ca="1">IFERROR(__xludf.DUMMYFUNCTION("""COMPUTED_VALUE"""),260.61)</f>
        <v>260.61</v>
      </c>
      <c r="E2000" s="1">
        <f ca="1">IFERROR(__xludf.DUMMYFUNCTION("""COMPUTED_VALUE"""),273.58)</f>
        <v>273.58</v>
      </c>
      <c r="F2000" s="1">
        <f ca="1">IFERROR(__xludf.DUMMYFUNCTION("""COMPUTED_VALUE"""),174667852)</f>
        <v>174667852</v>
      </c>
      <c r="G2000" s="5">
        <f t="shared" ca="1" si="93"/>
        <v>-2.2296951531544582E-2</v>
      </c>
      <c r="H2000" s="14">
        <f t="shared" si="94"/>
        <v>2023</v>
      </c>
      <c r="I2000" s="5">
        <f t="shared" ca="1" si="95"/>
        <v>3.5229121731562431E-2</v>
      </c>
      <c r="J2000" s="16"/>
    </row>
    <row r="2001" spans="1:10" x14ac:dyDescent="0.2">
      <c r="A2001" s="3">
        <v>45181</v>
      </c>
      <c r="B2001" s="1">
        <f ca="1">IFERROR(__xludf.DUMMYFUNCTION("""COMPUTED_VALUE"""),270.76)</f>
        <v>270.76</v>
      </c>
      <c r="C2001" s="1">
        <f ca="1">IFERROR(__xludf.DUMMYFUNCTION("""COMPUTED_VALUE"""),278.39)</f>
        <v>278.39</v>
      </c>
      <c r="D2001" s="1">
        <f ca="1">IFERROR(__xludf.DUMMYFUNCTION("""COMPUTED_VALUE"""),266.6)</f>
        <v>266.60000000000002</v>
      </c>
      <c r="E2001" s="1">
        <f ca="1">IFERROR(__xludf.DUMMYFUNCTION("""COMPUTED_VALUE"""),267.48)</f>
        <v>267.48</v>
      </c>
      <c r="F2001" s="1">
        <f ca="1">IFERROR(__xludf.DUMMYFUNCTION("""COMPUTED_VALUE"""),135999866)</f>
        <v>135999866</v>
      </c>
      <c r="G2001" s="5">
        <f t="shared" ca="1" si="93"/>
        <v>1.4281441603110486E-2</v>
      </c>
      <c r="H2001" s="14">
        <f t="shared" si="94"/>
        <v>2023</v>
      </c>
      <c r="I2001" s="5">
        <f t="shared" ca="1" si="95"/>
        <v>-1.2114049342591124E-2</v>
      </c>
      <c r="J2001" s="16"/>
    </row>
    <row r="2002" spans="1:10" x14ac:dyDescent="0.2">
      <c r="A2002" s="3">
        <v>45182</v>
      </c>
      <c r="B2002" s="1">
        <f ca="1">IFERROR(__xludf.DUMMYFUNCTION("""COMPUTED_VALUE"""),270.07)</f>
        <v>270.07</v>
      </c>
      <c r="C2002" s="1">
        <f ca="1">IFERROR(__xludf.DUMMYFUNCTION("""COMPUTED_VALUE"""),274.98)</f>
        <v>274.98</v>
      </c>
      <c r="D2002" s="1">
        <f ca="1">IFERROR(__xludf.DUMMYFUNCTION("""COMPUTED_VALUE"""),268.1)</f>
        <v>268.10000000000002</v>
      </c>
      <c r="E2002" s="1">
        <f ca="1">IFERROR(__xludf.DUMMYFUNCTION("""COMPUTED_VALUE"""),271.3)</f>
        <v>271.3</v>
      </c>
      <c r="F2002" s="1">
        <f ca="1">IFERROR(__xludf.DUMMYFUNCTION("""COMPUTED_VALUE"""),111673737)</f>
        <v>111673737</v>
      </c>
      <c r="G2002" s="5">
        <f t="shared" ca="1" si="93"/>
        <v>1.7471433837080757E-2</v>
      </c>
      <c r="H2002" s="14">
        <f t="shared" si="94"/>
        <v>2023</v>
      </c>
      <c r="I2002" s="5">
        <f t="shared" ca="1" si="95"/>
        <v>4.5543747917207323E-3</v>
      </c>
      <c r="J2002" s="16"/>
    </row>
    <row r="2003" spans="1:10" x14ac:dyDescent="0.2">
      <c r="A2003" s="3">
        <v>45183</v>
      </c>
      <c r="B2003" s="1">
        <f ca="1">IFERROR(__xludf.DUMMYFUNCTION("""COMPUTED_VALUE"""),271.32)</f>
        <v>271.32</v>
      </c>
      <c r="C2003" s="1">
        <f ca="1">IFERROR(__xludf.DUMMYFUNCTION("""COMPUTED_VALUE"""),276.71)</f>
        <v>276.70999999999998</v>
      </c>
      <c r="D2003" s="1">
        <f ca="1">IFERROR(__xludf.DUMMYFUNCTION("""COMPUTED_VALUE"""),270.42)</f>
        <v>270.42</v>
      </c>
      <c r="E2003" s="1">
        <f ca="1">IFERROR(__xludf.DUMMYFUNCTION("""COMPUTED_VALUE"""),276.04)</f>
        <v>276.04000000000002</v>
      </c>
      <c r="F2003" s="1">
        <f ca="1">IFERROR(__xludf.DUMMYFUNCTION("""COMPUTED_VALUE"""),107709842)</f>
        <v>107709842</v>
      </c>
      <c r="G2003" s="5">
        <f t="shared" ca="1" si="93"/>
        <v>-5.9773945804957032E-3</v>
      </c>
      <c r="H2003" s="14">
        <f t="shared" si="94"/>
        <v>2023</v>
      </c>
      <c r="I2003" s="5">
        <f t="shared" ca="1" si="95"/>
        <v>1.7396432257113473E-2</v>
      </c>
      <c r="J2003" s="16"/>
    </row>
    <row r="2004" spans="1:10" x14ac:dyDescent="0.2">
      <c r="A2004" s="3">
        <v>45184</v>
      </c>
      <c r="B2004" s="1">
        <f ca="1">IFERROR(__xludf.DUMMYFUNCTION("""COMPUTED_VALUE"""),277.55)</f>
        <v>277.55</v>
      </c>
      <c r="C2004" s="1">
        <f ca="1">IFERROR(__xludf.DUMMYFUNCTION("""COMPUTED_VALUE"""),278.98)</f>
        <v>278.98</v>
      </c>
      <c r="D2004" s="1">
        <f ca="1">IFERROR(__xludf.DUMMYFUNCTION("""COMPUTED_VALUE"""),271)</f>
        <v>271</v>
      </c>
      <c r="E2004" s="1">
        <f ca="1">IFERROR(__xludf.DUMMYFUNCTION("""COMPUTED_VALUE"""),274.39)</f>
        <v>274.39</v>
      </c>
      <c r="F2004" s="1">
        <f ca="1">IFERROR(__xludf.DUMMYFUNCTION("""COMPUTED_VALUE"""),133692313)</f>
        <v>133692313</v>
      </c>
      <c r="G2004" s="5">
        <f t="shared" ca="1" si="93"/>
        <v>-3.3200918400816411E-2</v>
      </c>
      <c r="H2004" s="14">
        <f t="shared" si="94"/>
        <v>2023</v>
      </c>
      <c r="I2004" s="5">
        <f t="shared" ca="1" si="95"/>
        <v>-1.13853359755E-2</v>
      </c>
      <c r="J2004" s="16"/>
    </row>
    <row r="2005" spans="1:10" x14ac:dyDescent="0.2">
      <c r="A2005" s="3">
        <v>45187</v>
      </c>
      <c r="B2005" s="1">
        <f ca="1">IFERROR(__xludf.DUMMYFUNCTION("""COMPUTED_VALUE"""),271.16)</f>
        <v>271.16000000000003</v>
      </c>
      <c r="C2005" s="1">
        <f ca="1">IFERROR(__xludf.DUMMYFUNCTION("""COMPUTED_VALUE"""),271.44)</f>
        <v>271.44</v>
      </c>
      <c r="D2005" s="1">
        <f ca="1">IFERROR(__xludf.DUMMYFUNCTION("""COMPUTED_VALUE"""),263.76)</f>
        <v>263.76</v>
      </c>
      <c r="E2005" s="1">
        <f ca="1">IFERROR(__xludf.DUMMYFUNCTION("""COMPUTED_VALUE"""),265.28)</f>
        <v>265.27999999999997</v>
      </c>
      <c r="F2005" s="1">
        <f ca="1">IFERROR(__xludf.DUMMYFUNCTION("""COMPUTED_VALUE"""),101543305)</f>
        <v>101543305</v>
      </c>
      <c r="G2005" s="5">
        <f t="shared" ca="1" si="93"/>
        <v>4.5989143546442532E-3</v>
      </c>
      <c r="H2005" s="14">
        <f t="shared" si="94"/>
        <v>2023</v>
      </c>
      <c r="I2005" s="5">
        <f t="shared" ca="1" si="95"/>
        <v>-2.1684614249889555E-2</v>
      </c>
      <c r="J2005" s="16"/>
    </row>
    <row r="2006" spans="1:10" x14ac:dyDescent="0.2">
      <c r="A2006" s="3">
        <v>45188</v>
      </c>
      <c r="B2006" s="1">
        <f ca="1">IFERROR(__xludf.DUMMYFUNCTION("""COMPUTED_VALUE"""),264.35)</f>
        <v>264.35000000000002</v>
      </c>
      <c r="C2006" s="1">
        <f ca="1">IFERROR(__xludf.DUMMYFUNCTION("""COMPUTED_VALUE"""),267.85)</f>
        <v>267.85000000000002</v>
      </c>
      <c r="D2006" s="1">
        <f ca="1">IFERROR(__xludf.DUMMYFUNCTION("""COMPUTED_VALUE"""),261.2)</f>
        <v>261.2</v>
      </c>
      <c r="E2006" s="1">
        <f ca="1">IFERROR(__xludf.DUMMYFUNCTION("""COMPUTED_VALUE"""),266.5)</f>
        <v>266.5</v>
      </c>
      <c r="F2006" s="1">
        <f ca="1">IFERROR(__xludf.DUMMYFUNCTION("""COMPUTED_VALUE"""),103704040)</f>
        <v>103704040</v>
      </c>
      <c r="G2006" s="5">
        <f t="shared" ca="1" si="93"/>
        <v>-1.4671669793621106E-2</v>
      </c>
      <c r="H2006" s="14">
        <f t="shared" si="94"/>
        <v>2023</v>
      </c>
      <c r="I2006" s="5">
        <f t="shared" ca="1" si="95"/>
        <v>8.1331567996972848E-3</v>
      </c>
      <c r="J2006" s="16"/>
    </row>
    <row r="2007" spans="1:10" x14ac:dyDescent="0.2">
      <c r="A2007" s="3">
        <v>45189</v>
      </c>
      <c r="B2007" s="1">
        <f ca="1">IFERROR(__xludf.DUMMYFUNCTION("""COMPUTED_VALUE"""),267.04)</f>
        <v>267.04000000000002</v>
      </c>
      <c r="C2007" s="1">
        <f ca="1">IFERROR(__xludf.DUMMYFUNCTION("""COMPUTED_VALUE"""),273.93)</f>
        <v>273.93</v>
      </c>
      <c r="D2007" s="1">
        <f ca="1">IFERROR(__xludf.DUMMYFUNCTION("""COMPUTED_VALUE"""),262.46)</f>
        <v>262.45999999999998</v>
      </c>
      <c r="E2007" s="1">
        <f ca="1">IFERROR(__xludf.DUMMYFUNCTION("""COMPUTED_VALUE"""),262.59)</f>
        <v>262.58999999999997</v>
      </c>
      <c r="F2007" s="1">
        <f ca="1">IFERROR(__xludf.DUMMYFUNCTION("""COMPUTED_VALUE"""),122514643)</f>
        <v>122514643</v>
      </c>
      <c r="G2007" s="5">
        <f t="shared" ca="1" si="93"/>
        <v>-2.6238622948322431E-2</v>
      </c>
      <c r="H2007" s="14">
        <f t="shared" si="94"/>
        <v>2023</v>
      </c>
      <c r="I2007" s="5">
        <f t="shared" ca="1" si="95"/>
        <v>-1.6664170161773687E-2</v>
      </c>
      <c r="J2007" s="16"/>
    </row>
    <row r="2008" spans="1:10" x14ac:dyDescent="0.2">
      <c r="A2008" s="3">
        <v>45190</v>
      </c>
      <c r="B2008" s="1">
        <f ca="1">IFERROR(__xludf.DUMMYFUNCTION("""COMPUTED_VALUE"""),257.85)</f>
        <v>257.85000000000002</v>
      </c>
      <c r="C2008" s="1">
        <f ca="1">IFERROR(__xludf.DUMMYFUNCTION("""COMPUTED_VALUE"""),260.86)</f>
        <v>260.86</v>
      </c>
      <c r="D2008" s="1">
        <f ca="1">IFERROR(__xludf.DUMMYFUNCTION("""COMPUTED_VALUE"""),254.21)</f>
        <v>254.21</v>
      </c>
      <c r="E2008" s="1">
        <f ca="1">IFERROR(__xludf.DUMMYFUNCTION("""COMPUTED_VALUE"""),255.7)</f>
        <v>255.7</v>
      </c>
      <c r="F2008" s="1">
        <f ca="1">IFERROR(__xludf.DUMMYFUNCTION("""COMPUTED_VALUE"""),119951516)</f>
        <v>119951516</v>
      </c>
      <c r="G2008" s="5">
        <f t="shared" ca="1" si="93"/>
        <v>-4.2315213140398877E-2</v>
      </c>
      <c r="H2008" s="14">
        <f t="shared" si="94"/>
        <v>2023</v>
      </c>
      <c r="I2008" s="5">
        <f t="shared" ca="1" si="95"/>
        <v>-8.3381811130503539E-3</v>
      </c>
      <c r="J2008" s="16"/>
    </row>
    <row r="2009" spans="1:10" x14ac:dyDescent="0.2">
      <c r="A2009" s="3">
        <v>45191</v>
      </c>
      <c r="B2009" s="1">
        <f ca="1">IFERROR(__xludf.DUMMYFUNCTION("""COMPUTED_VALUE"""),257.4)</f>
        <v>257.39999999999998</v>
      </c>
      <c r="C2009" s="1">
        <f ca="1">IFERROR(__xludf.DUMMYFUNCTION("""COMPUTED_VALUE"""),257.79)</f>
        <v>257.79000000000002</v>
      </c>
      <c r="D2009" s="1">
        <f ca="1">IFERROR(__xludf.DUMMYFUNCTION("""COMPUTED_VALUE"""),244.48)</f>
        <v>244.48</v>
      </c>
      <c r="E2009" s="1">
        <f ca="1">IFERROR(__xludf.DUMMYFUNCTION("""COMPUTED_VALUE"""),244.88)</f>
        <v>244.88</v>
      </c>
      <c r="F2009" s="1">
        <f ca="1">IFERROR(__xludf.DUMMYFUNCTION("""COMPUTED_VALUE"""),127524083)</f>
        <v>127524083</v>
      </c>
      <c r="G2009" s="5">
        <f t="shared" ca="1" si="93"/>
        <v>8.6164652074486019E-3</v>
      </c>
      <c r="H2009" s="14">
        <f t="shared" si="94"/>
        <v>2023</v>
      </c>
      <c r="I2009" s="5">
        <f t="shared" ca="1" si="95"/>
        <v>-4.8640248640248573E-2</v>
      </c>
      <c r="J2009" s="16"/>
    </row>
    <row r="2010" spans="1:10" x14ac:dyDescent="0.2">
      <c r="A2010" s="3">
        <v>45194</v>
      </c>
      <c r="B2010" s="1">
        <f ca="1">IFERROR(__xludf.DUMMYFUNCTION("""COMPUTED_VALUE"""),243.38)</f>
        <v>243.38</v>
      </c>
      <c r="C2010" s="1">
        <f ca="1">IFERROR(__xludf.DUMMYFUNCTION("""COMPUTED_VALUE"""),247.1)</f>
        <v>247.1</v>
      </c>
      <c r="D2010" s="1">
        <f ca="1">IFERROR(__xludf.DUMMYFUNCTION("""COMPUTED_VALUE"""),238.31)</f>
        <v>238.31</v>
      </c>
      <c r="E2010" s="1">
        <f ca="1">IFERROR(__xludf.DUMMYFUNCTION("""COMPUTED_VALUE"""),246.99)</f>
        <v>246.99</v>
      </c>
      <c r="F2010" s="1">
        <f ca="1">IFERROR(__xludf.DUMMYFUNCTION("""COMPUTED_VALUE"""),104636557)</f>
        <v>104636557</v>
      </c>
      <c r="G2010" s="5">
        <f t="shared" ca="1" si="93"/>
        <v>-1.1619903639823492E-2</v>
      </c>
      <c r="H2010" s="14">
        <f t="shared" si="94"/>
        <v>2023</v>
      </c>
      <c r="I2010" s="5">
        <f t="shared" ca="1" si="95"/>
        <v>1.4832771797189637E-2</v>
      </c>
      <c r="J2010" s="16"/>
    </row>
    <row r="2011" spans="1:10" x14ac:dyDescent="0.2">
      <c r="A2011" s="3">
        <v>45195</v>
      </c>
      <c r="B2011" s="1">
        <f ca="1">IFERROR(__xludf.DUMMYFUNCTION("""COMPUTED_VALUE"""),242.98)</f>
        <v>242.98</v>
      </c>
      <c r="C2011" s="1">
        <f ca="1">IFERROR(__xludf.DUMMYFUNCTION("""COMPUTED_VALUE"""),249.55)</f>
        <v>249.55</v>
      </c>
      <c r="D2011" s="1">
        <f ca="1">IFERROR(__xludf.DUMMYFUNCTION("""COMPUTED_VALUE"""),241.66)</f>
        <v>241.66</v>
      </c>
      <c r="E2011" s="1">
        <f ca="1">IFERROR(__xludf.DUMMYFUNCTION("""COMPUTED_VALUE"""),244.12)</f>
        <v>244.12</v>
      </c>
      <c r="F2011" s="1">
        <f ca="1">IFERROR(__xludf.DUMMYFUNCTION("""COMPUTED_VALUE"""),101993631)</f>
        <v>101993631</v>
      </c>
      <c r="G2011" s="5">
        <f t="shared" ca="1" si="93"/>
        <v>-1.4828772734720648E-2</v>
      </c>
      <c r="H2011" s="14">
        <f t="shared" si="94"/>
        <v>2023</v>
      </c>
      <c r="I2011" s="5">
        <f t="shared" ca="1" si="95"/>
        <v>4.6917441764754908E-3</v>
      </c>
      <c r="J2011" s="16"/>
    </row>
    <row r="2012" spans="1:10" x14ac:dyDescent="0.2">
      <c r="A2012" s="3">
        <v>45196</v>
      </c>
      <c r="B2012" s="1">
        <f ca="1">IFERROR(__xludf.DUMMYFUNCTION("""COMPUTED_VALUE"""),244.26)</f>
        <v>244.26</v>
      </c>
      <c r="C2012" s="1">
        <f ca="1">IFERROR(__xludf.DUMMYFUNCTION("""COMPUTED_VALUE"""),245.33)</f>
        <v>245.33</v>
      </c>
      <c r="D2012" s="1">
        <f ca="1">IFERROR(__xludf.DUMMYFUNCTION("""COMPUTED_VALUE"""),234.58)</f>
        <v>234.58</v>
      </c>
      <c r="E2012" s="1">
        <f ca="1">IFERROR(__xludf.DUMMYFUNCTION("""COMPUTED_VALUE"""),240.5)</f>
        <v>240.5</v>
      </c>
      <c r="F2012" s="1">
        <f ca="1">IFERROR(__xludf.DUMMYFUNCTION("""COMPUTED_VALUE"""),136597184)</f>
        <v>136597184</v>
      </c>
      <c r="G2012" s="5">
        <f t="shared" ca="1" si="93"/>
        <v>2.4449064449064431E-2</v>
      </c>
      <c r="H2012" s="14">
        <f t="shared" si="94"/>
        <v>2023</v>
      </c>
      <c r="I2012" s="5">
        <f t="shared" ca="1" si="95"/>
        <v>-1.5393433226889344E-2</v>
      </c>
      <c r="J2012" s="16"/>
    </row>
    <row r="2013" spans="1:10" x14ac:dyDescent="0.2">
      <c r="A2013" s="3">
        <v>45197</v>
      </c>
      <c r="B2013" s="1">
        <f ca="1">IFERROR(__xludf.DUMMYFUNCTION("""COMPUTED_VALUE"""),240.02)</f>
        <v>240.02</v>
      </c>
      <c r="C2013" s="1">
        <f ca="1">IFERROR(__xludf.DUMMYFUNCTION("""COMPUTED_VALUE"""),247.55)</f>
        <v>247.55</v>
      </c>
      <c r="D2013" s="1">
        <f ca="1">IFERROR(__xludf.DUMMYFUNCTION("""COMPUTED_VALUE"""),238.65)</f>
        <v>238.65</v>
      </c>
      <c r="E2013" s="1">
        <f ca="1">IFERROR(__xludf.DUMMYFUNCTION("""COMPUTED_VALUE"""),246.38)</f>
        <v>246.38</v>
      </c>
      <c r="F2013" s="1">
        <f ca="1">IFERROR(__xludf.DUMMYFUNCTION("""COMPUTED_VALUE"""),117058870)</f>
        <v>117058870</v>
      </c>
      <c r="G2013" s="5">
        <f t="shared" ca="1" si="93"/>
        <v>1.5585680655897409E-2</v>
      </c>
      <c r="H2013" s="14">
        <f t="shared" si="94"/>
        <v>2023</v>
      </c>
      <c r="I2013" s="5">
        <f t="shared" ca="1" si="95"/>
        <v>2.6497791850679048E-2</v>
      </c>
      <c r="J2013" s="16"/>
    </row>
    <row r="2014" spans="1:10" x14ac:dyDescent="0.2">
      <c r="A2014" s="3">
        <v>45198</v>
      </c>
      <c r="B2014" s="1">
        <f ca="1">IFERROR(__xludf.DUMMYFUNCTION("""COMPUTED_VALUE"""),250)</f>
        <v>250</v>
      </c>
      <c r="C2014" s="1">
        <f ca="1">IFERROR(__xludf.DUMMYFUNCTION("""COMPUTED_VALUE"""),254.77)</f>
        <v>254.77</v>
      </c>
      <c r="D2014" s="1">
        <f ca="1">IFERROR(__xludf.DUMMYFUNCTION("""COMPUTED_VALUE"""),246.35)</f>
        <v>246.35</v>
      </c>
      <c r="E2014" s="1">
        <f ca="1">IFERROR(__xludf.DUMMYFUNCTION("""COMPUTED_VALUE"""),250.22)</f>
        <v>250.22</v>
      </c>
      <c r="F2014" s="1">
        <f ca="1">IFERROR(__xludf.DUMMYFUNCTION("""COMPUTED_VALUE"""),128522729)</f>
        <v>128522729</v>
      </c>
      <c r="G2014" s="5">
        <f t="shared" ca="1" si="93"/>
        <v>5.5151466709295639E-3</v>
      </c>
      <c r="H2014" s="14">
        <f t="shared" si="94"/>
        <v>2023</v>
      </c>
      <c r="I2014" s="5">
        <f t="shared" ca="1" si="95"/>
        <v>8.7999999999999548E-4</v>
      </c>
      <c r="J2014" s="16"/>
    </row>
    <row r="2015" spans="1:10" x14ac:dyDescent="0.2">
      <c r="A2015" s="3">
        <v>45201</v>
      </c>
      <c r="B2015" s="1">
        <f ca="1">IFERROR(__xludf.DUMMYFUNCTION("""COMPUTED_VALUE"""),244.81)</f>
        <v>244.81</v>
      </c>
      <c r="C2015" s="1">
        <f ca="1">IFERROR(__xludf.DUMMYFUNCTION("""COMPUTED_VALUE"""),254.28)</f>
        <v>254.28</v>
      </c>
      <c r="D2015" s="1">
        <f ca="1">IFERROR(__xludf.DUMMYFUNCTION("""COMPUTED_VALUE"""),242.62)</f>
        <v>242.62</v>
      </c>
      <c r="E2015" s="1">
        <f ca="1">IFERROR(__xludf.DUMMYFUNCTION("""COMPUTED_VALUE"""),251.6)</f>
        <v>251.6</v>
      </c>
      <c r="F2015" s="1">
        <f ca="1">IFERROR(__xludf.DUMMYFUNCTION("""COMPUTED_VALUE"""),123810402)</f>
        <v>123810402</v>
      </c>
      <c r="G2015" s="5">
        <f t="shared" ca="1" si="93"/>
        <v>-2.0151033386327476E-2</v>
      </c>
      <c r="H2015" s="14">
        <f t="shared" si="94"/>
        <v>2023</v>
      </c>
      <c r="I2015" s="5">
        <f t="shared" ca="1" si="95"/>
        <v>2.7735795106409018E-2</v>
      </c>
      <c r="J2015" s="16"/>
    </row>
    <row r="2016" spans="1:10" x14ac:dyDescent="0.2">
      <c r="A2016" s="3">
        <v>45202</v>
      </c>
      <c r="B2016" s="1">
        <f ca="1">IFERROR(__xludf.DUMMYFUNCTION("""COMPUTED_VALUE"""),248.61)</f>
        <v>248.61</v>
      </c>
      <c r="C2016" s="1">
        <f ca="1">IFERROR(__xludf.DUMMYFUNCTION("""COMPUTED_VALUE"""),250.02)</f>
        <v>250.02</v>
      </c>
      <c r="D2016" s="1">
        <f ca="1">IFERROR(__xludf.DUMMYFUNCTION("""COMPUTED_VALUE"""),244.45)</f>
        <v>244.45</v>
      </c>
      <c r="E2016" s="1">
        <f ca="1">IFERROR(__xludf.DUMMYFUNCTION("""COMPUTED_VALUE"""),246.53)</f>
        <v>246.53</v>
      </c>
      <c r="F2016" s="1">
        <f ca="1">IFERROR(__xludf.DUMMYFUNCTION("""COMPUTED_VALUE"""),101985305)</f>
        <v>101985305</v>
      </c>
      <c r="G2016" s="5">
        <f t="shared" ca="1" si="93"/>
        <v>5.9343690423072339E-2</v>
      </c>
      <c r="H2016" s="14">
        <f t="shared" si="94"/>
        <v>2023</v>
      </c>
      <c r="I2016" s="5">
        <f t="shared" ca="1" si="95"/>
        <v>-8.3665178391859225E-3</v>
      </c>
      <c r="J2016" s="16"/>
    </row>
    <row r="2017" spans="1:10" x14ac:dyDescent="0.2">
      <c r="A2017" s="3">
        <v>45203</v>
      </c>
      <c r="B2017" s="1">
        <f ca="1">IFERROR(__xludf.DUMMYFUNCTION("""COMPUTED_VALUE"""),248.14)</f>
        <v>248.14</v>
      </c>
      <c r="C2017" s="1">
        <f ca="1">IFERROR(__xludf.DUMMYFUNCTION("""COMPUTED_VALUE"""),261.86)</f>
        <v>261.86</v>
      </c>
      <c r="D2017" s="1">
        <f ca="1">IFERROR(__xludf.DUMMYFUNCTION("""COMPUTED_VALUE"""),247.6)</f>
        <v>247.6</v>
      </c>
      <c r="E2017" s="1">
        <f ca="1">IFERROR(__xludf.DUMMYFUNCTION("""COMPUTED_VALUE"""),261.16)</f>
        <v>261.16000000000003</v>
      </c>
      <c r="F2017" s="1">
        <f ca="1">IFERROR(__xludf.DUMMYFUNCTION("""COMPUTED_VALUE"""),129721567)</f>
        <v>129721567</v>
      </c>
      <c r="G2017" s="5">
        <f t="shared" ca="1" si="93"/>
        <v>-4.2502680349211733E-3</v>
      </c>
      <c r="H2017" s="14">
        <f t="shared" si="94"/>
        <v>2023</v>
      </c>
      <c r="I2017" s="5">
        <f t="shared" ca="1" si="95"/>
        <v>5.2470379624405733E-2</v>
      </c>
      <c r="J2017" s="16"/>
    </row>
    <row r="2018" spans="1:10" x14ac:dyDescent="0.2">
      <c r="A2018" s="3">
        <v>45204</v>
      </c>
      <c r="B2018" s="1">
        <f ca="1">IFERROR(__xludf.DUMMYFUNCTION("""COMPUTED_VALUE"""),260)</f>
        <v>260</v>
      </c>
      <c r="C2018" s="1">
        <f ca="1">IFERROR(__xludf.DUMMYFUNCTION("""COMPUTED_VALUE"""),263.6)</f>
        <v>263.60000000000002</v>
      </c>
      <c r="D2018" s="1">
        <f ca="1">IFERROR(__xludf.DUMMYFUNCTION("""COMPUTED_VALUE"""),256.25)</f>
        <v>256.25</v>
      </c>
      <c r="E2018" s="1">
        <f ca="1">IFERROR(__xludf.DUMMYFUNCTION("""COMPUTED_VALUE"""),260.05)</f>
        <v>260.05</v>
      </c>
      <c r="F2018" s="1">
        <f ca="1">IFERROR(__xludf.DUMMYFUNCTION("""COMPUTED_VALUE"""),119159214)</f>
        <v>119159214</v>
      </c>
      <c r="G2018" s="5">
        <f t="shared" ca="1" si="93"/>
        <v>1.8457988848296918E-3</v>
      </c>
      <c r="H2018" s="14">
        <f t="shared" si="94"/>
        <v>2023</v>
      </c>
      <c r="I2018" s="5">
        <f t="shared" ca="1" si="95"/>
        <v>1.9230769230773603E-4</v>
      </c>
      <c r="J2018" s="16"/>
    </row>
    <row r="2019" spans="1:10" x14ac:dyDescent="0.2">
      <c r="A2019" s="3">
        <v>45205</v>
      </c>
      <c r="B2019" s="1">
        <f ca="1">IFERROR(__xludf.DUMMYFUNCTION("""COMPUTED_VALUE"""),253.98)</f>
        <v>253.98</v>
      </c>
      <c r="C2019" s="1">
        <f ca="1">IFERROR(__xludf.DUMMYFUNCTION("""COMPUTED_VALUE"""),261.65)</f>
        <v>261.64999999999998</v>
      </c>
      <c r="D2019" s="1">
        <f ca="1">IFERROR(__xludf.DUMMYFUNCTION("""COMPUTED_VALUE"""),250.65)</f>
        <v>250.65</v>
      </c>
      <c r="E2019" s="1">
        <f ca="1">IFERROR(__xludf.DUMMYFUNCTION("""COMPUTED_VALUE"""),260.53)</f>
        <v>260.52999999999997</v>
      </c>
      <c r="F2019" s="1">
        <f ca="1">IFERROR(__xludf.DUMMYFUNCTION("""COMPUTED_VALUE"""),118121812)</f>
        <v>118121812</v>
      </c>
      <c r="G2019" s="5">
        <f t="shared" ca="1" si="93"/>
        <v>-3.3009634207191376E-3</v>
      </c>
      <c r="H2019" s="14">
        <f t="shared" si="94"/>
        <v>2023</v>
      </c>
      <c r="I2019" s="5">
        <f t="shared" ca="1" si="95"/>
        <v>2.5789432238758892E-2</v>
      </c>
      <c r="J2019" s="16"/>
    </row>
    <row r="2020" spans="1:10" x14ac:dyDescent="0.2">
      <c r="A2020" s="3">
        <v>45208</v>
      </c>
      <c r="B2020" s="1">
        <f ca="1">IFERROR(__xludf.DUMMYFUNCTION("""COMPUTED_VALUE"""),255.31)</f>
        <v>255.31</v>
      </c>
      <c r="C2020" s="1">
        <f ca="1">IFERROR(__xludf.DUMMYFUNCTION("""COMPUTED_VALUE"""),261.36)</f>
        <v>261.36</v>
      </c>
      <c r="D2020" s="1">
        <f ca="1">IFERROR(__xludf.DUMMYFUNCTION("""COMPUTED_VALUE"""),252.05)</f>
        <v>252.05</v>
      </c>
      <c r="E2020" s="1">
        <f ca="1">IFERROR(__xludf.DUMMYFUNCTION("""COMPUTED_VALUE"""),259.67)</f>
        <v>259.67</v>
      </c>
      <c r="F2020" s="1">
        <f ca="1">IFERROR(__xludf.DUMMYFUNCTION("""COMPUTED_VALUE"""),101377947)</f>
        <v>101377947</v>
      </c>
      <c r="G2020" s="5">
        <f t="shared" ca="1" si="93"/>
        <v>1.5211614741787609E-2</v>
      </c>
      <c r="H2020" s="14">
        <f t="shared" si="94"/>
        <v>2023</v>
      </c>
      <c r="I2020" s="5">
        <f t="shared" ca="1" si="95"/>
        <v>1.7077278602483308E-2</v>
      </c>
      <c r="J2020" s="16"/>
    </row>
    <row r="2021" spans="1:10" x14ac:dyDescent="0.2">
      <c r="A2021" s="3">
        <v>45209</v>
      </c>
      <c r="B2021" s="1">
        <f ca="1">IFERROR(__xludf.DUMMYFUNCTION("""COMPUTED_VALUE"""),257.75)</f>
        <v>257.75</v>
      </c>
      <c r="C2021" s="1">
        <f ca="1">IFERROR(__xludf.DUMMYFUNCTION("""COMPUTED_VALUE"""),268.94)</f>
        <v>268.94</v>
      </c>
      <c r="D2021" s="1">
        <f ca="1">IFERROR(__xludf.DUMMYFUNCTION("""COMPUTED_VALUE"""),257.65)</f>
        <v>257.64999999999998</v>
      </c>
      <c r="E2021" s="1">
        <f ca="1">IFERROR(__xludf.DUMMYFUNCTION("""COMPUTED_VALUE"""),263.62)</f>
        <v>263.62</v>
      </c>
      <c r="F2021" s="1">
        <f ca="1">IFERROR(__xludf.DUMMYFUNCTION("""COMPUTED_VALUE"""),122656030)</f>
        <v>122656030</v>
      </c>
      <c r="G2021" s="5">
        <f t="shared" ca="1" si="93"/>
        <v>-2.3898035050451236E-3</v>
      </c>
      <c r="H2021" s="14">
        <f t="shared" si="94"/>
        <v>2023</v>
      </c>
      <c r="I2021" s="5">
        <f t="shared" ca="1" si="95"/>
        <v>2.2774005819592647E-2</v>
      </c>
      <c r="J2021" s="16"/>
    </row>
    <row r="2022" spans="1:10" x14ac:dyDescent="0.2">
      <c r="A2022" s="3">
        <v>45210</v>
      </c>
      <c r="B2022" s="1">
        <f ca="1">IFERROR(__xludf.DUMMYFUNCTION("""COMPUTED_VALUE"""),266.2)</f>
        <v>266.2</v>
      </c>
      <c r="C2022" s="1">
        <f ca="1">IFERROR(__xludf.DUMMYFUNCTION("""COMPUTED_VALUE"""),268.6)</f>
        <v>268.60000000000002</v>
      </c>
      <c r="D2022" s="1">
        <f ca="1">IFERROR(__xludf.DUMMYFUNCTION("""COMPUTED_VALUE"""),260.9)</f>
        <v>260.89999999999998</v>
      </c>
      <c r="E2022" s="1">
        <f ca="1">IFERROR(__xludf.DUMMYFUNCTION("""COMPUTED_VALUE"""),262.99)</f>
        <v>262.99</v>
      </c>
      <c r="F2022" s="1">
        <f ca="1">IFERROR(__xludf.DUMMYFUNCTION("""COMPUTED_VALUE"""),103706266)</f>
        <v>103706266</v>
      </c>
      <c r="G2022" s="5">
        <f t="shared" ca="1" si="93"/>
        <v>-1.5665994904749247E-2</v>
      </c>
      <c r="H2022" s="14">
        <f t="shared" si="94"/>
        <v>2023</v>
      </c>
      <c r="I2022" s="5">
        <f t="shared" ca="1" si="95"/>
        <v>-1.2058602554470247E-2</v>
      </c>
      <c r="J2022" s="16"/>
    </row>
    <row r="2023" spans="1:10" x14ac:dyDescent="0.2">
      <c r="A2023" s="3">
        <v>45211</v>
      </c>
      <c r="B2023" s="1">
        <f ca="1">IFERROR(__xludf.DUMMYFUNCTION("""COMPUTED_VALUE"""),262.92)</f>
        <v>262.92</v>
      </c>
      <c r="C2023" s="1">
        <f ca="1">IFERROR(__xludf.DUMMYFUNCTION("""COMPUTED_VALUE"""),265.41)</f>
        <v>265.41000000000003</v>
      </c>
      <c r="D2023" s="1">
        <f ca="1">IFERROR(__xludf.DUMMYFUNCTION("""COMPUTED_VALUE"""),256.63)</f>
        <v>256.63</v>
      </c>
      <c r="E2023" s="1">
        <f ca="1">IFERROR(__xludf.DUMMYFUNCTION("""COMPUTED_VALUE"""),258.87)</f>
        <v>258.87</v>
      </c>
      <c r="F2023" s="1">
        <f ca="1">IFERROR(__xludf.DUMMYFUNCTION("""COMPUTED_VALUE"""),111508114)</f>
        <v>111508114</v>
      </c>
      <c r="G2023" s="5">
        <f t="shared" ca="1" si="93"/>
        <v>-2.9937806621083942E-2</v>
      </c>
      <c r="H2023" s="14">
        <f t="shared" si="94"/>
        <v>2023</v>
      </c>
      <c r="I2023" s="5">
        <f t="shared" ca="1" si="95"/>
        <v>-1.5403925148334136E-2</v>
      </c>
      <c r="J2023" s="16"/>
    </row>
    <row r="2024" spans="1:10" x14ac:dyDescent="0.2">
      <c r="A2024" s="3">
        <v>45212</v>
      </c>
      <c r="B2024" s="1">
        <f ca="1">IFERROR(__xludf.DUMMYFUNCTION("""COMPUTED_VALUE"""),258.9)</f>
        <v>258.89999999999998</v>
      </c>
      <c r="C2024" s="1">
        <f ca="1">IFERROR(__xludf.DUMMYFUNCTION("""COMPUTED_VALUE"""),259.6)</f>
        <v>259.60000000000002</v>
      </c>
      <c r="D2024" s="1">
        <f ca="1">IFERROR(__xludf.DUMMYFUNCTION("""COMPUTED_VALUE"""),250.22)</f>
        <v>250.22</v>
      </c>
      <c r="E2024" s="1">
        <f ca="1">IFERROR(__xludf.DUMMYFUNCTION("""COMPUTED_VALUE"""),251.12)</f>
        <v>251.12</v>
      </c>
      <c r="F2024" s="1">
        <f ca="1">IFERROR(__xludf.DUMMYFUNCTION("""COMPUTED_VALUE"""),102296786)</f>
        <v>102296786</v>
      </c>
      <c r="G2024" s="5">
        <f t="shared" ca="1" si="93"/>
        <v>1.1150047785919014E-2</v>
      </c>
      <c r="H2024" s="14">
        <f t="shared" si="94"/>
        <v>2023</v>
      </c>
      <c r="I2024" s="5">
        <f t="shared" ca="1" si="95"/>
        <v>-3.0050212437234349E-2</v>
      </c>
      <c r="J2024" s="16"/>
    </row>
    <row r="2025" spans="1:10" x14ac:dyDescent="0.2">
      <c r="A2025" s="3">
        <v>45215</v>
      </c>
      <c r="B2025" s="1">
        <f ca="1">IFERROR(__xludf.DUMMYFUNCTION("""COMPUTED_VALUE"""),250.05)</f>
        <v>250.05</v>
      </c>
      <c r="C2025" s="1">
        <f ca="1">IFERROR(__xludf.DUMMYFUNCTION("""COMPUTED_VALUE"""),255.4)</f>
        <v>255.4</v>
      </c>
      <c r="D2025" s="1">
        <f ca="1">IFERROR(__xludf.DUMMYFUNCTION("""COMPUTED_VALUE"""),248.48)</f>
        <v>248.48</v>
      </c>
      <c r="E2025" s="1">
        <f ca="1">IFERROR(__xludf.DUMMYFUNCTION("""COMPUTED_VALUE"""),253.92)</f>
        <v>253.92</v>
      </c>
      <c r="F2025" s="1">
        <f ca="1">IFERROR(__xludf.DUMMYFUNCTION("""COMPUTED_VALUE"""),88917176)</f>
        <v>88917176</v>
      </c>
      <c r="G2025" s="5">
        <f t="shared" ca="1" si="93"/>
        <v>3.6625708884688362E-3</v>
      </c>
      <c r="H2025" s="14">
        <f t="shared" si="94"/>
        <v>2023</v>
      </c>
      <c r="I2025" s="5">
        <f t="shared" ca="1" si="95"/>
        <v>1.5476904619076089E-2</v>
      </c>
      <c r="J2025" s="16"/>
    </row>
    <row r="2026" spans="1:10" x14ac:dyDescent="0.2">
      <c r="A2026" s="3">
        <v>45216</v>
      </c>
      <c r="B2026" s="1">
        <f ca="1">IFERROR(__xludf.DUMMYFUNCTION("""COMPUTED_VALUE"""),250.1)</f>
        <v>250.1</v>
      </c>
      <c r="C2026" s="1">
        <f ca="1">IFERROR(__xludf.DUMMYFUNCTION("""COMPUTED_VALUE"""),257.18)</f>
        <v>257.18</v>
      </c>
      <c r="D2026" s="1">
        <f ca="1">IFERROR(__xludf.DUMMYFUNCTION("""COMPUTED_VALUE"""),247.08)</f>
        <v>247.08</v>
      </c>
      <c r="E2026" s="1">
        <f ca="1">IFERROR(__xludf.DUMMYFUNCTION("""COMPUTED_VALUE"""),254.85)</f>
        <v>254.85</v>
      </c>
      <c r="F2026" s="1">
        <f ca="1">IFERROR(__xludf.DUMMYFUNCTION("""COMPUTED_VALUE"""),93562909)</f>
        <v>93562909</v>
      </c>
      <c r="G2026" s="5">
        <f t="shared" ca="1" si="93"/>
        <v>-4.7753580537571075E-2</v>
      </c>
      <c r="H2026" s="14">
        <f t="shared" si="94"/>
        <v>2023</v>
      </c>
      <c r="I2026" s="5">
        <f t="shared" ca="1" si="95"/>
        <v>1.8992403038784487E-2</v>
      </c>
      <c r="J2026" s="16"/>
    </row>
    <row r="2027" spans="1:10" x14ac:dyDescent="0.2">
      <c r="A2027" s="3">
        <v>45217</v>
      </c>
      <c r="B2027" s="1">
        <f ca="1">IFERROR(__xludf.DUMMYFUNCTION("""COMPUTED_VALUE"""),252.7)</f>
        <v>252.7</v>
      </c>
      <c r="C2027" s="1">
        <f ca="1">IFERROR(__xludf.DUMMYFUNCTION("""COMPUTED_VALUE"""),254.63)</f>
        <v>254.63</v>
      </c>
      <c r="D2027" s="1">
        <f ca="1">IFERROR(__xludf.DUMMYFUNCTION("""COMPUTED_VALUE"""),242.08)</f>
        <v>242.08</v>
      </c>
      <c r="E2027" s="1">
        <f ca="1">IFERROR(__xludf.DUMMYFUNCTION("""COMPUTED_VALUE"""),242.68)</f>
        <v>242.68</v>
      </c>
      <c r="F2027" s="1">
        <f ca="1">IFERROR(__xludf.DUMMYFUNCTION("""COMPUTED_VALUE"""),125147846)</f>
        <v>125147846</v>
      </c>
      <c r="G2027" s="5">
        <f t="shared" ca="1" si="93"/>
        <v>-9.3003131696060629E-2</v>
      </c>
      <c r="H2027" s="14">
        <f t="shared" si="94"/>
        <v>2023</v>
      </c>
      <c r="I2027" s="5">
        <f t="shared" ca="1" si="95"/>
        <v>-3.9651760981400802E-2</v>
      </c>
      <c r="J2027" s="16"/>
    </row>
    <row r="2028" spans="1:10" x14ac:dyDescent="0.2">
      <c r="A2028" s="3">
        <v>45218</v>
      </c>
      <c r="B2028" s="1">
        <f ca="1">IFERROR(__xludf.DUMMYFUNCTION("""COMPUTED_VALUE"""),225.95)</f>
        <v>225.95</v>
      </c>
      <c r="C2028" s="1">
        <f ca="1">IFERROR(__xludf.DUMMYFUNCTION("""COMPUTED_VALUE"""),230.61)</f>
        <v>230.61</v>
      </c>
      <c r="D2028" s="1">
        <f ca="1">IFERROR(__xludf.DUMMYFUNCTION("""COMPUTED_VALUE"""),216.78)</f>
        <v>216.78</v>
      </c>
      <c r="E2028" s="1">
        <f ca="1">IFERROR(__xludf.DUMMYFUNCTION("""COMPUTED_VALUE"""),220.11)</f>
        <v>220.11</v>
      </c>
      <c r="F2028" s="1">
        <f ca="1">IFERROR(__xludf.DUMMYFUNCTION("""COMPUTED_VALUE"""),170772713)</f>
        <v>170772713</v>
      </c>
      <c r="G2028" s="5">
        <f t="shared" ca="1" si="93"/>
        <v>-3.6890645586297781E-2</v>
      </c>
      <c r="H2028" s="14">
        <f t="shared" si="94"/>
        <v>2023</v>
      </c>
      <c r="I2028" s="5">
        <f t="shared" ca="1" si="95"/>
        <v>-2.5846426200486723E-2</v>
      </c>
      <c r="J2028" s="16"/>
    </row>
    <row r="2029" spans="1:10" x14ac:dyDescent="0.2">
      <c r="A2029" s="3">
        <v>45219</v>
      </c>
      <c r="B2029" s="1">
        <f ca="1">IFERROR(__xludf.DUMMYFUNCTION("""COMPUTED_VALUE"""),217.01)</f>
        <v>217.01</v>
      </c>
      <c r="C2029" s="1">
        <f ca="1">IFERROR(__xludf.DUMMYFUNCTION("""COMPUTED_VALUE"""),218.86)</f>
        <v>218.86</v>
      </c>
      <c r="D2029" s="1">
        <f ca="1">IFERROR(__xludf.DUMMYFUNCTION("""COMPUTED_VALUE"""),210.42)</f>
        <v>210.42</v>
      </c>
      <c r="E2029" s="1">
        <f ca="1">IFERROR(__xludf.DUMMYFUNCTION("""COMPUTED_VALUE"""),211.99)</f>
        <v>211.99</v>
      </c>
      <c r="F2029" s="1">
        <f ca="1">IFERROR(__xludf.DUMMYFUNCTION("""COMPUTED_VALUE"""),138010095)</f>
        <v>138010095</v>
      </c>
      <c r="G2029" s="5">
        <f t="shared" ca="1" si="93"/>
        <v>4.2454832775132512E-4</v>
      </c>
      <c r="H2029" s="14">
        <f t="shared" si="94"/>
        <v>2023</v>
      </c>
      <c r="I2029" s="5">
        <f t="shared" ca="1" si="95"/>
        <v>-2.3132574535735598E-2</v>
      </c>
      <c r="J2029" s="16"/>
    </row>
    <row r="2030" spans="1:10" x14ac:dyDescent="0.2">
      <c r="A2030" s="3">
        <v>45222</v>
      </c>
      <c r="B2030" s="1">
        <f ca="1">IFERROR(__xludf.DUMMYFUNCTION("""COMPUTED_VALUE"""),210)</f>
        <v>210</v>
      </c>
      <c r="C2030" s="1">
        <f ca="1">IFERROR(__xludf.DUMMYFUNCTION("""COMPUTED_VALUE"""),216.98)</f>
        <v>216.98</v>
      </c>
      <c r="D2030" s="1">
        <f ca="1">IFERROR(__xludf.DUMMYFUNCTION("""COMPUTED_VALUE"""),202.51)</f>
        <v>202.51</v>
      </c>
      <c r="E2030" s="1">
        <f ca="1">IFERROR(__xludf.DUMMYFUNCTION("""COMPUTED_VALUE"""),212.08)</f>
        <v>212.08</v>
      </c>
      <c r="F2030" s="1">
        <f ca="1">IFERROR(__xludf.DUMMYFUNCTION("""COMPUTED_VALUE"""),150683368)</f>
        <v>150683368</v>
      </c>
      <c r="G2030" s="5">
        <f t="shared" ca="1" si="93"/>
        <v>2.0935496039230467E-2</v>
      </c>
      <c r="H2030" s="14">
        <f t="shared" si="94"/>
        <v>2023</v>
      </c>
      <c r="I2030" s="5">
        <f t="shared" ca="1" si="95"/>
        <v>9.9047619047619648E-3</v>
      </c>
      <c r="J2030" s="16"/>
    </row>
    <row r="2031" spans="1:10" x14ac:dyDescent="0.2">
      <c r="A2031" s="3">
        <v>45223</v>
      </c>
      <c r="B2031" s="1">
        <f ca="1">IFERROR(__xludf.DUMMYFUNCTION("""COMPUTED_VALUE"""),216.5)</f>
        <v>216.5</v>
      </c>
      <c r="C2031" s="1">
        <f ca="1">IFERROR(__xludf.DUMMYFUNCTION("""COMPUTED_VALUE"""),222.05)</f>
        <v>222.05</v>
      </c>
      <c r="D2031" s="1">
        <f ca="1">IFERROR(__xludf.DUMMYFUNCTION("""COMPUTED_VALUE"""),214.11)</f>
        <v>214.11</v>
      </c>
      <c r="E2031" s="1">
        <f ca="1">IFERROR(__xludf.DUMMYFUNCTION("""COMPUTED_VALUE"""),216.52)</f>
        <v>216.52</v>
      </c>
      <c r="F2031" s="1">
        <f ca="1">IFERROR(__xludf.DUMMYFUNCTION("""COMPUTED_VALUE"""),118231113)</f>
        <v>118231113</v>
      </c>
      <c r="G2031" s="5">
        <f t="shared" ca="1" si="93"/>
        <v>-1.8935895067430365E-2</v>
      </c>
      <c r="H2031" s="14">
        <f t="shared" si="94"/>
        <v>2023</v>
      </c>
      <c r="I2031" s="5">
        <f t="shared" ca="1" si="95"/>
        <v>9.2378752886883292E-5</v>
      </c>
      <c r="J2031" s="16"/>
    </row>
    <row r="2032" spans="1:10" x14ac:dyDescent="0.2">
      <c r="A2032" s="3">
        <v>45224</v>
      </c>
      <c r="B2032" s="1">
        <f ca="1">IFERROR(__xludf.DUMMYFUNCTION("""COMPUTED_VALUE"""),215.88)</f>
        <v>215.88</v>
      </c>
      <c r="C2032" s="1">
        <f ca="1">IFERROR(__xludf.DUMMYFUNCTION("""COMPUTED_VALUE"""),220.1)</f>
        <v>220.1</v>
      </c>
      <c r="D2032" s="1">
        <f ca="1">IFERROR(__xludf.DUMMYFUNCTION("""COMPUTED_VALUE"""),212.2)</f>
        <v>212.2</v>
      </c>
      <c r="E2032" s="1">
        <f ca="1">IFERROR(__xludf.DUMMYFUNCTION("""COMPUTED_VALUE"""),212.42)</f>
        <v>212.42</v>
      </c>
      <c r="F2032" s="1">
        <f ca="1">IFERROR(__xludf.DUMMYFUNCTION("""COMPUTED_VALUE"""),107065087)</f>
        <v>107065087</v>
      </c>
      <c r="G2032" s="5">
        <f t="shared" ca="1" si="93"/>
        <v>-3.1352979945391192E-2</v>
      </c>
      <c r="H2032" s="14">
        <f t="shared" si="94"/>
        <v>2023</v>
      </c>
      <c r="I2032" s="5">
        <f t="shared" ca="1" si="95"/>
        <v>-1.6027422642208671E-2</v>
      </c>
      <c r="J2032" s="16"/>
    </row>
    <row r="2033" spans="1:10" x14ac:dyDescent="0.2">
      <c r="A2033" s="3">
        <v>45225</v>
      </c>
      <c r="B2033" s="1">
        <f ca="1">IFERROR(__xludf.DUMMYFUNCTION("""COMPUTED_VALUE"""),211.32)</f>
        <v>211.32</v>
      </c>
      <c r="C2033" s="1">
        <f ca="1">IFERROR(__xludf.DUMMYFUNCTION("""COMPUTED_VALUE"""),214.8)</f>
        <v>214.8</v>
      </c>
      <c r="D2033" s="1">
        <f ca="1">IFERROR(__xludf.DUMMYFUNCTION("""COMPUTED_VALUE"""),204.88)</f>
        <v>204.88</v>
      </c>
      <c r="E2033" s="1">
        <f ca="1">IFERROR(__xludf.DUMMYFUNCTION("""COMPUTED_VALUE"""),205.76)</f>
        <v>205.76</v>
      </c>
      <c r="F2033" s="1">
        <f ca="1">IFERROR(__xludf.DUMMYFUNCTION("""COMPUTED_VALUE"""),115112635)</f>
        <v>115112635</v>
      </c>
      <c r="G2033" s="5">
        <f t="shared" ca="1" si="93"/>
        <v>7.484447900466663E-3</v>
      </c>
      <c r="H2033" s="14">
        <f t="shared" si="94"/>
        <v>2023</v>
      </c>
      <c r="I2033" s="5">
        <f t="shared" ca="1" si="95"/>
        <v>-2.631080825288663E-2</v>
      </c>
      <c r="J2033" s="16"/>
    </row>
    <row r="2034" spans="1:10" x14ac:dyDescent="0.2">
      <c r="A2034" s="3">
        <v>45226</v>
      </c>
      <c r="B2034" s="1">
        <f ca="1">IFERROR(__xludf.DUMMYFUNCTION("""COMPUTED_VALUE"""),210.6)</f>
        <v>210.6</v>
      </c>
      <c r="C2034" s="1">
        <f ca="1">IFERROR(__xludf.DUMMYFUNCTION("""COMPUTED_VALUE"""),212.41)</f>
        <v>212.41</v>
      </c>
      <c r="D2034" s="1">
        <f ca="1">IFERROR(__xludf.DUMMYFUNCTION("""COMPUTED_VALUE"""),205.77)</f>
        <v>205.77</v>
      </c>
      <c r="E2034" s="1">
        <f ca="1">IFERROR(__xludf.DUMMYFUNCTION("""COMPUTED_VALUE"""),207.3)</f>
        <v>207.3</v>
      </c>
      <c r="F2034" s="1">
        <f ca="1">IFERROR(__xludf.DUMMYFUNCTION("""COMPUTED_VALUE"""),94881173)</f>
        <v>94881173</v>
      </c>
      <c r="G2034" s="5">
        <f t="shared" ca="1" si="93"/>
        <v>-4.7949831162566313E-2</v>
      </c>
      <c r="H2034" s="14">
        <f t="shared" si="94"/>
        <v>2023</v>
      </c>
      <c r="I2034" s="5">
        <f t="shared" ca="1" si="95"/>
        <v>-1.5669515669515587E-2</v>
      </c>
      <c r="J2034" s="16"/>
    </row>
    <row r="2035" spans="1:10" x14ac:dyDescent="0.2">
      <c r="A2035" s="3">
        <v>45229</v>
      </c>
      <c r="B2035" s="1">
        <f ca="1">IFERROR(__xludf.DUMMYFUNCTION("""COMPUTED_VALUE"""),209.28)</f>
        <v>209.28</v>
      </c>
      <c r="C2035" s="1">
        <f ca="1">IFERROR(__xludf.DUMMYFUNCTION("""COMPUTED_VALUE"""),210.88)</f>
        <v>210.88</v>
      </c>
      <c r="D2035" s="1">
        <f ca="1">IFERROR(__xludf.DUMMYFUNCTION("""COMPUTED_VALUE"""),194.67)</f>
        <v>194.67</v>
      </c>
      <c r="E2035" s="1">
        <f ca="1">IFERROR(__xludf.DUMMYFUNCTION("""COMPUTED_VALUE"""),197.36)</f>
        <v>197.36</v>
      </c>
      <c r="F2035" s="1">
        <f ca="1">IFERROR(__xludf.DUMMYFUNCTION("""COMPUTED_VALUE"""),136448167)</f>
        <v>136448167</v>
      </c>
      <c r="G2035" s="5">
        <f t="shared" ca="1" si="93"/>
        <v>1.7632752330766058E-2</v>
      </c>
      <c r="H2035" s="14">
        <f t="shared" si="94"/>
        <v>2023</v>
      </c>
      <c r="I2035" s="5">
        <f t="shared" ca="1" si="95"/>
        <v>-5.6957186544342446E-2</v>
      </c>
      <c r="J2035" s="16"/>
    </row>
    <row r="2036" spans="1:10" x14ac:dyDescent="0.2">
      <c r="A2036" s="3">
        <v>45230</v>
      </c>
      <c r="B2036" s="1">
        <f ca="1">IFERROR(__xludf.DUMMYFUNCTION("""COMPUTED_VALUE"""),196.12)</f>
        <v>196.12</v>
      </c>
      <c r="C2036" s="1">
        <f ca="1">IFERROR(__xludf.DUMMYFUNCTION("""COMPUTED_VALUE"""),202.8)</f>
        <v>202.8</v>
      </c>
      <c r="D2036" s="1">
        <f ca="1">IFERROR(__xludf.DUMMYFUNCTION("""COMPUTED_VALUE"""),194.07)</f>
        <v>194.07</v>
      </c>
      <c r="E2036" s="1">
        <f ca="1">IFERROR(__xludf.DUMMYFUNCTION("""COMPUTED_VALUE"""),200.84)</f>
        <v>200.84</v>
      </c>
      <c r="F2036" s="1">
        <f ca="1">IFERROR(__xludf.DUMMYFUNCTION("""COMPUTED_VALUE"""),118068273)</f>
        <v>118068273</v>
      </c>
      <c r="G2036" s="5">
        <f t="shared" ca="1" si="93"/>
        <v>2.3999203345946987E-2</v>
      </c>
      <c r="H2036" s="14">
        <f t="shared" si="94"/>
        <v>2023</v>
      </c>
      <c r="I2036" s="5">
        <f t="shared" ca="1" si="95"/>
        <v>2.406689781766265E-2</v>
      </c>
      <c r="J2036" s="16"/>
    </row>
    <row r="2037" spans="1:10" x14ac:dyDescent="0.2">
      <c r="A2037" s="3">
        <v>45231</v>
      </c>
      <c r="B2037" s="1">
        <f ca="1">IFERROR(__xludf.DUMMYFUNCTION("""COMPUTED_VALUE"""),204.04)</f>
        <v>204.04</v>
      </c>
      <c r="C2037" s="1">
        <f ca="1">IFERROR(__xludf.DUMMYFUNCTION("""COMPUTED_VALUE"""),205.99)</f>
        <v>205.99</v>
      </c>
      <c r="D2037" s="1">
        <f ca="1">IFERROR(__xludf.DUMMYFUNCTION("""COMPUTED_VALUE"""),197.85)</f>
        <v>197.85</v>
      </c>
      <c r="E2037" s="1">
        <f ca="1">IFERROR(__xludf.DUMMYFUNCTION("""COMPUTED_VALUE"""),205.66)</f>
        <v>205.66</v>
      </c>
      <c r="F2037" s="1">
        <f ca="1">IFERROR(__xludf.DUMMYFUNCTION("""COMPUTED_VALUE"""),121661656)</f>
        <v>121661656</v>
      </c>
      <c r="G2037" s="5">
        <f t="shared" ca="1" si="93"/>
        <v>6.2481766021589003E-2</v>
      </c>
      <c r="H2037" s="14">
        <f t="shared" si="94"/>
        <v>2023</v>
      </c>
      <c r="I2037" s="5">
        <f t="shared" ca="1" si="95"/>
        <v>7.9396196824152356E-3</v>
      </c>
      <c r="J2037" s="16"/>
    </row>
    <row r="2038" spans="1:10" x14ac:dyDescent="0.2">
      <c r="A2038" s="3">
        <v>45232</v>
      </c>
      <c r="B2038" s="1">
        <f ca="1">IFERROR(__xludf.DUMMYFUNCTION("""COMPUTED_VALUE"""),212.97)</f>
        <v>212.97</v>
      </c>
      <c r="C2038" s="1">
        <f ca="1">IFERROR(__xludf.DUMMYFUNCTION("""COMPUTED_VALUE"""),219.2)</f>
        <v>219.2</v>
      </c>
      <c r="D2038" s="1">
        <f ca="1">IFERROR(__xludf.DUMMYFUNCTION("""COMPUTED_VALUE"""),211.45)</f>
        <v>211.45</v>
      </c>
      <c r="E2038" s="1">
        <f ca="1">IFERROR(__xludf.DUMMYFUNCTION("""COMPUTED_VALUE"""),218.51)</f>
        <v>218.51</v>
      </c>
      <c r="F2038" s="1">
        <f ca="1">IFERROR(__xludf.DUMMYFUNCTION("""COMPUTED_VALUE"""),125987621)</f>
        <v>125987621</v>
      </c>
      <c r="G2038" s="5">
        <f t="shared" ca="1" si="93"/>
        <v>6.6358519060913329E-3</v>
      </c>
      <c r="H2038" s="14">
        <f t="shared" si="94"/>
        <v>2023</v>
      </c>
      <c r="I2038" s="5">
        <f t="shared" ca="1" si="95"/>
        <v>2.6013053481711002E-2</v>
      </c>
      <c r="J2038" s="16"/>
    </row>
    <row r="2039" spans="1:10" x14ac:dyDescent="0.2">
      <c r="A2039" s="3">
        <v>45233</v>
      </c>
      <c r="B2039" s="1">
        <f ca="1">IFERROR(__xludf.DUMMYFUNCTION("""COMPUTED_VALUE"""),221.15)</f>
        <v>221.15</v>
      </c>
      <c r="C2039" s="1">
        <f ca="1">IFERROR(__xludf.DUMMYFUNCTION("""COMPUTED_VALUE"""),226.37)</f>
        <v>226.37</v>
      </c>
      <c r="D2039" s="1">
        <f ca="1">IFERROR(__xludf.DUMMYFUNCTION("""COMPUTED_VALUE"""),218.4)</f>
        <v>218.4</v>
      </c>
      <c r="E2039" s="1">
        <f ca="1">IFERROR(__xludf.DUMMYFUNCTION("""COMPUTED_VALUE"""),219.96)</f>
        <v>219.96</v>
      </c>
      <c r="F2039" s="1">
        <f ca="1">IFERROR(__xludf.DUMMYFUNCTION("""COMPUTED_VALUE"""),119534790)</f>
        <v>119534790</v>
      </c>
      <c r="G2039" s="5">
        <f t="shared" ca="1" si="93"/>
        <v>-3.1369339879978074E-3</v>
      </c>
      <c r="H2039" s="14">
        <f t="shared" si="94"/>
        <v>2023</v>
      </c>
      <c r="I2039" s="5">
        <f t="shared" ca="1" si="95"/>
        <v>-5.3809631471851581E-3</v>
      </c>
      <c r="J2039" s="16"/>
    </row>
    <row r="2040" spans="1:10" x14ac:dyDescent="0.2">
      <c r="A2040" s="3">
        <v>45236</v>
      </c>
      <c r="B2040" s="1">
        <f ca="1">IFERROR(__xludf.DUMMYFUNCTION("""COMPUTED_VALUE"""),223.98)</f>
        <v>223.98</v>
      </c>
      <c r="C2040" s="1">
        <f ca="1">IFERROR(__xludf.DUMMYFUNCTION("""COMPUTED_VALUE"""),226.32)</f>
        <v>226.32</v>
      </c>
      <c r="D2040" s="1">
        <f ca="1">IFERROR(__xludf.DUMMYFUNCTION("""COMPUTED_VALUE"""),215)</f>
        <v>215</v>
      </c>
      <c r="E2040" s="1">
        <f ca="1">IFERROR(__xludf.DUMMYFUNCTION("""COMPUTED_VALUE"""),219.27)</f>
        <v>219.27</v>
      </c>
      <c r="F2040" s="1">
        <f ca="1">IFERROR(__xludf.DUMMYFUNCTION("""COMPUTED_VALUE"""),117335820)</f>
        <v>117335820</v>
      </c>
      <c r="G2040" s="5">
        <f t="shared" ca="1" si="93"/>
        <v>1.3271309344643574E-2</v>
      </c>
      <c r="H2040" s="14">
        <f t="shared" si="94"/>
        <v>2023</v>
      </c>
      <c r="I2040" s="5">
        <f t="shared" ca="1" si="95"/>
        <v>-2.1028663273506474E-2</v>
      </c>
      <c r="J2040" s="16"/>
    </row>
    <row r="2041" spans="1:10" x14ac:dyDescent="0.2">
      <c r="A2041" s="3">
        <v>45237</v>
      </c>
      <c r="B2041" s="1">
        <f ca="1">IFERROR(__xludf.DUMMYFUNCTION("""COMPUTED_VALUE"""),219.98)</f>
        <v>219.98</v>
      </c>
      <c r="C2041" s="1">
        <f ca="1">IFERROR(__xludf.DUMMYFUNCTION("""COMPUTED_VALUE"""),223.12)</f>
        <v>223.12</v>
      </c>
      <c r="D2041" s="1">
        <f ca="1">IFERROR(__xludf.DUMMYFUNCTION("""COMPUTED_VALUE"""),215.72)</f>
        <v>215.72</v>
      </c>
      <c r="E2041" s="1">
        <f ca="1">IFERROR(__xludf.DUMMYFUNCTION("""COMPUTED_VALUE"""),222.18)</f>
        <v>222.18</v>
      </c>
      <c r="F2041" s="1">
        <f ca="1">IFERROR(__xludf.DUMMYFUNCTION("""COMPUTED_VALUE"""),116900130)</f>
        <v>116900130</v>
      </c>
      <c r="G2041" s="5">
        <f t="shared" ca="1" si="93"/>
        <v>-3.1505986137363027E-4</v>
      </c>
      <c r="H2041" s="14">
        <f t="shared" si="94"/>
        <v>2023</v>
      </c>
      <c r="I2041" s="5">
        <f t="shared" ca="1" si="95"/>
        <v>1.0000909173561312E-2</v>
      </c>
      <c r="J2041" s="16"/>
    </row>
    <row r="2042" spans="1:10" x14ac:dyDescent="0.2">
      <c r="A2042" s="3">
        <v>45238</v>
      </c>
      <c r="B2042" s="1">
        <f ca="1">IFERROR(__xludf.DUMMYFUNCTION("""COMPUTED_VALUE"""),223.15)</f>
        <v>223.15</v>
      </c>
      <c r="C2042" s="1">
        <f ca="1">IFERROR(__xludf.DUMMYFUNCTION("""COMPUTED_VALUE"""),224.15)</f>
        <v>224.15</v>
      </c>
      <c r="D2042" s="1">
        <f ca="1">IFERROR(__xludf.DUMMYFUNCTION("""COMPUTED_VALUE"""),217.64)</f>
        <v>217.64</v>
      </c>
      <c r="E2042" s="1">
        <f ca="1">IFERROR(__xludf.DUMMYFUNCTION("""COMPUTED_VALUE"""),222.11)</f>
        <v>222.11</v>
      </c>
      <c r="F2042" s="1">
        <f ca="1">IFERROR(__xludf.DUMMYFUNCTION("""COMPUTED_VALUE"""),106584841)</f>
        <v>106584841</v>
      </c>
      <c r="G2042" s="5">
        <f t="shared" ca="1" si="93"/>
        <v>-5.4612579352573153E-2</v>
      </c>
      <c r="H2042" s="14">
        <f t="shared" si="94"/>
        <v>2023</v>
      </c>
      <c r="I2042" s="5">
        <f t="shared" ca="1" si="95"/>
        <v>-4.6605422361639792E-3</v>
      </c>
      <c r="J2042" s="16"/>
    </row>
    <row r="2043" spans="1:10" x14ac:dyDescent="0.2">
      <c r="A2043" s="3">
        <v>45239</v>
      </c>
      <c r="B2043" s="1">
        <f ca="1">IFERROR(__xludf.DUMMYFUNCTION("""COMPUTED_VALUE"""),219.75)</f>
        <v>219.75</v>
      </c>
      <c r="C2043" s="1">
        <f ca="1">IFERROR(__xludf.DUMMYFUNCTION("""COMPUTED_VALUE"""),220.8)</f>
        <v>220.8</v>
      </c>
      <c r="D2043" s="1">
        <f ca="1">IFERROR(__xludf.DUMMYFUNCTION("""COMPUTED_VALUE"""),206.68)</f>
        <v>206.68</v>
      </c>
      <c r="E2043" s="1">
        <f ca="1">IFERROR(__xludf.DUMMYFUNCTION("""COMPUTED_VALUE"""),209.98)</f>
        <v>209.98</v>
      </c>
      <c r="F2043" s="1">
        <f ca="1">IFERROR(__xludf.DUMMYFUNCTION("""COMPUTED_VALUE"""),142110454)</f>
        <v>142110454</v>
      </c>
      <c r="G2043" s="5">
        <f t="shared" ca="1" si="93"/>
        <v>2.2240213353652807E-2</v>
      </c>
      <c r="H2043" s="14">
        <f t="shared" si="94"/>
        <v>2023</v>
      </c>
      <c r="I2043" s="5">
        <f t="shared" ca="1" si="95"/>
        <v>-4.4459613196814608E-2</v>
      </c>
      <c r="J2043" s="16"/>
    </row>
    <row r="2044" spans="1:10" x14ac:dyDescent="0.2">
      <c r="A2044" s="3">
        <v>45240</v>
      </c>
      <c r="B2044" s="1">
        <f ca="1">IFERROR(__xludf.DUMMYFUNCTION("""COMPUTED_VALUE"""),210.03)</f>
        <v>210.03</v>
      </c>
      <c r="C2044" s="1">
        <f ca="1">IFERROR(__xludf.DUMMYFUNCTION("""COMPUTED_VALUE"""),215.38)</f>
        <v>215.38</v>
      </c>
      <c r="D2044" s="1">
        <f ca="1">IFERROR(__xludf.DUMMYFUNCTION("""COMPUTED_VALUE"""),205.69)</f>
        <v>205.69</v>
      </c>
      <c r="E2044" s="1">
        <f ca="1">IFERROR(__xludf.DUMMYFUNCTION("""COMPUTED_VALUE"""),214.65)</f>
        <v>214.65</v>
      </c>
      <c r="F2044" s="1">
        <f ca="1">IFERROR(__xludf.DUMMYFUNCTION("""COMPUTED_VALUE"""),131310128)</f>
        <v>131310128</v>
      </c>
      <c r="G2044" s="5">
        <f t="shared" ca="1" si="93"/>
        <v>4.22082459818309E-2</v>
      </c>
      <c r="H2044" s="14">
        <f t="shared" si="94"/>
        <v>2023</v>
      </c>
      <c r="I2044" s="5">
        <f t="shared" ca="1" si="95"/>
        <v>2.1996857591772626E-2</v>
      </c>
      <c r="J2044" s="16"/>
    </row>
    <row r="2045" spans="1:10" x14ac:dyDescent="0.2">
      <c r="A2045" s="3">
        <v>45243</v>
      </c>
      <c r="B2045" s="1">
        <f ca="1">IFERROR(__xludf.DUMMYFUNCTION("""COMPUTED_VALUE"""),215.6)</f>
        <v>215.6</v>
      </c>
      <c r="C2045" s="1">
        <f ca="1">IFERROR(__xludf.DUMMYFUNCTION("""COMPUTED_VALUE"""),225.4)</f>
        <v>225.4</v>
      </c>
      <c r="D2045" s="1">
        <f ca="1">IFERROR(__xludf.DUMMYFUNCTION("""COMPUTED_VALUE"""),211.61)</f>
        <v>211.61</v>
      </c>
      <c r="E2045" s="1">
        <f ca="1">IFERROR(__xludf.DUMMYFUNCTION("""COMPUTED_VALUE"""),223.71)</f>
        <v>223.71</v>
      </c>
      <c r="F2045" s="1">
        <f ca="1">IFERROR(__xludf.DUMMYFUNCTION("""COMPUTED_VALUE"""),140447569)</f>
        <v>140447569</v>
      </c>
      <c r="G2045" s="5">
        <f t="shared" ca="1" si="93"/>
        <v>6.1239998211970799E-2</v>
      </c>
      <c r="H2045" s="14">
        <f t="shared" si="94"/>
        <v>2023</v>
      </c>
      <c r="I2045" s="5">
        <f t="shared" ca="1" si="95"/>
        <v>3.7615955473098393E-2</v>
      </c>
      <c r="J2045" s="16"/>
    </row>
    <row r="2046" spans="1:10" x14ac:dyDescent="0.2">
      <c r="A2046" s="3">
        <v>45244</v>
      </c>
      <c r="B2046" s="1">
        <f ca="1">IFERROR(__xludf.DUMMYFUNCTION("""COMPUTED_VALUE"""),235.03)</f>
        <v>235.03</v>
      </c>
      <c r="C2046" s="1">
        <f ca="1">IFERROR(__xludf.DUMMYFUNCTION("""COMPUTED_VALUE"""),238.14)</f>
        <v>238.14</v>
      </c>
      <c r="D2046" s="1">
        <f ca="1">IFERROR(__xludf.DUMMYFUNCTION("""COMPUTED_VALUE"""),230.72)</f>
        <v>230.72</v>
      </c>
      <c r="E2046" s="1">
        <f ca="1">IFERROR(__xludf.DUMMYFUNCTION("""COMPUTED_VALUE"""),237.41)</f>
        <v>237.41</v>
      </c>
      <c r="F2046" s="1">
        <f ca="1">IFERROR(__xludf.DUMMYFUNCTION("""COMPUTED_VALUE"""),149771642)</f>
        <v>149771642</v>
      </c>
      <c r="G2046" s="5">
        <f t="shared" ca="1" si="93"/>
        <v>2.2871825112674306E-2</v>
      </c>
      <c r="H2046" s="14">
        <f t="shared" si="94"/>
        <v>2023</v>
      </c>
      <c r="I2046" s="5">
        <f t="shared" ca="1" si="95"/>
        <v>1.0126366846785497E-2</v>
      </c>
      <c r="J2046" s="16"/>
    </row>
    <row r="2047" spans="1:10" x14ac:dyDescent="0.2">
      <c r="A2047" s="3">
        <v>45245</v>
      </c>
      <c r="B2047" s="1">
        <f ca="1">IFERROR(__xludf.DUMMYFUNCTION("""COMPUTED_VALUE"""),239.29)</f>
        <v>239.29</v>
      </c>
      <c r="C2047" s="1">
        <f ca="1">IFERROR(__xludf.DUMMYFUNCTION("""COMPUTED_VALUE"""),246.7)</f>
        <v>246.7</v>
      </c>
      <c r="D2047" s="1">
        <f ca="1">IFERROR(__xludf.DUMMYFUNCTION("""COMPUTED_VALUE"""),236.45)</f>
        <v>236.45</v>
      </c>
      <c r="E2047" s="1">
        <f ca="1">IFERROR(__xludf.DUMMYFUNCTION("""COMPUTED_VALUE"""),242.84)</f>
        <v>242.84</v>
      </c>
      <c r="F2047" s="1">
        <f ca="1">IFERROR(__xludf.DUMMYFUNCTION("""COMPUTED_VALUE"""),150353975)</f>
        <v>150353975</v>
      </c>
      <c r="G2047" s="5">
        <f t="shared" ca="1" si="93"/>
        <v>-3.8090924065228134E-2</v>
      </c>
      <c r="H2047" s="14">
        <f t="shared" si="94"/>
        <v>2023</v>
      </c>
      <c r="I2047" s="5">
        <f t="shared" ca="1" si="95"/>
        <v>1.4835555184086304E-2</v>
      </c>
      <c r="J2047" s="16"/>
    </row>
    <row r="2048" spans="1:10" x14ac:dyDescent="0.2">
      <c r="A2048" s="3">
        <v>45246</v>
      </c>
      <c r="B2048" s="1">
        <f ca="1">IFERROR(__xludf.DUMMYFUNCTION("""COMPUTED_VALUE"""),239.49)</f>
        <v>239.49</v>
      </c>
      <c r="C2048" s="1">
        <f ca="1">IFERROR(__xludf.DUMMYFUNCTION("""COMPUTED_VALUE"""),240.88)</f>
        <v>240.88</v>
      </c>
      <c r="D2048" s="1">
        <f ca="1">IFERROR(__xludf.DUMMYFUNCTION("""COMPUTED_VALUE"""),230.96)</f>
        <v>230.96</v>
      </c>
      <c r="E2048" s="1">
        <f ca="1">IFERROR(__xludf.DUMMYFUNCTION("""COMPUTED_VALUE"""),233.59)</f>
        <v>233.59</v>
      </c>
      <c r="F2048" s="1">
        <f ca="1">IFERROR(__xludf.DUMMYFUNCTION("""COMPUTED_VALUE"""),136816819)</f>
        <v>136816819</v>
      </c>
      <c r="G2048" s="5">
        <f t="shared" ca="1" si="93"/>
        <v>3.039513677811584E-3</v>
      </c>
      <c r="H2048" s="14">
        <f t="shared" si="94"/>
        <v>2023</v>
      </c>
      <c r="I2048" s="5">
        <f t="shared" ca="1" si="95"/>
        <v>-2.4635684162177984E-2</v>
      </c>
      <c r="J2048" s="16"/>
    </row>
    <row r="2049" spans="1:10" x14ac:dyDescent="0.2">
      <c r="A2049" s="3">
        <v>45247</v>
      </c>
      <c r="B2049" s="1">
        <f ca="1">IFERROR(__xludf.DUMMYFUNCTION("""COMPUTED_VALUE"""),232)</f>
        <v>232</v>
      </c>
      <c r="C2049" s="1">
        <f ca="1">IFERROR(__xludf.DUMMYFUNCTION("""COMPUTED_VALUE"""),237.39)</f>
        <v>237.39</v>
      </c>
      <c r="D2049" s="1">
        <f ca="1">IFERROR(__xludf.DUMMYFUNCTION("""COMPUTED_VALUE"""),226.54)</f>
        <v>226.54</v>
      </c>
      <c r="E2049" s="1">
        <f ca="1">IFERROR(__xludf.DUMMYFUNCTION("""COMPUTED_VALUE"""),234.3)</f>
        <v>234.3</v>
      </c>
      <c r="F2049" s="1">
        <f ca="1">IFERROR(__xludf.DUMMYFUNCTION("""COMPUTED_VALUE"""),142766234)</f>
        <v>142766234</v>
      </c>
      <c r="G2049" s="5">
        <f t="shared" ca="1" si="93"/>
        <v>5.5484421681604047E-3</v>
      </c>
      <c r="H2049" s="14">
        <f t="shared" si="94"/>
        <v>2023</v>
      </c>
      <c r="I2049" s="5">
        <f t="shared" ca="1" si="95"/>
        <v>9.9137931034483252E-3</v>
      </c>
      <c r="J2049" s="16"/>
    </row>
    <row r="2050" spans="1:10" x14ac:dyDescent="0.2">
      <c r="A2050" s="3">
        <v>45250</v>
      </c>
      <c r="B2050" s="1">
        <f ca="1">IFERROR(__xludf.DUMMYFUNCTION("""COMPUTED_VALUE"""),234.04)</f>
        <v>234.04</v>
      </c>
      <c r="C2050" s="1">
        <f ca="1">IFERROR(__xludf.DUMMYFUNCTION("""COMPUTED_VALUE"""),237.1)</f>
        <v>237.1</v>
      </c>
      <c r="D2050" s="1">
        <f ca="1">IFERROR(__xludf.DUMMYFUNCTION("""COMPUTED_VALUE"""),231.02)</f>
        <v>231.02</v>
      </c>
      <c r="E2050" s="1">
        <f ca="1">IFERROR(__xludf.DUMMYFUNCTION("""COMPUTED_VALUE"""),235.6)</f>
        <v>235.6</v>
      </c>
      <c r="F2050" s="1">
        <f ca="1">IFERROR(__xludf.DUMMYFUNCTION("""COMPUTED_VALUE"""),116562402)</f>
        <v>116562402</v>
      </c>
      <c r="G2050" s="5">
        <f t="shared" ca="1" si="93"/>
        <v>2.3769100169779265E-2</v>
      </c>
      <c r="H2050" s="14">
        <f t="shared" si="94"/>
        <v>2023</v>
      </c>
      <c r="I2050" s="5">
        <f t="shared" ca="1" si="95"/>
        <v>6.6655272602973948E-3</v>
      </c>
      <c r="J2050" s="16"/>
    </row>
    <row r="2051" spans="1:10" x14ac:dyDescent="0.2">
      <c r="A2051" s="3">
        <v>45251</v>
      </c>
      <c r="B2051" s="1">
        <f ca="1">IFERROR(__xludf.DUMMYFUNCTION("""COMPUTED_VALUE"""),235.04)</f>
        <v>235.04</v>
      </c>
      <c r="C2051" s="1">
        <f ca="1">IFERROR(__xludf.DUMMYFUNCTION("""COMPUTED_VALUE"""),243.62)</f>
        <v>243.62</v>
      </c>
      <c r="D2051" s="1">
        <f ca="1">IFERROR(__xludf.DUMMYFUNCTION("""COMPUTED_VALUE"""),233.34)</f>
        <v>233.34</v>
      </c>
      <c r="E2051" s="1">
        <f ca="1">IFERROR(__xludf.DUMMYFUNCTION("""COMPUTED_VALUE"""),241.2)</f>
        <v>241.2</v>
      </c>
      <c r="F2051" s="1">
        <f ca="1">IFERROR(__xludf.DUMMYFUNCTION("""COMPUTED_VALUE"""),122288000)</f>
        <v>122288000</v>
      </c>
      <c r="G2051" s="5">
        <f t="shared" ref="G2051:G2114" ca="1" si="96">(E2052-E2051)/E2051</f>
        <v>-2.8980099502487484E-2</v>
      </c>
      <c r="H2051" s="14">
        <f t="shared" ref="H2051:H2114" si="97">YEAR(A2051)</f>
        <v>2023</v>
      </c>
      <c r="I2051" s="5">
        <f t="shared" ref="I2051:I2114" ca="1" si="98">((E2051 - B2051) / B2051)</f>
        <v>2.6208304969366901E-2</v>
      </c>
      <c r="J2051" s="16"/>
    </row>
    <row r="2052" spans="1:10" x14ac:dyDescent="0.2">
      <c r="A2052" s="3">
        <v>45252</v>
      </c>
      <c r="B2052" s="1">
        <f ca="1">IFERROR(__xludf.DUMMYFUNCTION("""COMPUTED_VALUE"""),242.04)</f>
        <v>242.04</v>
      </c>
      <c r="C2052" s="1">
        <f ca="1">IFERROR(__xludf.DUMMYFUNCTION("""COMPUTED_VALUE"""),244.01)</f>
        <v>244.01</v>
      </c>
      <c r="D2052" s="1">
        <f ca="1">IFERROR(__xludf.DUMMYFUNCTION("""COMPUTED_VALUE"""),231.4)</f>
        <v>231.4</v>
      </c>
      <c r="E2052" s="1">
        <f ca="1">IFERROR(__xludf.DUMMYFUNCTION("""COMPUTED_VALUE"""),234.21)</f>
        <v>234.21</v>
      </c>
      <c r="F2052" s="1">
        <f ca="1">IFERROR(__xludf.DUMMYFUNCTION("""COMPUTED_VALUE"""),118117078)</f>
        <v>118117078</v>
      </c>
      <c r="G2052" s="5">
        <f t="shared" ca="1" si="96"/>
        <v>5.2943939199862544E-3</v>
      </c>
      <c r="H2052" s="14">
        <f t="shared" si="97"/>
        <v>2023</v>
      </c>
      <c r="I2052" s="5">
        <f t="shared" ca="1" si="98"/>
        <v>-3.2350024789290964E-2</v>
      </c>
      <c r="J2052" s="16"/>
    </row>
    <row r="2053" spans="1:10" x14ac:dyDescent="0.2">
      <c r="A2053" s="3">
        <v>45254</v>
      </c>
      <c r="B2053" s="1">
        <f ca="1">IFERROR(__xludf.DUMMYFUNCTION("""COMPUTED_VALUE"""),233.75)</f>
        <v>233.75</v>
      </c>
      <c r="C2053" s="1">
        <f ca="1">IFERROR(__xludf.DUMMYFUNCTION("""COMPUTED_VALUE"""),238.75)</f>
        <v>238.75</v>
      </c>
      <c r="D2053" s="1">
        <f ca="1">IFERROR(__xludf.DUMMYFUNCTION("""COMPUTED_VALUE"""),232.33)</f>
        <v>232.33</v>
      </c>
      <c r="E2053" s="1">
        <f ca="1">IFERROR(__xludf.DUMMYFUNCTION("""COMPUTED_VALUE"""),235.45)</f>
        <v>235.45</v>
      </c>
      <c r="F2053" s="1">
        <f ca="1">IFERROR(__xludf.DUMMYFUNCTION("""COMPUTED_VALUE"""),65125203)</f>
        <v>65125203</v>
      </c>
      <c r="G2053" s="5">
        <f t="shared" ca="1" si="96"/>
        <v>2.6757273306435504E-3</v>
      </c>
      <c r="H2053" s="14">
        <f t="shared" si="97"/>
        <v>2023</v>
      </c>
      <c r="I2053" s="5">
        <f t="shared" ca="1" si="98"/>
        <v>7.2727272727272241E-3</v>
      </c>
      <c r="J2053" s="16"/>
    </row>
    <row r="2054" spans="1:10" x14ac:dyDescent="0.2">
      <c r="A2054" s="3">
        <v>45257</v>
      </c>
      <c r="B2054" s="1">
        <f ca="1">IFERROR(__xludf.DUMMYFUNCTION("""COMPUTED_VALUE"""),236.89)</f>
        <v>236.89</v>
      </c>
      <c r="C2054" s="1">
        <f ca="1">IFERROR(__xludf.DUMMYFUNCTION("""COMPUTED_VALUE"""),238.33)</f>
        <v>238.33</v>
      </c>
      <c r="D2054" s="1">
        <f ca="1">IFERROR(__xludf.DUMMYFUNCTION("""COMPUTED_VALUE"""),232.1)</f>
        <v>232.1</v>
      </c>
      <c r="E2054" s="1">
        <f ca="1">IFERROR(__xludf.DUMMYFUNCTION("""COMPUTED_VALUE"""),236.08)</f>
        <v>236.08</v>
      </c>
      <c r="F2054" s="1">
        <f ca="1">IFERROR(__xludf.DUMMYFUNCTION("""COMPUTED_VALUE"""),112031763)</f>
        <v>112031763</v>
      </c>
      <c r="G2054" s="5">
        <f t="shared" ca="1" si="96"/>
        <v>4.5069467976956906E-2</v>
      </c>
      <c r="H2054" s="14">
        <f t="shared" si="97"/>
        <v>2023</v>
      </c>
      <c r="I2054" s="5">
        <f t="shared" ca="1" si="98"/>
        <v>-3.4193085398285025E-3</v>
      </c>
      <c r="J2054" s="16"/>
    </row>
    <row r="2055" spans="1:10" x14ac:dyDescent="0.2">
      <c r="A2055" s="3">
        <v>45258</v>
      </c>
      <c r="B2055" s="1">
        <f ca="1">IFERROR(__xludf.DUMMYFUNCTION("""COMPUTED_VALUE"""),236.68)</f>
        <v>236.68</v>
      </c>
      <c r="C2055" s="1">
        <f ca="1">IFERROR(__xludf.DUMMYFUNCTION("""COMPUTED_VALUE"""),247)</f>
        <v>247</v>
      </c>
      <c r="D2055" s="1">
        <f ca="1">IFERROR(__xludf.DUMMYFUNCTION("""COMPUTED_VALUE"""),234.01)</f>
        <v>234.01</v>
      </c>
      <c r="E2055" s="1">
        <f ca="1">IFERROR(__xludf.DUMMYFUNCTION("""COMPUTED_VALUE"""),246.72)</f>
        <v>246.72</v>
      </c>
      <c r="F2055" s="1">
        <f ca="1">IFERROR(__xludf.DUMMYFUNCTION("""COMPUTED_VALUE"""),148549913)</f>
        <v>148549913</v>
      </c>
      <c r="G2055" s="5">
        <f t="shared" ca="1" si="96"/>
        <v>-1.0457198443579818E-2</v>
      </c>
      <c r="H2055" s="14">
        <f t="shared" si="97"/>
        <v>2023</v>
      </c>
      <c r="I2055" s="5">
        <f t="shared" ca="1" si="98"/>
        <v>4.242014534392425E-2</v>
      </c>
      <c r="J2055" s="16"/>
    </row>
    <row r="2056" spans="1:10" x14ac:dyDescent="0.2">
      <c r="A2056" s="3">
        <v>45259</v>
      </c>
      <c r="B2056" s="1">
        <f ca="1">IFERROR(__xludf.DUMMYFUNCTION("""COMPUTED_VALUE"""),249.21)</f>
        <v>249.21</v>
      </c>
      <c r="C2056" s="1">
        <f ca="1">IFERROR(__xludf.DUMMYFUNCTION("""COMPUTED_VALUE"""),252.75)</f>
        <v>252.75</v>
      </c>
      <c r="D2056" s="1">
        <f ca="1">IFERROR(__xludf.DUMMYFUNCTION("""COMPUTED_VALUE"""),242.76)</f>
        <v>242.76</v>
      </c>
      <c r="E2056" s="1">
        <f ca="1">IFERROR(__xludf.DUMMYFUNCTION("""COMPUTED_VALUE"""),244.14)</f>
        <v>244.14</v>
      </c>
      <c r="F2056" s="1">
        <f ca="1">IFERROR(__xludf.DUMMYFUNCTION("""COMPUTED_VALUE"""),135401335)</f>
        <v>135401335</v>
      </c>
      <c r="G2056" s="5">
        <f t="shared" ca="1" si="96"/>
        <v>-1.6629802572294478E-2</v>
      </c>
      <c r="H2056" s="14">
        <f t="shared" si="97"/>
        <v>2023</v>
      </c>
      <c r="I2056" s="5">
        <f t="shared" ca="1" si="98"/>
        <v>-2.0344287949921838E-2</v>
      </c>
      <c r="J2056" s="16"/>
    </row>
    <row r="2057" spans="1:10" x14ac:dyDescent="0.2">
      <c r="A2057" s="3">
        <v>45260</v>
      </c>
      <c r="B2057" s="1">
        <f ca="1">IFERROR(__xludf.DUMMYFUNCTION("""COMPUTED_VALUE"""),245.14)</f>
        <v>245.14</v>
      </c>
      <c r="C2057" s="1">
        <f ca="1">IFERROR(__xludf.DUMMYFUNCTION("""COMPUTED_VALUE"""),245.22)</f>
        <v>245.22</v>
      </c>
      <c r="D2057" s="1">
        <f ca="1">IFERROR(__xludf.DUMMYFUNCTION("""COMPUTED_VALUE"""),236.91)</f>
        <v>236.91</v>
      </c>
      <c r="E2057" s="1">
        <f ca="1">IFERROR(__xludf.DUMMYFUNCTION("""COMPUTED_VALUE"""),240.08)</f>
        <v>240.08</v>
      </c>
      <c r="F2057" s="1">
        <f ca="1">IFERROR(__xludf.DUMMYFUNCTION("""COMPUTED_VALUE"""),132353196)</f>
        <v>132353196</v>
      </c>
      <c r="G2057" s="5">
        <f t="shared" ca="1" si="96"/>
        <v>-5.2065978007330887E-3</v>
      </c>
      <c r="H2057" s="14">
        <f t="shared" si="97"/>
        <v>2023</v>
      </c>
      <c r="I2057" s="5">
        <f t="shared" ca="1" si="98"/>
        <v>-2.0641266215223848E-2</v>
      </c>
      <c r="J2057" s="16"/>
    </row>
    <row r="2058" spans="1:10" x14ac:dyDescent="0.2">
      <c r="A2058" s="3">
        <v>45261</v>
      </c>
      <c r="B2058" s="1">
        <f ca="1">IFERROR(__xludf.DUMMYFUNCTION("""COMPUTED_VALUE"""),233.14)</f>
        <v>233.14</v>
      </c>
      <c r="C2058" s="1">
        <f ca="1">IFERROR(__xludf.DUMMYFUNCTION("""COMPUTED_VALUE"""),240.19)</f>
        <v>240.19</v>
      </c>
      <c r="D2058" s="1">
        <f ca="1">IFERROR(__xludf.DUMMYFUNCTION("""COMPUTED_VALUE"""),231.9)</f>
        <v>231.9</v>
      </c>
      <c r="E2058" s="1">
        <f ca="1">IFERROR(__xludf.DUMMYFUNCTION("""COMPUTED_VALUE"""),238.83)</f>
        <v>238.83</v>
      </c>
      <c r="F2058" s="1">
        <f ca="1">IFERROR(__xludf.DUMMYFUNCTION("""COMPUTED_VALUE"""),121331709)</f>
        <v>121331709</v>
      </c>
      <c r="G2058" s="5">
        <f t="shared" ca="1" si="96"/>
        <v>-1.3608005694426998E-2</v>
      </c>
      <c r="H2058" s="14">
        <f t="shared" si="97"/>
        <v>2023</v>
      </c>
      <c r="I2058" s="5">
        <f t="shared" ca="1" si="98"/>
        <v>2.440593634725927E-2</v>
      </c>
      <c r="J2058" s="16"/>
    </row>
    <row r="2059" spans="1:10" x14ac:dyDescent="0.2">
      <c r="A2059" s="3">
        <v>45264</v>
      </c>
      <c r="B2059" s="1">
        <f ca="1">IFERROR(__xludf.DUMMYFUNCTION("""COMPUTED_VALUE"""),235.75)</f>
        <v>235.75</v>
      </c>
      <c r="C2059" s="1">
        <f ca="1">IFERROR(__xludf.DUMMYFUNCTION("""COMPUTED_VALUE"""),239.37)</f>
        <v>239.37</v>
      </c>
      <c r="D2059" s="1">
        <f ca="1">IFERROR(__xludf.DUMMYFUNCTION("""COMPUTED_VALUE"""),233.29)</f>
        <v>233.29</v>
      </c>
      <c r="E2059" s="1">
        <f ca="1">IFERROR(__xludf.DUMMYFUNCTION("""COMPUTED_VALUE"""),235.58)</f>
        <v>235.58</v>
      </c>
      <c r="F2059" s="1">
        <f ca="1">IFERROR(__xludf.DUMMYFUNCTION("""COMPUTED_VALUE"""),104099817)</f>
        <v>104099817</v>
      </c>
      <c r="G2059" s="5">
        <f t="shared" ca="1" si="96"/>
        <v>1.3328805501315842E-2</v>
      </c>
      <c r="H2059" s="14">
        <f t="shared" si="97"/>
        <v>2023</v>
      </c>
      <c r="I2059" s="5">
        <f t="shared" ca="1" si="98"/>
        <v>-7.2110286320249206E-4</v>
      </c>
      <c r="J2059" s="16"/>
    </row>
    <row r="2060" spans="1:10" x14ac:dyDescent="0.2">
      <c r="A2060" s="3">
        <v>45265</v>
      </c>
      <c r="B2060" s="1">
        <f ca="1">IFERROR(__xludf.DUMMYFUNCTION("""COMPUTED_VALUE"""),233.87)</f>
        <v>233.87</v>
      </c>
      <c r="C2060" s="1">
        <f ca="1">IFERROR(__xludf.DUMMYFUNCTION("""COMPUTED_VALUE"""),246.66)</f>
        <v>246.66</v>
      </c>
      <c r="D2060" s="1">
        <f ca="1">IFERROR(__xludf.DUMMYFUNCTION("""COMPUTED_VALUE"""),233.7)</f>
        <v>233.7</v>
      </c>
      <c r="E2060" s="1">
        <f ca="1">IFERROR(__xludf.DUMMYFUNCTION("""COMPUTED_VALUE"""),238.72)</f>
        <v>238.72</v>
      </c>
      <c r="F2060" s="1">
        <f ca="1">IFERROR(__xludf.DUMMYFUNCTION("""COMPUTED_VALUE"""),137971115)</f>
        <v>137971115</v>
      </c>
      <c r="G2060" s="5">
        <f t="shared" ca="1" si="96"/>
        <v>2.7228552278820615E-3</v>
      </c>
      <c r="H2060" s="14">
        <f t="shared" si="97"/>
        <v>2023</v>
      </c>
      <c r="I2060" s="5">
        <f t="shared" ca="1" si="98"/>
        <v>2.0738016846966238E-2</v>
      </c>
      <c r="J2060" s="16"/>
    </row>
    <row r="2061" spans="1:10" x14ac:dyDescent="0.2">
      <c r="A2061" s="3">
        <v>45266</v>
      </c>
      <c r="B2061" s="1">
        <f ca="1">IFERROR(__xludf.DUMMYFUNCTION("""COMPUTED_VALUE"""),242.92)</f>
        <v>242.92</v>
      </c>
      <c r="C2061" s="1">
        <f ca="1">IFERROR(__xludf.DUMMYFUNCTION("""COMPUTED_VALUE"""),246.57)</f>
        <v>246.57</v>
      </c>
      <c r="D2061" s="1">
        <f ca="1">IFERROR(__xludf.DUMMYFUNCTION("""COMPUTED_VALUE"""),239.17)</f>
        <v>239.17</v>
      </c>
      <c r="E2061" s="1">
        <f ca="1">IFERROR(__xludf.DUMMYFUNCTION("""COMPUTED_VALUE"""),239.37)</f>
        <v>239.37</v>
      </c>
      <c r="F2061" s="1">
        <f ca="1">IFERROR(__xludf.DUMMYFUNCTION("""COMPUTED_VALUE"""),126436179)</f>
        <v>126436179</v>
      </c>
      <c r="G2061" s="5">
        <f t="shared" ca="1" si="96"/>
        <v>1.3660859756861685E-2</v>
      </c>
      <c r="H2061" s="14">
        <f t="shared" si="97"/>
        <v>2023</v>
      </c>
      <c r="I2061" s="5">
        <f t="shared" ca="1" si="98"/>
        <v>-1.4613864646797229E-2</v>
      </c>
      <c r="J2061" s="16"/>
    </row>
    <row r="2062" spans="1:10" x14ac:dyDescent="0.2">
      <c r="A2062" s="3">
        <v>45267</v>
      </c>
      <c r="B2062" s="1">
        <f ca="1">IFERROR(__xludf.DUMMYFUNCTION("""COMPUTED_VALUE"""),241.55)</f>
        <v>241.55</v>
      </c>
      <c r="C2062" s="1">
        <f ca="1">IFERROR(__xludf.DUMMYFUNCTION("""COMPUTED_VALUE"""),244.08)</f>
        <v>244.08</v>
      </c>
      <c r="D2062" s="1">
        <f ca="1">IFERROR(__xludf.DUMMYFUNCTION("""COMPUTED_VALUE"""),236.98)</f>
        <v>236.98</v>
      </c>
      <c r="E2062" s="1">
        <f ca="1">IFERROR(__xludf.DUMMYFUNCTION("""COMPUTED_VALUE"""),242.64)</f>
        <v>242.64</v>
      </c>
      <c r="F2062" s="1">
        <f ca="1">IFERROR(__xludf.DUMMYFUNCTION("""COMPUTED_VALUE"""),107142262)</f>
        <v>107142262</v>
      </c>
      <c r="G2062" s="5">
        <f t="shared" ca="1" si="96"/>
        <v>4.9455984174085772E-3</v>
      </c>
      <c r="H2062" s="14">
        <f t="shared" si="97"/>
        <v>2023</v>
      </c>
      <c r="I2062" s="5">
        <f t="shared" ca="1" si="98"/>
        <v>4.5125232871040151E-3</v>
      </c>
      <c r="J2062" s="16"/>
    </row>
    <row r="2063" spans="1:10" x14ac:dyDescent="0.2">
      <c r="A2063" s="3">
        <v>45268</v>
      </c>
      <c r="B2063" s="1">
        <f ca="1">IFERROR(__xludf.DUMMYFUNCTION("""COMPUTED_VALUE"""),240.27)</f>
        <v>240.27</v>
      </c>
      <c r="C2063" s="1">
        <f ca="1">IFERROR(__xludf.DUMMYFUNCTION("""COMPUTED_VALUE"""),245.27)</f>
        <v>245.27</v>
      </c>
      <c r="D2063" s="1">
        <f ca="1">IFERROR(__xludf.DUMMYFUNCTION("""COMPUTED_VALUE"""),239.27)</f>
        <v>239.27</v>
      </c>
      <c r="E2063" s="1">
        <f ca="1">IFERROR(__xludf.DUMMYFUNCTION("""COMPUTED_VALUE"""),243.84)</f>
        <v>243.84</v>
      </c>
      <c r="F2063" s="1">
        <f ca="1">IFERROR(__xludf.DUMMYFUNCTION("""COMPUTED_VALUE"""),103126829)</f>
        <v>103126829</v>
      </c>
      <c r="G2063" s="5">
        <f t="shared" ca="1" si="96"/>
        <v>-1.6814304461942233E-2</v>
      </c>
      <c r="H2063" s="14">
        <f t="shared" si="97"/>
        <v>2023</v>
      </c>
      <c r="I2063" s="5">
        <f t="shared" ca="1" si="98"/>
        <v>1.4858284430016203E-2</v>
      </c>
      <c r="J2063" s="16"/>
    </row>
    <row r="2064" spans="1:10" x14ac:dyDescent="0.2">
      <c r="A2064" s="3">
        <v>45271</v>
      </c>
      <c r="B2064" s="1">
        <f ca="1">IFERROR(__xludf.DUMMYFUNCTION("""COMPUTED_VALUE"""),242.74)</f>
        <v>242.74</v>
      </c>
      <c r="C2064" s="1">
        <f ca="1">IFERROR(__xludf.DUMMYFUNCTION("""COMPUTED_VALUE"""),243.44)</f>
        <v>243.44</v>
      </c>
      <c r="D2064" s="1">
        <f ca="1">IFERROR(__xludf.DUMMYFUNCTION("""COMPUTED_VALUE"""),237.45)</f>
        <v>237.45</v>
      </c>
      <c r="E2064" s="1">
        <f ca="1">IFERROR(__xludf.DUMMYFUNCTION("""COMPUTED_VALUE"""),239.74)</f>
        <v>239.74</v>
      </c>
      <c r="F2064" s="1">
        <f ca="1">IFERROR(__xludf.DUMMYFUNCTION("""COMPUTED_VALUE"""),97913888)</f>
        <v>97913888</v>
      </c>
      <c r="G2064" s="5">
        <f t="shared" ca="1" si="96"/>
        <v>-1.1387336280971128E-2</v>
      </c>
      <c r="H2064" s="14">
        <f t="shared" si="97"/>
        <v>2023</v>
      </c>
      <c r="I2064" s="5">
        <f t="shared" ca="1" si="98"/>
        <v>-1.2358902529455384E-2</v>
      </c>
      <c r="J2064" s="16"/>
    </row>
    <row r="2065" spans="1:10" x14ac:dyDescent="0.2">
      <c r="A2065" s="3">
        <v>45272</v>
      </c>
      <c r="B2065" s="1">
        <f ca="1">IFERROR(__xludf.DUMMYFUNCTION("""COMPUTED_VALUE"""),238.55)</f>
        <v>238.55</v>
      </c>
      <c r="C2065" s="1">
        <f ca="1">IFERROR(__xludf.DUMMYFUNCTION("""COMPUTED_VALUE"""),238.99)</f>
        <v>238.99</v>
      </c>
      <c r="D2065" s="1">
        <f ca="1">IFERROR(__xludf.DUMMYFUNCTION("""COMPUTED_VALUE"""),233.87)</f>
        <v>233.87</v>
      </c>
      <c r="E2065" s="1">
        <f ca="1">IFERROR(__xludf.DUMMYFUNCTION("""COMPUTED_VALUE"""),237.01)</f>
        <v>237.01</v>
      </c>
      <c r="F2065" s="1">
        <f ca="1">IFERROR(__xludf.DUMMYFUNCTION("""COMPUTED_VALUE"""),95328313)</f>
        <v>95328313</v>
      </c>
      <c r="G2065" s="5">
        <f t="shared" ca="1" si="96"/>
        <v>9.6198472638285362E-3</v>
      </c>
      <c r="H2065" s="14">
        <f t="shared" si="97"/>
        <v>2023</v>
      </c>
      <c r="I2065" s="5">
        <f t="shared" ca="1" si="98"/>
        <v>-6.455669670928612E-3</v>
      </c>
      <c r="J2065" s="16"/>
    </row>
    <row r="2066" spans="1:10" x14ac:dyDescent="0.2">
      <c r="A2066" s="3">
        <v>45273</v>
      </c>
      <c r="B2066" s="1">
        <f ca="1">IFERROR(__xludf.DUMMYFUNCTION("""COMPUTED_VALUE"""),234.19)</f>
        <v>234.19</v>
      </c>
      <c r="C2066" s="1">
        <f ca="1">IFERROR(__xludf.DUMMYFUNCTION("""COMPUTED_VALUE"""),240.3)</f>
        <v>240.3</v>
      </c>
      <c r="D2066" s="1">
        <f ca="1">IFERROR(__xludf.DUMMYFUNCTION("""COMPUTED_VALUE"""),228.2)</f>
        <v>228.2</v>
      </c>
      <c r="E2066" s="1">
        <f ca="1">IFERROR(__xludf.DUMMYFUNCTION("""COMPUTED_VALUE"""),239.29)</f>
        <v>239.29</v>
      </c>
      <c r="F2066" s="1">
        <f ca="1">IFERROR(__xludf.DUMMYFUNCTION("""COMPUTED_VALUE"""),146286348)</f>
        <v>146286348</v>
      </c>
      <c r="G2066" s="5">
        <f t="shared" ca="1" si="96"/>
        <v>4.9145388440804127E-2</v>
      </c>
      <c r="H2066" s="14">
        <f t="shared" si="97"/>
        <v>2023</v>
      </c>
      <c r="I2066" s="5">
        <f t="shared" ca="1" si="98"/>
        <v>2.1777189461548292E-2</v>
      </c>
      <c r="J2066" s="16"/>
    </row>
    <row r="2067" spans="1:10" x14ac:dyDescent="0.2">
      <c r="A2067" s="3">
        <v>45274</v>
      </c>
      <c r="B2067" s="1">
        <f ca="1">IFERROR(__xludf.DUMMYFUNCTION("""COMPUTED_VALUE"""),241.22)</f>
        <v>241.22</v>
      </c>
      <c r="C2067" s="1">
        <f ca="1">IFERROR(__xludf.DUMMYFUNCTION("""COMPUTED_VALUE"""),253.88)</f>
        <v>253.88</v>
      </c>
      <c r="D2067" s="1">
        <f ca="1">IFERROR(__xludf.DUMMYFUNCTION("""COMPUTED_VALUE"""),240.79)</f>
        <v>240.79</v>
      </c>
      <c r="E2067" s="1">
        <f ca="1">IFERROR(__xludf.DUMMYFUNCTION("""COMPUTED_VALUE"""),251.05)</f>
        <v>251.05</v>
      </c>
      <c r="F2067" s="1">
        <f ca="1">IFERROR(__xludf.DUMMYFUNCTION("""COMPUTED_VALUE"""),160829239)</f>
        <v>160829239</v>
      </c>
      <c r="G2067" s="5">
        <f t="shared" ca="1" si="96"/>
        <v>9.7590121489742627E-3</v>
      </c>
      <c r="H2067" s="14">
        <f t="shared" si="97"/>
        <v>2023</v>
      </c>
      <c r="I2067" s="5">
        <f t="shared" ca="1" si="98"/>
        <v>4.075118149407185E-2</v>
      </c>
      <c r="J2067" s="16"/>
    </row>
    <row r="2068" spans="1:10" x14ac:dyDescent="0.2">
      <c r="A2068" s="3">
        <v>45275</v>
      </c>
      <c r="B2068" s="1">
        <f ca="1">IFERROR(__xludf.DUMMYFUNCTION("""COMPUTED_VALUE"""),251.21)</f>
        <v>251.21</v>
      </c>
      <c r="C2068" s="1">
        <f ca="1">IFERROR(__xludf.DUMMYFUNCTION("""COMPUTED_VALUE"""),254.13)</f>
        <v>254.13</v>
      </c>
      <c r="D2068" s="1">
        <f ca="1">IFERROR(__xludf.DUMMYFUNCTION("""COMPUTED_VALUE"""),248.3)</f>
        <v>248.3</v>
      </c>
      <c r="E2068" s="1">
        <f ca="1">IFERROR(__xludf.DUMMYFUNCTION("""COMPUTED_VALUE"""),253.5)</f>
        <v>253.5</v>
      </c>
      <c r="F2068" s="1">
        <f ca="1">IFERROR(__xludf.DUMMYFUNCTION("""COMPUTED_VALUE"""),135932762)</f>
        <v>135932762</v>
      </c>
      <c r="G2068" s="5">
        <f t="shared" ca="1" si="96"/>
        <v>-5.6015779092701678E-3</v>
      </c>
      <c r="H2068" s="14">
        <f t="shared" si="97"/>
        <v>2023</v>
      </c>
      <c r="I2068" s="5">
        <f t="shared" ca="1" si="98"/>
        <v>9.1158791449384661E-3</v>
      </c>
      <c r="J2068" s="16"/>
    </row>
    <row r="2069" spans="1:10" x14ac:dyDescent="0.2">
      <c r="A2069" s="3">
        <v>45278</v>
      </c>
      <c r="B2069" s="1">
        <f ca="1">IFERROR(__xludf.DUMMYFUNCTION("""COMPUTED_VALUE"""),253.78)</f>
        <v>253.78</v>
      </c>
      <c r="C2069" s="1">
        <f ca="1">IFERROR(__xludf.DUMMYFUNCTION("""COMPUTED_VALUE"""),258.74)</f>
        <v>258.74</v>
      </c>
      <c r="D2069" s="1">
        <f ca="1">IFERROR(__xludf.DUMMYFUNCTION("""COMPUTED_VALUE"""),251.36)</f>
        <v>251.36</v>
      </c>
      <c r="E2069" s="1">
        <f ca="1">IFERROR(__xludf.DUMMYFUNCTION("""COMPUTED_VALUE"""),252.08)</f>
        <v>252.08</v>
      </c>
      <c r="F2069" s="1">
        <f ca="1">IFERROR(__xludf.DUMMYFUNCTION("""COMPUTED_VALUE"""),116416490)</f>
        <v>116416490</v>
      </c>
      <c r="G2069" s="5">
        <f t="shared" ca="1" si="96"/>
        <v>2.0390352269120973E-2</v>
      </c>
      <c r="H2069" s="14">
        <f t="shared" si="97"/>
        <v>2023</v>
      </c>
      <c r="I2069" s="5">
        <f t="shared" ca="1" si="98"/>
        <v>-6.6987154228071106E-3</v>
      </c>
      <c r="J2069" s="16"/>
    </row>
    <row r="2070" spans="1:10" x14ac:dyDescent="0.2">
      <c r="A2070" s="3">
        <v>45279</v>
      </c>
      <c r="B2070" s="1">
        <f ca="1">IFERROR(__xludf.DUMMYFUNCTION("""COMPUTED_VALUE"""),253.48)</f>
        <v>253.48</v>
      </c>
      <c r="C2070" s="1">
        <f ca="1">IFERROR(__xludf.DUMMYFUNCTION("""COMPUTED_VALUE"""),258.34)</f>
        <v>258.33999999999997</v>
      </c>
      <c r="D2070" s="1">
        <f ca="1">IFERROR(__xludf.DUMMYFUNCTION("""COMPUTED_VALUE"""),253.01)</f>
        <v>253.01</v>
      </c>
      <c r="E2070" s="1">
        <f ca="1">IFERROR(__xludf.DUMMYFUNCTION("""COMPUTED_VALUE"""),257.22)</f>
        <v>257.22000000000003</v>
      </c>
      <c r="F2070" s="1">
        <f ca="1">IFERROR(__xludf.DUMMYFUNCTION("""COMPUTED_VALUE"""),106737369)</f>
        <v>106737369</v>
      </c>
      <c r="G2070" s="5">
        <f t="shared" ca="1" si="96"/>
        <v>-3.9188243526942071E-2</v>
      </c>
      <c r="H2070" s="14">
        <f t="shared" si="97"/>
        <v>2023</v>
      </c>
      <c r="I2070" s="5">
        <f t="shared" ca="1" si="98"/>
        <v>1.4754615748777173E-2</v>
      </c>
      <c r="J2070" s="16"/>
    </row>
    <row r="2071" spans="1:10" x14ac:dyDescent="0.2">
      <c r="A2071" s="3">
        <v>45280</v>
      </c>
      <c r="B2071" s="1">
        <f ca="1">IFERROR(__xludf.DUMMYFUNCTION("""COMPUTED_VALUE"""),256.41)</f>
        <v>256.41000000000003</v>
      </c>
      <c r="C2071" s="1">
        <f ca="1">IFERROR(__xludf.DUMMYFUNCTION("""COMPUTED_VALUE"""),259.84)</f>
        <v>259.83999999999997</v>
      </c>
      <c r="D2071" s="1">
        <f ca="1">IFERROR(__xludf.DUMMYFUNCTION("""COMPUTED_VALUE"""),247)</f>
        <v>247</v>
      </c>
      <c r="E2071" s="1">
        <f ca="1">IFERROR(__xludf.DUMMYFUNCTION("""COMPUTED_VALUE"""),247.14)</f>
        <v>247.14</v>
      </c>
      <c r="F2071" s="1">
        <f ca="1">IFERROR(__xludf.DUMMYFUNCTION("""COMPUTED_VALUE"""),125096987)</f>
        <v>125096987</v>
      </c>
      <c r="G2071" s="5">
        <f t="shared" ca="1" si="96"/>
        <v>2.978069110625562E-2</v>
      </c>
      <c r="H2071" s="14">
        <f t="shared" si="97"/>
        <v>2023</v>
      </c>
      <c r="I2071" s="5">
        <f t="shared" ca="1" si="98"/>
        <v>-3.6153036153036298E-2</v>
      </c>
      <c r="J2071" s="16"/>
    </row>
    <row r="2072" spans="1:10" x14ac:dyDescent="0.2">
      <c r="A2072" s="3">
        <v>45281</v>
      </c>
      <c r="B2072" s="1">
        <f ca="1">IFERROR(__xludf.DUMMYFUNCTION("""COMPUTED_VALUE"""),251.9)</f>
        <v>251.9</v>
      </c>
      <c r="C2072" s="1">
        <f ca="1">IFERROR(__xludf.DUMMYFUNCTION("""COMPUTED_VALUE"""),254.8)</f>
        <v>254.8</v>
      </c>
      <c r="D2072" s="1">
        <f ca="1">IFERROR(__xludf.DUMMYFUNCTION("""COMPUTED_VALUE"""),248.55)</f>
        <v>248.55</v>
      </c>
      <c r="E2072" s="1">
        <f ca="1">IFERROR(__xludf.DUMMYFUNCTION("""COMPUTED_VALUE"""),254.5)</f>
        <v>254.5</v>
      </c>
      <c r="F2072" s="1">
        <f ca="1">IFERROR(__xludf.DUMMYFUNCTION("""COMPUTED_VALUE"""),109594227)</f>
        <v>109594227</v>
      </c>
      <c r="G2072" s="5">
        <f t="shared" ca="1" si="96"/>
        <v>-7.7013752455795991E-3</v>
      </c>
      <c r="H2072" s="14">
        <f t="shared" si="97"/>
        <v>2023</v>
      </c>
      <c r="I2072" s="5">
        <f t="shared" ca="1" si="98"/>
        <v>1.0321556173084535E-2</v>
      </c>
      <c r="J2072" s="16"/>
    </row>
    <row r="2073" spans="1:10" x14ac:dyDescent="0.2">
      <c r="A2073" s="3">
        <v>45282</v>
      </c>
      <c r="B2073" s="1">
        <f ca="1">IFERROR(__xludf.DUMMYFUNCTION("""COMPUTED_VALUE"""),256.76)</f>
        <v>256.76</v>
      </c>
      <c r="C2073" s="1">
        <f ca="1">IFERROR(__xludf.DUMMYFUNCTION("""COMPUTED_VALUE"""),258.22)</f>
        <v>258.22000000000003</v>
      </c>
      <c r="D2073" s="1">
        <f ca="1">IFERROR(__xludf.DUMMYFUNCTION("""COMPUTED_VALUE"""),251.37)</f>
        <v>251.37</v>
      </c>
      <c r="E2073" s="1">
        <f ca="1">IFERROR(__xludf.DUMMYFUNCTION("""COMPUTED_VALUE"""),252.54)</f>
        <v>252.54</v>
      </c>
      <c r="F2073" s="1">
        <f ca="1">IFERROR(__xludf.DUMMYFUNCTION("""COMPUTED_VALUE"""),93370094)</f>
        <v>93370094</v>
      </c>
      <c r="G2073" s="5">
        <f t="shared" ca="1" si="96"/>
        <v>1.6116258810485555E-2</v>
      </c>
      <c r="H2073" s="14">
        <f t="shared" si="97"/>
        <v>2023</v>
      </c>
      <c r="I2073" s="5">
        <f t="shared" ca="1" si="98"/>
        <v>-1.6435581866334315E-2</v>
      </c>
      <c r="J2073" s="16"/>
    </row>
    <row r="2074" spans="1:10" x14ac:dyDescent="0.2">
      <c r="A2074" s="3">
        <v>45286</v>
      </c>
      <c r="B2074" s="1">
        <f ca="1">IFERROR(__xludf.DUMMYFUNCTION("""COMPUTED_VALUE"""),254.49)</f>
        <v>254.49</v>
      </c>
      <c r="C2074" s="1">
        <f ca="1">IFERROR(__xludf.DUMMYFUNCTION("""COMPUTED_VALUE"""),257.97)</f>
        <v>257.97000000000003</v>
      </c>
      <c r="D2074" s="1">
        <f ca="1">IFERROR(__xludf.DUMMYFUNCTION("""COMPUTED_VALUE"""),252.91)</f>
        <v>252.91</v>
      </c>
      <c r="E2074" s="1">
        <f ca="1">IFERROR(__xludf.DUMMYFUNCTION("""COMPUTED_VALUE"""),256.61)</f>
        <v>256.61</v>
      </c>
      <c r="F2074" s="1">
        <f ca="1">IFERROR(__xludf.DUMMYFUNCTION("""COMPUTED_VALUE"""),86892382)</f>
        <v>86892382</v>
      </c>
      <c r="G2074" s="5">
        <f t="shared" ca="1" si="96"/>
        <v>1.8822337399165986E-2</v>
      </c>
      <c r="H2074" s="14">
        <f t="shared" si="97"/>
        <v>2023</v>
      </c>
      <c r="I2074" s="5">
        <f t="shared" ca="1" si="98"/>
        <v>8.3303862627215394E-3</v>
      </c>
      <c r="J2074" s="16"/>
    </row>
    <row r="2075" spans="1:10" x14ac:dyDescent="0.2">
      <c r="A2075" s="3">
        <v>45287</v>
      </c>
      <c r="B2075" s="1">
        <f ca="1">IFERROR(__xludf.DUMMYFUNCTION("""COMPUTED_VALUE"""),258.35)</f>
        <v>258.35000000000002</v>
      </c>
      <c r="C2075" s="1">
        <f ca="1">IFERROR(__xludf.DUMMYFUNCTION("""COMPUTED_VALUE"""),263.34)</f>
        <v>263.33999999999997</v>
      </c>
      <c r="D2075" s="1">
        <f ca="1">IFERROR(__xludf.DUMMYFUNCTION("""COMPUTED_VALUE"""),257.52)</f>
        <v>257.52</v>
      </c>
      <c r="E2075" s="1">
        <f ca="1">IFERROR(__xludf.DUMMYFUNCTION("""COMPUTED_VALUE"""),261.44)</f>
        <v>261.44</v>
      </c>
      <c r="F2075" s="1">
        <f ca="1">IFERROR(__xludf.DUMMYFUNCTION("""COMPUTED_VALUE"""),106494359)</f>
        <v>106494359</v>
      </c>
      <c r="G2075" s="5">
        <f t="shared" ca="1" si="96"/>
        <v>-3.1594247246022E-2</v>
      </c>
      <c r="H2075" s="14">
        <f t="shared" si="97"/>
        <v>2023</v>
      </c>
      <c r="I2075" s="5">
        <f t="shared" ca="1" si="98"/>
        <v>1.196051867621434E-2</v>
      </c>
      <c r="J2075" s="16"/>
    </row>
    <row r="2076" spans="1:10" x14ac:dyDescent="0.2">
      <c r="A2076" s="3">
        <v>45288</v>
      </c>
      <c r="B2076" s="1">
        <f ca="1">IFERROR(__xludf.DUMMYFUNCTION("""COMPUTED_VALUE"""),263.66)</f>
        <v>263.66000000000003</v>
      </c>
      <c r="C2076" s="1">
        <f ca="1">IFERROR(__xludf.DUMMYFUNCTION("""COMPUTED_VALUE"""),265.13)</f>
        <v>265.13</v>
      </c>
      <c r="D2076" s="1">
        <f ca="1">IFERROR(__xludf.DUMMYFUNCTION("""COMPUTED_VALUE"""),252.71)</f>
        <v>252.71</v>
      </c>
      <c r="E2076" s="1">
        <f ca="1">IFERROR(__xludf.DUMMYFUNCTION("""COMPUTED_VALUE"""),253.18)</f>
        <v>253.18</v>
      </c>
      <c r="F2076" s="1">
        <f ca="1">IFERROR(__xludf.DUMMYFUNCTION("""COMPUTED_VALUE"""),113619943)</f>
        <v>113619943</v>
      </c>
      <c r="G2076" s="5">
        <f t="shared" ca="1" si="96"/>
        <v>-1.8563867604076217E-2</v>
      </c>
      <c r="H2076" s="14">
        <f t="shared" si="97"/>
        <v>2023</v>
      </c>
      <c r="I2076" s="5">
        <f t="shared" ca="1" si="98"/>
        <v>-3.9748160509747464E-2</v>
      </c>
      <c r="J2076" s="16"/>
    </row>
    <row r="2077" spans="1:10" x14ac:dyDescent="0.2">
      <c r="A2077" s="3">
        <v>45289</v>
      </c>
      <c r="B2077" s="1">
        <f ca="1">IFERROR(__xludf.DUMMYFUNCTION("""COMPUTED_VALUE"""),255.1)</f>
        <v>255.1</v>
      </c>
      <c r="C2077" s="1">
        <f ca="1">IFERROR(__xludf.DUMMYFUNCTION("""COMPUTED_VALUE"""),255.19)</f>
        <v>255.19</v>
      </c>
      <c r="D2077" s="1">
        <f ca="1">IFERROR(__xludf.DUMMYFUNCTION("""COMPUTED_VALUE"""),247.43)</f>
        <v>247.43</v>
      </c>
      <c r="E2077" s="1">
        <f ca="1">IFERROR(__xludf.DUMMYFUNCTION("""COMPUTED_VALUE"""),248.48)</f>
        <v>248.48</v>
      </c>
      <c r="F2077" s="1">
        <f ca="1">IFERROR(__xludf.DUMMYFUNCTION("""COMPUTED_VALUE"""),100891578)</f>
        <v>100891578</v>
      </c>
      <c r="G2077" s="5">
        <f t="shared" ca="1" si="96"/>
        <v>-2.414681262073498E-4</v>
      </c>
      <c r="H2077" s="14">
        <f t="shared" si="97"/>
        <v>2023</v>
      </c>
      <c r="I2077" s="5">
        <f t="shared" ca="1" si="98"/>
        <v>-2.5950607604860856E-2</v>
      </c>
      <c r="J2077" s="16"/>
    </row>
    <row r="2078" spans="1:10" x14ac:dyDescent="0.2">
      <c r="A2078" s="3">
        <v>45293</v>
      </c>
      <c r="B2078" s="1">
        <f ca="1">IFERROR(__xludf.DUMMYFUNCTION("""COMPUTED_VALUE"""),250.08)</f>
        <v>250.08</v>
      </c>
      <c r="C2078" s="1">
        <f ca="1">IFERROR(__xludf.DUMMYFUNCTION("""COMPUTED_VALUE"""),251.25)</f>
        <v>251.25</v>
      </c>
      <c r="D2078" s="1">
        <f ca="1">IFERROR(__xludf.DUMMYFUNCTION("""COMPUTED_VALUE"""),244.41)</f>
        <v>244.41</v>
      </c>
      <c r="E2078" s="1">
        <f ca="1">IFERROR(__xludf.DUMMYFUNCTION("""COMPUTED_VALUE"""),248.42)</f>
        <v>248.42</v>
      </c>
      <c r="F2078" s="1">
        <f ca="1">IFERROR(__xludf.DUMMYFUNCTION("""COMPUTED_VALUE"""),104654163)</f>
        <v>104654163</v>
      </c>
      <c r="G2078" s="5">
        <f t="shared" ca="1" si="96"/>
        <v>-4.0133644634087431E-2</v>
      </c>
      <c r="H2078" s="14">
        <f t="shared" si="97"/>
        <v>2024</v>
      </c>
      <c r="I2078" s="5">
        <f t="shared" ca="1" si="98"/>
        <v>-6.6378758797185902E-3</v>
      </c>
      <c r="J2078" s="16"/>
    </row>
    <row r="2079" spans="1:10" x14ac:dyDescent="0.2">
      <c r="A2079" s="3">
        <v>45294</v>
      </c>
      <c r="B2079" s="1">
        <f ca="1">IFERROR(__xludf.DUMMYFUNCTION("""COMPUTED_VALUE"""),244.98)</f>
        <v>244.98</v>
      </c>
      <c r="C2079" s="1">
        <f ca="1">IFERROR(__xludf.DUMMYFUNCTION("""COMPUTED_VALUE"""),245.68)</f>
        <v>245.68</v>
      </c>
      <c r="D2079" s="1">
        <f ca="1">IFERROR(__xludf.DUMMYFUNCTION("""COMPUTED_VALUE"""),236.32)</f>
        <v>236.32</v>
      </c>
      <c r="E2079" s="1">
        <f ca="1">IFERROR(__xludf.DUMMYFUNCTION("""COMPUTED_VALUE"""),238.45)</f>
        <v>238.45</v>
      </c>
      <c r="F2079" s="1">
        <f ca="1">IFERROR(__xludf.DUMMYFUNCTION("""COMPUTED_VALUE"""),121082599)</f>
        <v>121082599</v>
      </c>
      <c r="G2079" s="5">
        <f t="shared" ca="1" si="96"/>
        <v>-2.1807506814845116E-3</v>
      </c>
      <c r="H2079" s="14">
        <f t="shared" si="97"/>
        <v>2024</v>
      </c>
      <c r="I2079" s="5">
        <f t="shared" ca="1" si="98"/>
        <v>-2.6655237162217328E-2</v>
      </c>
      <c r="J2079" s="16"/>
    </row>
    <row r="2080" spans="1:10" x14ac:dyDescent="0.2">
      <c r="A2080" s="3">
        <v>45295</v>
      </c>
      <c r="B2080" s="1">
        <f ca="1">IFERROR(__xludf.DUMMYFUNCTION("""COMPUTED_VALUE"""),239.25)</f>
        <v>239.25</v>
      </c>
      <c r="C2080" s="1">
        <f ca="1">IFERROR(__xludf.DUMMYFUNCTION("""COMPUTED_VALUE"""),242.7)</f>
        <v>242.7</v>
      </c>
      <c r="D2080" s="1">
        <f ca="1">IFERROR(__xludf.DUMMYFUNCTION("""COMPUTED_VALUE"""),237.73)</f>
        <v>237.73</v>
      </c>
      <c r="E2080" s="1">
        <f ca="1">IFERROR(__xludf.DUMMYFUNCTION("""COMPUTED_VALUE"""),237.93)</f>
        <v>237.93</v>
      </c>
      <c r="F2080" s="1">
        <f ca="1">IFERROR(__xludf.DUMMYFUNCTION("""COMPUTED_VALUE"""),102629283)</f>
        <v>102629283</v>
      </c>
      <c r="G2080" s="5">
        <f t="shared" ca="1" si="96"/>
        <v>-1.8492834026814513E-3</v>
      </c>
      <c r="H2080" s="14">
        <f t="shared" si="97"/>
        <v>2024</v>
      </c>
      <c r="I2080" s="5">
        <f t="shared" ca="1" si="98"/>
        <v>-5.5172413793103166E-3</v>
      </c>
      <c r="J2080" s="16"/>
    </row>
    <row r="2081" spans="1:10" x14ac:dyDescent="0.2">
      <c r="A2081" s="3">
        <v>45296</v>
      </c>
      <c r="B2081" s="1">
        <f ca="1">IFERROR(__xludf.DUMMYFUNCTION("""COMPUTED_VALUE"""),236.86)</f>
        <v>236.86</v>
      </c>
      <c r="C2081" s="1">
        <f ca="1">IFERROR(__xludf.DUMMYFUNCTION("""COMPUTED_VALUE"""),240.12)</f>
        <v>240.12</v>
      </c>
      <c r="D2081" s="1">
        <f ca="1">IFERROR(__xludf.DUMMYFUNCTION("""COMPUTED_VALUE"""),234.9)</f>
        <v>234.9</v>
      </c>
      <c r="E2081" s="1">
        <f ca="1">IFERROR(__xludf.DUMMYFUNCTION("""COMPUTED_VALUE"""),237.49)</f>
        <v>237.49</v>
      </c>
      <c r="F2081" s="1">
        <f ca="1">IFERROR(__xludf.DUMMYFUNCTION("""COMPUTED_VALUE"""),92488939)</f>
        <v>92488939</v>
      </c>
      <c r="G2081" s="5">
        <f t="shared" ca="1" si="96"/>
        <v>1.2463682681375972E-2</v>
      </c>
      <c r="H2081" s="14">
        <f t="shared" si="97"/>
        <v>2024</v>
      </c>
      <c r="I2081" s="5">
        <f t="shared" ca="1" si="98"/>
        <v>2.6597990374060431E-3</v>
      </c>
      <c r="J2081" s="16"/>
    </row>
    <row r="2082" spans="1:10" x14ac:dyDescent="0.2">
      <c r="A2082" s="3">
        <v>45299</v>
      </c>
      <c r="B2082" s="1">
        <f ca="1">IFERROR(__xludf.DUMMYFUNCTION("""COMPUTED_VALUE"""),236.14)</f>
        <v>236.14</v>
      </c>
      <c r="C2082" s="1">
        <f ca="1">IFERROR(__xludf.DUMMYFUNCTION("""COMPUTED_VALUE"""),241.25)</f>
        <v>241.25</v>
      </c>
      <c r="D2082" s="1">
        <f ca="1">IFERROR(__xludf.DUMMYFUNCTION("""COMPUTED_VALUE"""),235.3)</f>
        <v>235.3</v>
      </c>
      <c r="E2082" s="1">
        <f ca="1">IFERROR(__xludf.DUMMYFUNCTION("""COMPUTED_VALUE"""),240.45)</f>
        <v>240.45</v>
      </c>
      <c r="F2082" s="1">
        <f ca="1">IFERROR(__xludf.DUMMYFUNCTION("""COMPUTED_VALUE"""),85166580)</f>
        <v>85166580</v>
      </c>
      <c r="G2082" s="5">
        <f t="shared" ca="1" si="96"/>
        <v>-2.2832189644416641E-2</v>
      </c>
      <c r="H2082" s="14">
        <f t="shared" si="97"/>
        <v>2024</v>
      </c>
      <c r="I2082" s="5">
        <f t="shared" ca="1" si="98"/>
        <v>1.8251884475311266E-2</v>
      </c>
      <c r="J2082" s="16"/>
    </row>
    <row r="2083" spans="1:10" x14ac:dyDescent="0.2">
      <c r="A2083" s="3">
        <v>45300</v>
      </c>
      <c r="B2083" s="1">
        <f ca="1">IFERROR(__xludf.DUMMYFUNCTION("""COMPUTED_VALUE"""),238.11)</f>
        <v>238.11</v>
      </c>
      <c r="C2083" s="1">
        <f ca="1">IFERROR(__xludf.DUMMYFUNCTION("""COMPUTED_VALUE"""),238.96)</f>
        <v>238.96</v>
      </c>
      <c r="D2083" s="1">
        <f ca="1">IFERROR(__xludf.DUMMYFUNCTION("""COMPUTED_VALUE"""),232.04)</f>
        <v>232.04</v>
      </c>
      <c r="E2083" s="1">
        <f ca="1">IFERROR(__xludf.DUMMYFUNCTION("""COMPUTED_VALUE"""),234.96)</f>
        <v>234.96</v>
      </c>
      <c r="F2083" s="1">
        <f ca="1">IFERROR(__xludf.DUMMYFUNCTION("""COMPUTED_VALUE"""),96705664)</f>
        <v>96705664</v>
      </c>
      <c r="G2083" s="5">
        <f t="shared" ca="1" si="96"/>
        <v>-4.3411644535240471E-3</v>
      </c>
      <c r="H2083" s="14">
        <f t="shared" si="97"/>
        <v>2024</v>
      </c>
      <c r="I2083" s="5">
        <f t="shared" ca="1" si="98"/>
        <v>-1.322917979085299E-2</v>
      </c>
      <c r="J2083" s="16"/>
    </row>
    <row r="2084" spans="1:10" x14ac:dyDescent="0.2">
      <c r="A2084" s="3">
        <v>45301</v>
      </c>
      <c r="B2084" s="1">
        <f ca="1">IFERROR(__xludf.DUMMYFUNCTION("""COMPUTED_VALUE"""),235.1)</f>
        <v>235.1</v>
      </c>
      <c r="C2084" s="1">
        <f ca="1">IFERROR(__xludf.DUMMYFUNCTION("""COMPUTED_VALUE"""),235.5)</f>
        <v>235.5</v>
      </c>
      <c r="D2084" s="1">
        <f ca="1">IFERROR(__xludf.DUMMYFUNCTION("""COMPUTED_VALUE"""),231.29)</f>
        <v>231.29</v>
      </c>
      <c r="E2084" s="1">
        <f ca="1">IFERROR(__xludf.DUMMYFUNCTION("""COMPUTED_VALUE"""),233.94)</f>
        <v>233.94</v>
      </c>
      <c r="F2084" s="1">
        <f ca="1">IFERROR(__xludf.DUMMYFUNCTION("""COMPUTED_VALUE"""),91628502)</f>
        <v>91628502</v>
      </c>
      <c r="G2084" s="5">
        <f t="shared" ca="1" si="96"/>
        <v>-2.8725314183123872E-2</v>
      </c>
      <c r="H2084" s="14">
        <f t="shared" si="97"/>
        <v>2024</v>
      </c>
      <c r="I2084" s="5">
        <f t="shared" ca="1" si="98"/>
        <v>-4.9340706082517932E-3</v>
      </c>
      <c r="J2084" s="16"/>
    </row>
    <row r="2085" spans="1:10" x14ac:dyDescent="0.2">
      <c r="A2085" s="3">
        <v>45302</v>
      </c>
      <c r="B2085" s="1">
        <f ca="1">IFERROR(__xludf.DUMMYFUNCTION("""COMPUTED_VALUE"""),230.57)</f>
        <v>230.57</v>
      </c>
      <c r="C2085" s="1">
        <f ca="1">IFERROR(__xludf.DUMMYFUNCTION("""COMPUTED_VALUE"""),230.93)</f>
        <v>230.93</v>
      </c>
      <c r="D2085" s="1">
        <f ca="1">IFERROR(__xludf.DUMMYFUNCTION("""COMPUTED_VALUE"""),225.37)</f>
        <v>225.37</v>
      </c>
      <c r="E2085" s="1">
        <f ca="1">IFERROR(__xludf.DUMMYFUNCTION("""COMPUTED_VALUE"""),227.22)</f>
        <v>227.22</v>
      </c>
      <c r="F2085" s="1">
        <f ca="1">IFERROR(__xludf.DUMMYFUNCTION("""COMPUTED_VALUE"""),105873612)</f>
        <v>105873612</v>
      </c>
      <c r="G2085" s="5">
        <f t="shared" ca="1" si="96"/>
        <v>-3.6660505237215091E-2</v>
      </c>
      <c r="H2085" s="14">
        <f t="shared" si="97"/>
        <v>2024</v>
      </c>
      <c r="I2085" s="5">
        <f t="shared" ca="1" si="98"/>
        <v>-1.4529210218154983E-2</v>
      </c>
      <c r="J2085" s="16"/>
    </row>
    <row r="2086" spans="1:10" x14ac:dyDescent="0.2">
      <c r="A2086" s="3">
        <v>45303</v>
      </c>
      <c r="B2086" s="1">
        <f ca="1">IFERROR(__xludf.DUMMYFUNCTION("""COMPUTED_VALUE"""),220.08)</f>
        <v>220.08</v>
      </c>
      <c r="C2086" s="1">
        <f ca="1">IFERROR(__xludf.DUMMYFUNCTION("""COMPUTED_VALUE"""),225.34)</f>
        <v>225.34</v>
      </c>
      <c r="D2086" s="1">
        <f ca="1">IFERROR(__xludf.DUMMYFUNCTION("""COMPUTED_VALUE"""),217.15)</f>
        <v>217.15</v>
      </c>
      <c r="E2086" s="1">
        <f ca="1">IFERROR(__xludf.DUMMYFUNCTION("""COMPUTED_VALUE"""),218.89)</f>
        <v>218.89</v>
      </c>
      <c r="F2086" s="1">
        <f ca="1">IFERROR(__xludf.DUMMYFUNCTION("""COMPUTED_VALUE"""),123043812)</f>
        <v>123043812</v>
      </c>
      <c r="G2086" s="5">
        <f t="shared" ca="1" si="96"/>
        <v>4.6598748229704891E-3</v>
      </c>
      <c r="H2086" s="14">
        <f t="shared" si="97"/>
        <v>2024</v>
      </c>
      <c r="I2086" s="5">
        <f t="shared" ca="1" si="98"/>
        <v>-5.4071246819339608E-3</v>
      </c>
      <c r="J2086" s="16"/>
    </row>
    <row r="2087" spans="1:10" x14ac:dyDescent="0.2">
      <c r="A2087" s="3">
        <v>45307</v>
      </c>
      <c r="B2087" s="1">
        <f ca="1">IFERROR(__xludf.DUMMYFUNCTION("""COMPUTED_VALUE"""),215.1)</f>
        <v>215.1</v>
      </c>
      <c r="C2087" s="1">
        <f ca="1">IFERROR(__xludf.DUMMYFUNCTION("""COMPUTED_VALUE"""),223.49)</f>
        <v>223.49</v>
      </c>
      <c r="D2087" s="1">
        <f ca="1">IFERROR(__xludf.DUMMYFUNCTION("""COMPUTED_VALUE"""),212.18)</f>
        <v>212.18</v>
      </c>
      <c r="E2087" s="1">
        <f ca="1">IFERROR(__xludf.DUMMYFUNCTION("""COMPUTED_VALUE"""),219.91)</f>
        <v>219.91</v>
      </c>
      <c r="F2087" s="1">
        <f ca="1">IFERROR(__xludf.DUMMYFUNCTION("""COMPUTED_VALUE"""),115355046)</f>
        <v>115355046</v>
      </c>
      <c r="G2087" s="5">
        <f t="shared" ca="1" si="96"/>
        <v>-1.9826292574234846E-2</v>
      </c>
      <c r="H2087" s="14">
        <f t="shared" si="97"/>
        <v>2024</v>
      </c>
      <c r="I2087" s="5">
        <f t="shared" ca="1" si="98"/>
        <v>2.2361692236169236E-2</v>
      </c>
      <c r="J2087" s="16"/>
    </row>
    <row r="2088" spans="1:10" x14ac:dyDescent="0.2">
      <c r="A2088" s="3">
        <v>45308</v>
      </c>
      <c r="B2088" s="1">
        <f ca="1">IFERROR(__xludf.DUMMYFUNCTION("""COMPUTED_VALUE"""),214.86)</f>
        <v>214.86</v>
      </c>
      <c r="C2088" s="1">
        <f ca="1">IFERROR(__xludf.DUMMYFUNCTION("""COMPUTED_VALUE"""),215.67)</f>
        <v>215.67</v>
      </c>
      <c r="D2088" s="1">
        <f ca="1">IFERROR(__xludf.DUMMYFUNCTION("""COMPUTED_VALUE"""),212.01)</f>
        <v>212.01</v>
      </c>
      <c r="E2088" s="1">
        <f ca="1">IFERROR(__xludf.DUMMYFUNCTION("""COMPUTED_VALUE"""),215.55)</f>
        <v>215.55</v>
      </c>
      <c r="F2088" s="1">
        <f ca="1">IFERROR(__xludf.DUMMYFUNCTION("""COMPUTED_VALUE"""),103164400)</f>
        <v>103164400</v>
      </c>
      <c r="G2088" s="5">
        <f t="shared" ca="1" si="96"/>
        <v>-1.7026212015773676E-2</v>
      </c>
      <c r="H2088" s="14">
        <f t="shared" si="97"/>
        <v>2024</v>
      </c>
      <c r="I2088" s="5">
        <f t="shared" ca="1" si="98"/>
        <v>3.2113934655124158E-3</v>
      </c>
      <c r="J2088" s="16"/>
    </row>
    <row r="2089" spans="1:10" x14ac:dyDescent="0.2">
      <c r="A2089" s="3">
        <v>45309</v>
      </c>
      <c r="B2089" s="1">
        <f ca="1">IFERROR(__xludf.DUMMYFUNCTION("""COMPUTED_VALUE"""),216.88)</f>
        <v>216.88</v>
      </c>
      <c r="C2089" s="1">
        <f ca="1">IFERROR(__xludf.DUMMYFUNCTION("""COMPUTED_VALUE"""),217.45)</f>
        <v>217.45</v>
      </c>
      <c r="D2089" s="1">
        <f ca="1">IFERROR(__xludf.DUMMYFUNCTION("""COMPUTED_VALUE"""),208.74)</f>
        <v>208.74</v>
      </c>
      <c r="E2089" s="1">
        <f ca="1">IFERROR(__xludf.DUMMYFUNCTION("""COMPUTED_VALUE"""),211.88)</f>
        <v>211.88</v>
      </c>
      <c r="F2089" s="1">
        <f ca="1">IFERROR(__xludf.DUMMYFUNCTION("""COMPUTED_VALUE"""),108595431)</f>
        <v>108595431</v>
      </c>
      <c r="G2089" s="5">
        <f t="shared" ca="1" si="96"/>
        <v>1.4630923164055233E-3</v>
      </c>
      <c r="H2089" s="14">
        <f t="shared" si="97"/>
        <v>2024</v>
      </c>
      <c r="I2089" s="5">
        <f t="shared" ca="1" si="98"/>
        <v>-2.3054223533751382E-2</v>
      </c>
      <c r="J2089" s="16"/>
    </row>
    <row r="2090" spans="1:10" x14ac:dyDescent="0.2">
      <c r="A2090" s="3">
        <v>45310</v>
      </c>
      <c r="B2090" s="1">
        <f ca="1">IFERROR(__xludf.DUMMYFUNCTION("""COMPUTED_VALUE"""),209.99)</f>
        <v>209.99</v>
      </c>
      <c r="C2090" s="1">
        <f ca="1">IFERROR(__xludf.DUMMYFUNCTION("""COMPUTED_VALUE"""),213.19)</f>
        <v>213.19</v>
      </c>
      <c r="D2090" s="1">
        <f ca="1">IFERROR(__xludf.DUMMYFUNCTION("""COMPUTED_VALUE"""),207.56)</f>
        <v>207.56</v>
      </c>
      <c r="E2090" s="1">
        <f ca="1">IFERROR(__xludf.DUMMYFUNCTION("""COMPUTED_VALUE"""),212.19)</f>
        <v>212.19</v>
      </c>
      <c r="F2090" s="1">
        <f ca="1">IFERROR(__xludf.DUMMYFUNCTION("""COMPUTED_VALUE"""),102260343)</f>
        <v>102260343</v>
      </c>
      <c r="G2090" s="5">
        <f t="shared" ca="1" si="96"/>
        <v>-1.5976247702530685E-2</v>
      </c>
      <c r="H2090" s="14">
        <f t="shared" si="97"/>
        <v>2024</v>
      </c>
      <c r="I2090" s="5">
        <f t="shared" ca="1" si="98"/>
        <v>1.0476689366160238E-2</v>
      </c>
      <c r="J2090" s="16"/>
    </row>
    <row r="2091" spans="1:10" x14ac:dyDescent="0.2">
      <c r="A2091" s="3">
        <v>45313</v>
      </c>
      <c r="B2091" s="1">
        <f ca="1">IFERROR(__xludf.DUMMYFUNCTION("""COMPUTED_VALUE"""),212.26)</f>
        <v>212.26</v>
      </c>
      <c r="C2091" s="1">
        <f ca="1">IFERROR(__xludf.DUMMYFUNCTION("""COMPUTED_VALUE"""),217.8)</f>
        <v>217.8</v>
      </c>
      <c r="D2091" s="1">
        <f ca="1">IFERROR(__xludf.DUMMYFUNCTION("""COMPUTED_VALUE"""),206.27)</f>
        <v>206.27</v>
      </c>
      <c r="E2091" s="1">
        <f ca="1">IFERROR(__xludf.DUMMYFUNCTION("""COMPUTED_VALUE"""),208.8)</f>
        <v>208.8</v>
      </c>
      <c r="F2091" s="1">
        <f ca="1">IFERROR(__xludf.DUMMYFUNCTION("""COMPUTED_VALUE"""),117952527)</f>
        <v>117952527</v>
      </c>
      <c r="G2091" s="5">
        <f t="shared" ca="1" si="96"/>
        <v>1.6283524904213361E-3</v>
      </c>
      <c r="H2091" s="14">
        <f t="shared" si="97"/>
        <v>2024</v>
      </c>
      <c r="I2091" s="5">
        <f t="shared" ca="1" si="98"/>
        <v>-1.6300763214924997E-2</v>
      </c>
      <c r="J2091" s="16"/>
    </row>
    <row r="2092" spans="1:10" x14ac:dyDescent="0.2">
      <c r="A2092" s="3">
        <v>45314</v>
      </c>
      <c r="B2092" s="1">
        <f ca="1">IFERROR(__xludf.DUMMYFUNCTION("""COMPUTED_VALUE"""),211.3)</f>
        <v>211.3</v>
      </c>
      <c r="C2092" s="1">
        <f ca="1">IFERROR(__xludf.DUMMYFUNCTION("""COMPUTED_VALUE"""),215.65)</f>
        <v>215.65</v>
      </c>
      <c r="D2092" s="1">
        <f ca="1">IFERROR(__xludf.DUMMYFUNCTION("""COMPUTED_VALUE"""),207.75)</f>
        <v>207.75</v>
      </c>
      <c r="E2092" s="1">
        <f ca="1">IFERROR(__xludf.DUMMYFUNCTION("""COMPUTED_VALUE"""),209.14)</f>
        <v>209.14</v>
      </c>
      <c r="F2092" s="1">
        <f ca="1">IFERROR(__xludf.DUMMYFUNCTION("""COMPUTED_VALUE"""),106605946)</f>
        <v>106605946</v>
      </c>
      <c r="G2092" s="5">
        <f t="shared" ca="1" si="96"/>
        <v>-6.2637467724967677E-3</v>
      </c>
      <c r="H2092" s="14">
        <f t="shared" si="97"/>
        <v>2024</v>
      </c>
      <c r="I2092" s="5">
        <f t="shared" ca="1" si="98"/>
        <v>-1.0222432560340866E-2</v>
      </c>
      <c r="J2092" s="16"/>
    </row>
    <row r="2093" spans="1:10" x14ac:dyDescent="0.2">
      <c r="A2093" s="3">
        <v>45315</v>
      </c>
      <c r="B2093" s="1">
        <f ca="1">IFERROR(__xludf.DUMMYFUNCTION("""COMPUTED_VALUE"""),211.88)</f>
        <v>211.88</v>
      </c>
      <c r="C2093" s="1">
        <f ca="1">IFERROR(__xludf.DUMMYFUNCTION("""COMPUTED_VALUE"""),212.73)</f>
        <v>212.73</v>
      </c>
      <c r="D2093" s="1">
        <f ca="1">IFERROR(__xludf.DUMMYFUNCTION("""COMPUTED_VALUE"""),206.77)</f>
        <v>206.77</v>
      </c>
      <c r="E2093" s="1">
        <f ca="1">IFERROR(__xludf.DUMMYFUNCTION("""COMPUTED_VALUE"""),207.83)</f>
        <v>207.83</v>
      </c>
      <c r="F2093" s="1">
        <f ca="1">IFERROR(__xludf.DUMMYFUNCTION("""COMPUTED_VALUE"""),123369932)</f>
        <v>123369932</v>
      </c>
      <c r="G2093" s="5">
        <f t="shared" ca="1" si="96"/>
        <v>-0.12125294712024258</v>
      </c>
      <c r="H2093" s="14">
        <f t="shared" si="97"/>
        <v>2024</v>
      </c>
      <c r="I2093" s="5">
        <f t="shared" ca="1" si="98"/>
        <v>-1.9114593165942908E-2</v>
      </c>
      <c r="J2093" s="16"/>
    </row>
    <row r="2094" spans="1:10" x14ac:dyDescent="0.2">
      <c r="A2094" s="3">
        <v>45316</v>
      </c>
      <c r="B2094" s="1">
        <f ca="1">IFERROR(__xludf.DUMMYFUNCTION("""COMPUTED_VALUE"""),189.7)</f>
        <v>189.7</v>
      </c>
      <c r="C2094" s="1">
        <f ca="1">IFERROR(__xludf.DUMMYFUNCTION("""COMPUTED_VALUE"""),193)</f>
        <v>193</v>
      </c>
      <c r="D2094" s="1">
        <f ca="1">IFERROR(__xludf.DUMMYFUNCTION("""COMPUTED_VALUE"""),180.06)</f>
        <v>180.06</v>
      </c>
      <c r="E2094" s="1">
        <f ca="1">IFERROR(__xludf.DUMMYFUNCTION("""COMPUTED_VALUE"""),182.63)</f>
        <v>182.63</v>
      </c>
      <c r="F2094" s="1">
        <f ca="1">IFERROR(__xludf.DUMMYFUNCTION("""COMPUTED_VALUE"""),198076787)</f>
        <v>198076787</v>
      </c>
      <c r="G2094" s="5">
        <f t="shared" ca="1" si="96"/>
        <v>3.3948420303345811E-3</v>
      </c>
      <c r="H2094" s="14">
        <f t="shared" si="97"/>
        <v>2024</v>
      </c>
      <c r="I2094" s="5">
        <f t="shared" ca="1" si="98"/>
        <v>-3.7269372693726904E-2</v>
      </c>
      <c r="J2094" s="16"/>
    </row>
    <row r="2095" spans="1:10" x14ac:dyDescent="0.2">
      <c r="A2095" s="3">
        <v>45317</v>
      </c>
      <c r="B2095" s="1">
        <f ca="1">IFERROR(__xludf.DUMMYFUNCTION("""COMPUTED_VALUE"""),185.5)</f>
        <v>185.5</v>
      </c>
      <c r="C2095" s="1">
        <f ca="1">IFERROR(__xludf.DUMMYFUNCTION("""COMPUTED_VALUE"""),186.78)</f>
        <v>186.78</v>
      </c>
      <c r="D2095" s="1">
        <f ca="1">IFERROR(__xludf.DUMMYFUNCTION("""COMPUTED_VALUE"""),182.1)</f>
        <v>182.1</v>
      </c>
      <c r="E2095" s="1">
        <f ca="1">IFERROR(__xludf.DUMMYFUNCTION("""COMPUTED_VALUE"""),183.25)</f>
        <v>183.25</v>
      </c>
      <c r="F2095" s="1">
        <f ca="1">IFERROR(__xludf.DUMMYFUNCTION("""COMPUTED_VALUE"""),107343231)</f>
        <v>107343231</v>
      </c>
      <c r="G2095" s="5">
        <f t="shared" ca="1" si="96"/>
        <v>4.190995907230563E-2</v>
      </c>
      <c r="H2095" s="14">
        <f t="shared" si="97"/>
        <v>2024</v>
      </c>
      <c r="I2095" s="5">
        <f t="shared" ca="1" si="98"/>
        <v>-1.2129380053908356E-2</v>
      </c>
      <c r="J2095" s="16"/>
    </row>
    <row r="2096" spans="1:10" x14ac:dyDescent="0.2">
      <c r="A2096" s="3">
        <v>45320</v>
      </c>
      <c r="B2096" s="1">
        <f ca="1">IFERROR(__xludf.DUMMYFUNCTION("""COMPUTED_VALUE"""),185.63)</f>
        <v>185.63</v>
      </c>
      <c r="C2096" s="1">
        <f ca="1">IFERROR(__xludf.DUMMYFUNCTION("""COMPUTED_VALUE"""),191.48)</f>
        <v>191.48</v>
      </c>
      <c r="D2096" s="1">
        <f ca="1">IFERROR(__xludf.DUMMYFUNCTION("""COMPUTED_VALUE"""),183.67)</f>
        <v>183.67</v>
      </c>
      <c r="E2096" s="1">
        <f ca="1">IFERROR(__xludf.DUMMYFUNCTION("""COMPUTED_VALUE"""),190.93)</f>
        <v>190.93</v>
      </c>
      <c r="F2096" s="1">
        <f ca="1">IFERROR(__xludf.DUMMYFUNCTION("""COMPUTED_VALUE"""),125013148)</f>
        <v>125013148</v>
      </c>
      <c r="G2096" s="5">
        <f t="shared" ca="1" si="96"/>
        <v>3.4567642591525512E-3</v>
      </c>
      <c r="H2096" s="14">
        <f t="shared" si="97"/>
        <v>2024</v>
      </c>
      <c r="I2096" s="5">
        <f t="shared" ca="1" si="98"/>
        <v>2.8551419490384158E-2</v>
      </c>
      <c r="J2096" s="16"/>
    </row>
    <row r="2097" spans="1:10" x14ac:dyDescent="0.2">
      <c r="A2097" s="3">
        <v>45321</v>
      </c>
      <c r="B2097" s="1">
        <f ca="1">IFERROR(__xludf.DUMMYFUNCTION("""COMPUTED_VALUE"""),195.33)</f>
        <v>195.33</v>
      </c>
      <c r="C2097" s="1">
        <f ca="1">IFERROR(__xludf.DUMMYFUNCTION("""COMPUTED_VALUE"""),196.36)</f>
        <v>196.36</v>
      </c>
      <c r="D2097" s="1">
        <f ca="1">IFERROR(__xludf.DUMMYFUNCTION("""COMPUTED_VALUE"""),190.61)</f>
        <v>190.61</v>
      </c>
      <c r="E2097" s="1">
        <f ca="1">IFERROR(__xludf.DUMMYFUNCTION("""COMPUTED_VALUE"""),191.59)</f>
        <v>191.59</v>
      </c>
      <c r="F2097" s="1">
        <f ca="1">IFERROR(__xludf.DUMMYFUNCTION("""COMPUTED_VALUE"""),109982327)</f>
        <v>109982327</v>
      </c>
      <c r="G2097" s="5">
        <f t="shared" ca="1" si="96"/>
        <v>-2.2443760112740806E-2</v>
      </c>
      <c r="H2097" s="14">
        <f t="shared" si="97"/>
        <v>2024</v>
      </c>
      <c r="I2097" s="5">
        <f t="shared" ca="1" si="98"/>
        <v>-1.9147084421235902E-2</v>
      </c>
      <c r="J2097" s="16"/>
    </row>
    <row r="2098" spans="1:10" x14ac:dyDescent="0.2">
      <c r="A2098" s="3">
        <v>45322</v>
      </c>
      <c r="B2098" s="1">
        <f ca="1">IFERROR(__xludf.DUMMYFUNCTION("""COMPUTED_VALUE"""),187)</f>
        <v>187</v>
      </c>
      <c r="C2098" s="1">
        <f ca="1">IFERROR(__xludf.DUMMYFUNCTION("""COMPUTED_VALUE"""),193.97)</f>
        <v>193.97</v>
      </c>
      <c r="D2098" s="1">
        <f ca="1">IFERROR(__xludf.DUMMYFUNCTION("""COMPUTED_VALUE"""),185.85)</f>
        <v>185.85</v>
      </c>
      <c r="E2098" s="1">
        <f ca="1">IFERROR(__xludf.DUMMYFUNCTION("""COMPUTED_VALUE"""),187.29)</f>
        <v>187.29</v>
      </c>
      <c r="F2098" s="1">
        <f ca="1">IFERROR(__xludf.DUMMYFUNCTION("""COMPUTED_VALUE"""),103221430)</f>
        <v>103221430</v>
      </c>
      <c r="G2098" s="5">
        <f t="shared" ca="1" si="96"/>
        <v>8.3827219819532367E-3</v>
      </c>
      <c r="H2098" s="14">
        <f t="shared" si="97"/>
        <v>2024</v>
      </c>
      <c r="I2098" s="5">
        <f t="shared" ca="1" si="98"/>
        <v>1.5508021390373905E-3</v>
      </c>
      <c r="J2098" s="16"/>
    </row>
    <row r="2099" spans="1:10" x14ac:dyDescent="0.2">
      <c r="A2099" s="3">
        <v>45323</v>
      </c>
      <c r="B2099" s="1">
        <f ca="1">IFERROR(__xludf.DUMMYFUNCTION("""COMPUTED_VALUE"""),188.5)</f>
        <v>188.5</v>
      </c>
      <c r="C2099" s="1">
        <f ca="1">IFERROR(__xludf.DUMMYFUNCTION("""COMPUTED_VALUE"""),189.88)</f>
        <v>189.88</v>
      </c>
      <c r="D2099" s="1">
        <f ca="1">IFERROR(__xludf.DUMMYFUNCTION("""COMPUTED_VALUE"""),184.28)</f>
        <v>184.28</v>
      </c>
      <c r="E2099" s="1">
        <f ca="1">IFERROR(__xludf.DUMMYFUNCTION("""COMPUTED_VALUE"""),188.86)</f>
        <v>188.86</v>
      </c>
      <c r="F2099" s="1">
        <f ca="1">IFERROR(__xludf.DUMMYFUNCTION("""COMPUTED_VALUE"""),91843275)</f>
        <v>91843275</v>
      </c>
      <c r="G2099" s="5">
        <f t="shared" ca="1" si="96"/>
        <v>-5.0301810865192049E-3</v>
      </c>
      <c r="H2099" s="14">
        <f t="shared" si="97"/>
        <v>2024</v>
      </c>
      <c r="I2099" s="5">
        <f t="shared" ca="1" si="98"/>
        <v>1.9098143236074994E-3</v>
      </c>
      <c r="J2099" s="16"/>
    </row>
    <row r="2100" spans="1:10" x14ac:dyDescent="0.2">
      <c r="A2100" s="3">
        <v>45324</v>
      </c>
      <c r="B2100" s="1">
        <f ca="1">IFERROR(__xludf.DUMMYFUNCTION("""COMPUTED_VALUE"""),185.04)</f>
        <v>185.04</v>
      </c>
      <c r="C2100" s="1">
        <f ca="1">IFERROR(__xludf.DUMMYFUNCTION("""COMPUTED_VALUE"""),188.69)</f>
        <v>188.69</v>
      </c>
      <c r="D2100" s="1">
        <f ca="1">IFERROR(__xludf.DUMMYFUNCTION("""COMPUTED_VALUE"""),182)</f>
        <v>182</v>
      </c>
      <c r="E2100" s="1">
        <f ca="1">IFERROR(__xludf.DUMMYFUNCTION("""COMPUTED_VALUE"""),187.91)</f>
        <v>187.91</v>
      </c>
      <c r="F2100" s="1">
        <f ca="1">IFERROR(__xludf.DUMMYFUNCTION("""COMPUTED_VALUE"""),110612672)</f>
        <v>110612672</v>
      </c>
      <c r="G2100" s="5">
        <f t="shared" ca="1" si="96"/>
        <v>-3.6453621414506913E-2</v>
      </c>
      <c r="H2100" s="14">
        <f t="shared" si="97"/>
        <v>2024</v>
      </c>
      <c r="I2100" s="5">
        <f t="shared" ca="1" si="98"/>
        <v>1.5510159965412908E-2</v>
      </c>
      <c r="J2100" s="16"/>
    </row>
    <row r="2101" spans="1:10" x14ac:dyDescent="0.2">
      <c r="A2101" s="3">
        <v>45327</v>
      </c>
      <c r="B2101" s="1">
        <f ca="1">IFERROR(__xludf.DUMMYFUNCTION("""COMPUTED_VALUE"""),184.26)</f>
        <v>184.26</v>
      </c>
      <c r="C2101" s="1">
        <f ca="1">IFERROR(__xludf.DUMMYFUNCTION("""COMPUTED_VALUE"""),184.68)</f>
        <v>184.68</v>
      </c>
      <c r="D2101" s="1">
        <f ca="1">IFERROR(__xludf.DUMMYFUNCTION("""COMPUTED_VALUE"""),175.01)</f>
        <v>175.01</v>
      </c>
      <c r="E2101" s="1">
        <f ca="1">IFERROR(__xludf.DUMMYFUNCTION("""COMPUTED_VALUE"""),181.06)</f>
        <v>181.06</v>
      </c>
      <c r="F2101" s="1">
        <f ca="1">IFERROR(__xludf.DUMMYFUNCTION("""COMPUTED_VALUE"""),134294447)</f>
        <v>134294447</v>
      </c>
      <c r="G2101" s="5">
        <f t="shared" ca="1" si="96"/>
        <v>2.2313045399315098E-2</v>
      </c>
      <c r="H2101" s="14">
        <f t="shared" si="97"/>
        <v>2024</v>
      </c>
      <c r="I2101" s="5">
        <f t="shared" ca="1" si="98"/>
        <v>-1.73667643547161E-2</v>
      </c>
      <c r="J2101" s="16"/>
    </row>
    <row r="2102" spans="1:10" x14ac:dyDescent="0.2">
      <c r="A2102" s="3">
        <v>45328</v>
      </c>
      <c r="B2102" s="1">
        <f ca="1">IFERROR(__xludf.DUMMYFUNCTION("""COMPUTED_VALUE"""),177.21)</f>
        <v>177.21</v>
      </c>
      <c r="C2102" s="1">
        <f ca="1">IFERROR(__xludf.DUMMYFUNCTION("""COMPUTED_VALUE"""),186.49)</f>
        <v>186.49</v>
      </c>
      <c r="D2102" s="1">
        <f ca="1">IFERROR(__xludf.DUMMYFUNCTION("""COMPUTED_VALUE"""),177.11)</f>
        <v>177.11</v>
      </c>
      <c r="E2102" s="1">
        <f ca="1">IFERROR(__xludf.DUMMYFUNCTION("""COMPUTED_VALUE"""),185.1)</f>
        <v>185.1</v>
      </c>
      <c r="F2102" s="1">
        <f ca="1">IFERROR(__xludf.DUMMYFUNCTION("""COMPUTED_VALUE"""),122675954)</f>
        <v>122675954</v>
      </c>
      <c r="G2102" s="5">
        <f t="shared" ca="1" si="96"/>
        <v>1.3398163155051422E-2</v>
      </c>
      <c r="H2102" s="14">
        <f t="shared" si="97"/>
        <v>2024</v>
      </c>
      <c r="I2102" s="5">
        <f t="shared" ca="1" si="98"/>
        <v>4.4523446758083549E-2</v>
      </c>
      <c r="J2102" s="16"/>
    </row>
    <row r="2103" spans="1:10" x14ac:dyDescent="0.2">
      <c r="A2103" s="3">
        <v>45329</v>
      </c>
      <c r="B2103" s="1">
        <f ca="1">IFERROR(__xludf.DUMMYFUNCTION("""COMPUTED_VALUE"""),188.18)</f>
        <v>188.18</v>
      </c>
      <c r="C2103" s="1">
        <f ca="1">IFERROR(__xludf.DUMMYFUNCTION("""COMPUTED_VALUE"""),189.79)</f>
        <v>189.79</v>
      </c>
      <c r="D2103" s="1">
        <f ca="1">IFERROR(__xludf.DUMMYFUNCTION("""COMPUTED_VALUE"""),182.68)</f>
        <v>182.68</v>
      </c>
      <c r="E2103" s="1">
        <f ca="1">IFERROR(__xludf.DUMMYFUNCTION("""COMPUTED_VALUE"""),187.58)</f>
        <v>187.58</v>
      </c>
      <c r="F2103" s="1">
        <f ca="1">IFERROR(__xludf.DUMMYFUNCTION("""COMPUTED_VALUE"""),111535217)</f>
        <v>111535217</v>
      </c>
      <c r="G2103" s="5">
        <f t="shared" ca="1" si="96"/>
        <v>1.0555496321569409E-2</v>
      </c>
      <c r="H2103" s="14">
        <f t="shared" si="97"/>
        <v>2024</v>
      </c>
      <c r="I2103" s="5">
        <f t="shared" ca="1" si="98"/>
        <v>-3.188436603252175E-3</v>
      </c>
      <c r="J2103" s="16"/>
    </row>
    <row r="2104" spans="1:10" x14ac:dyDescent="0.2">
      <c r="A2104" s="3">
        <v>45330</v>
      </c>
      <c r="B2104" s="1">
        <f ca="1">IFERROR(__xludf.DUMMYFUNCTION("""COMPUTED_VALUE"""),189)</f>
        <v>189</v>
      </c>
      <c r="C2104" s="1">
        <f ca="1">IFERROR(__xludf.DUMMYFUNCTION("""COMPUTED_VALUE"""),191.62)</f>
        <v>191.62</v>
      </c>
      <c r="D2104" s="1">
        <f ca="1">IFERROR(__xludf.DUMMYFUNCTION("""COMPUTED_VALUE"""),185.58)</f>
        <v>185.58</v>
      </c>
      <c r="E2104" s="1">
        <f ca="1">IFERROR(__xludf.DUMMYFUNCTION("""COMPUTED_VALUE"""),189.56)</f>
        <v>189.56</v>
      </c>
      <c r="F2104" s="1">
        <f ca="1">IFERROR(__xludf.DUMMYFUNCTION("""COMPUTED_VALUE"""),83034043)</f>
        <v>83034043</v>
      </c>
      <c r="G2104" s="5">
        <f t="shared" ca="1" si="96"/>
        <v>2.1154251951888536E-2</v>
      </c>
      <c r="H2104" s="14">
        <f t="shared" si="97"/>
        <v>2024</v>
      </c>
      <c r="I2104" s="5">
        <f t="shared" ca="1" si="98"/>
        <v>2.962962962962975E-3</v>
      </c>
      <c r="J2104" s="16"/>
    </row>
    <row r="2105" spans="1:10" x14ac:dyDescent="0.2">
      <c r="A2105" s="3">
        <v>45331</v>
      </c>
      <c r="B2105" s="1">
        <f ca="1">IFERROR(__xludf.DUMMYFUNCTION("""COMPUTED_VALUE"""),190.18)</f>
        <v>190.18</v>
      </c>
      <c r="C2105" s="1">
        <f ca="1">IFERROR(__xludf.DUMMYFUNCTION("""COMPUTED_VALUE"""),194.12)</f>
        <v>194.12</v>
      </c>
      <c r="D2105" s="1">
        <f ca="1">IFERROR(__xludf.DUMMYFUNCTION("""COMPUTED_VALUE"""),189.48)</f>
        <v>189.48</v>
      </c>
      <c r="E2105" s="1">
        <f ca="1">IFERROR(__xludf.DUMMYFUNCTION("""COMPUTED_VALUE"""),193.57)</f>
        <v>193.57</v>
      </c>
      <c r="F2105" s="1">
        <f ca="1">IFERROR(__xludf.DUMMYFUNCTION("""COMPUTED_VALUE"""),84476347)</f>
        <v>84476347</v>
      </c>
      <c r="G2105" s="5">
        <f t="shared" ca="1" si="96"/>
        <v>-2.8103528439324264E-2</v>
      </c>
      <c r="H2105" s="14">
        <f t="shared" si="97"/>
        <v>2024</v>
      </c>
      <c r="I2105" s="5">
        <f t="shared" ca="1" si="98"/>
        <v>1.7825218214323202E-2</v>
      </c>
      <c r="J2105" s="16"/>
    </row>
    <row r="2106" spans="1:10" x14ac:dyDescent="0.2">
      <c r="A2106" s="3">
        <v>45334</v>
      </c>
      <c r="B2106" s="1">
        <f ca="1">IFERROR(__xludf.DUMMYFUNCTION("""COMPUTED_VALUE"""),192.11)</f>
        <v>192.11</v>
      </c>
      <c r="C2106" s="1">
        <f ca="1">IFERROR(__xludf.DUMMYFUNCTION("""COMPUTED_VALUE"""),194.73)</f>
        <v>194.73</v>
      </c>
      <c r="D2106" s="1">
        <f ca="1">IFERROR(__xludf.DUMMYFUNCTION("""COMPUTED_VALUE"""),187.28)</f>
        <v>187.28</v>
      </c>
      <c r="E2106" s="1">
        <f ca="1">IFERROR(__xludf.DUMMYFUNCTION("""COMPUTED_VALUE"""),188.13)</f>
        <v>188.13</v>
      </c>
      <c r="F2106" s="1">
        <f ca="1">IFERROR(__xludf.DUMMYFUNCTION("""COMPUTED_VALUE"""),95498597)</f>
        <v>95498597</v>
      </c>
      <c r="G2106" s="5">
        <f t="shared" ca="1" si="96"/>
        <v>-2.1846595439323793E-2</v>
      </c>
      <c r="H2106" s="14">
        <f t="shared" si="97"/>
        <v>2024</v>
      </c>
      <c r="I2106" s="5">
        <f t="shared" ca="1" si="98"/>
        <v>-2.071729738170849E-2</v>
      </c>
      <c r="J2106" s="16"/>
    </row>
    <row r="2107" spans="1:10" x14ac:dyDescent="0.2">
      <c r="A2107" s="3">
        <v>45335</v>
      </c>
      <c r="B2107" s="1">
        <f ca="1">IFERROR(__xludf.DUMMYFUNCTION("""COMPUTED_VALUE"""),183.99)</f>
        <v>183.99</v>
      </c>
      <c r="C2107" s="1">
        <f ca="1">IFERROR(__xludf.DUMMYFUNCTION("""COMPUTED_VALUE"""),187.26)</f>
        <v>187.26</v>
      </c>
      <c r="D2107" s="1">
        <f ca="1">IFERROR(__xludf.DUMMYFUNCTION("""COMPUTED_VALUE"""),182.11)</f>
        <v>182.11</v>
      </c>
      <c r="E2107" s="1">
        <f ca="1">IFERROR(__xludf.DUMMYFUNCTION("""COMPUTED_VALUE"""),184.02)</f>
        <v>184.02</v>
      </c>
      <c r="F2107" s="1">
        <f ca="1">IFERROR(__xludf.DUMMYFUNCTION("""COMPUTED_VALUE"""),86759478)</f>
        <v>86759478</v>
      </c>
      <c r="G2107" s="5">
        <f t="shared" ca="1" si="96"/>
        <v>2.548636017824148E-2</v>
      </c>
      <c r="H2107" s="14">
        <f t="shared" si="97"/>
        <v>2024</v>
      </c>
      <c r="I2107" s="5">
        <f t="shared" ca="1" si="98"/>
        <v>1.6305233980108233E-4</v>
      </c>
      <c r="J2107" s="16"/>
    </row>
    <row r="2108" spans="1:10" x14ac:dyDescent="0.2">
      <c r="A2108" s="3">
        <v>45336</v>
      </c>
      <c r="B2108" s="1">
        <f ca="1">IFERROR(__xludf.DUMMYFUNCTION("""COMPUTED_VALUE"""),185.3)</f>
        <v>185.3</v>
      </c>
      <c r="C2108" s="1">
        <f ca="1">IFERROR(__xludf.DUMMYFUNCTION("""COMPUTED_VALUE"""),188.89)</f>
        <v>188.89</v>
      </c>
      <c r="D2108" s="1">
        <f ca="1">IFERROR(__xludf.DUMMYFUNCTION("""COMPUTED_VALUE"""),183.35)</f>
        <v>183.35</v>
      </c>
      <c r="E2108" s="1">
        <f ca="1">IFERROR(__xludf.DUMMYFUNCTION("""COMPUTED_VALUE"""),188.71)</f>
        <v>188.71</v>
      </c>
      <c r="F2108" s="1">
        <f ca="1">IFERROR(__xludf.DUMMYFUNCTION("""COMPUTED_VALUE"""),81202987)</f>
        <v>81202987</v>
      </c>
      <c r="G2108" s="5">
        <f t="shared" ca="1" si="96"/>
        <v>6.2211859466906792E-2</v>
      </c>
      <c r="H2108" s="14">
        <f t="shared" si="97"/>
        <v>2024</v>
      </c>
      <c r="I2108" s="5">
        <f t="shared" ca="1" si="98"/>
        <v>1.8402590393955729E-2</v>
      </c>
      <c r="J2108" s="16"/>
    </row>
    <row r="2109" spans="1:10" x14ac:dyDescent="0.2">
      <c r="A2109" s="3">
        <v>45337</v>
      </c>
      <c r="B2109" s="1">
        <f ca="1">IFERROR(__xludf.DUMMYFUNCTION("""COMPUTED_VALUE"""),189.16)</f>
        <v>189.16</v>
      </c>
      <c r="C2109" s="1">
        <f ca="1">IFERROR(__xludf.DUMMYFUNCTION("""COMPUTED_VALUE"""),200.88)</f>
        <v>200.88</v>
      </c>
      <c r="D2109" s="1">
        <f ca="1">IFERROR(__xludf.DUMMYFUNCTION("""COMPUTED_VALUE"""),188.86)</f>
        <v>188.86</v>
      </c>
      <c r="E2109" s="1">
        <f ca="1">IFERROR(__xludf.DUMMYFUNCTION("""COMPUTED_VALUE"""),200.45)</f>
        <v>200.45</v>
      </c>
      <c r="F2109" s="1">
        <f ca="1">IFERROR(__xludf.DUMMYFUNCTION("""COMPUTED_VALUE"""),120831762)</f>
        <v>120831762</v>
      </c>
      <c r="G2109" s="5">
        <f t="shared" ca="1" si="96"/>
        <v>-2.4943876278373661E-3</v>
      </c>
      <c r="H2109" s="14">
        <f t="shared" si="97"/>
        <v>2024</v>
      </c>
      <c r="I2109" s="5">
        <f t="shared" ca="1" si="98"/>
        <v>5.96849228166631E-2</v>
      </c>
      <c r="J2109" s="16"/>
    </row>
    <row r="2110" spans="1:10" x14ac:dyDescent="0.2">
      <c r="A2110" s="3">
        <v>45338</v>
      </c>
      <c r="B2110" s="1">
        <f ca="1">IFERROR(__xludf.DUMMYFUNCTION("""COMPUTED_VALUE"""),202.06)</f>
        <v>202.06</v>
      </c>
      <c r="C2110" s="1">
        <f ca="1">IFERROR(__xludf.DUMMYFUNCTION("""COMPUTED_VALUE"""),203.17)</f>
        <v>203.17</v>
      </c>
      <c r="D2110" s="1">
        <f ca="1">IFERROR(__xludf.DUMMYFUNCTION("""COMPUTED_VALUE"""),197.4)</f>
        <v>197.4</v>
      </c>
      <c r="E2110" s="1">
        <f ca="1">IFERROR(__xludf.DUMMYFUNCTION("""COMPUTED_VALUE"""),199.95)</f>
        <v>199.95</v>
      </c>
      <c r="F2110" s="1">
        <f ca="1">IFERROR(__xludf.DUMMYFUNCTION("""COMPUTED_VALUE"""),111346705)</f>
        <v>111346705</v>
      </c>
      <c r="G2110" s="5">
        <f t="shared" ca="1" si="96"/>
        <v>-3.0957739434858706E-2</v>
      </c>
      <c r="H2110" s="14">
        <f t="shared" si="97"/>
        <v>2024</v>
      </c>
      <c r="I2110" s="5">
        <f t="shared" ca="1" si="98"/>
        <v>-1.0442442838760831E-2</v>
      </c>
      <c r="J2110" s="16"/>
    </row>
    <row r="2111" spans="1:10" x14ac:dyDescent="0.2">
      <c r="A2111" s="3">
        <v>45342</v>
      </c>
      <c r="B2111" s="1">
        <f ca="1">IFERROR(__xludf.DUMMYFUNCTION("""COMPUTED_VALUE"""),196.13)</f>
        <v>196.13</v>
      </c>
      <c r="C2111" s="1">
        <f ca="1">IFERROR(__xludf.DUMMYFUNCTION("""COMPUTED_VALUE"""),198.6)</f>
        <v>198.6</v>
      </c>
      <c r="D2111" s="1">
        <f ca="1">IFERROR(__xludf.DUMMYFUNCTION("""COMPUTED_VALUE"""),189.13)</f>
        <v>189.13</v>
      </c>
      <c r="E2111" s="1">
        <f ca="1">IFERROR(__xludf.DUMMYFUNCTION("""COMPUTED_VALUE"""),193.76)</f>
        <v>193.76</v>
      </c>
      <c r="F2111" s="1">
        <f ca="1">IFERROR(__xludf.DUMMYFUNCTION("""COMPUTED_VALUE"""),104545762)</f>
        <v>104545762</v>
      </c>
      <c r="G2111" s="5">
        <f t="shared" ca="1" si="96"/>
        <v>5.2126341866227258E-3</v>
      </c>
      <c r="H2111" s="14">
        <f t="shared" si="97"/>
        <v>2024</v>
      </c>
      <c r="I2111" s="5">
        <f t="shared" ca="1" si="98"/>
        <v>-1.2083821954825904E-2</v>
      </c>
      <c r="J2111" s="16"/>
    </row>
    <row r="2112" spans="1:10" x14ac:dyDescent="0.2">
      <c r="A2112" s="3">
        <v>45343</v>
      </c>
      <c r="B2112" s="1">
        <f ca="1">IFERROR(__xludf.DUMMYFUNCTION("""COMPUTED_VALUE"""),193.36)</f>
        <v>193.36</v>
      </c>
      <c r="C2112" s="1">
        <f ca="1">IFERROR(__xludf.DUMMYFUNCTION("""COMPUTED_VALUE"""),199.44)</f>
        <v>199.44</v>
      </c>
      <c r="D2112" s="1">
        <f ca="1">IFERROR(__xludf.DUMMYFUNCTION("""COMPUTED_VALUE"""),191.95)</f>
        <v>191.95</v>
      </c>
      <c r="E2112" s="1">
        <f ca="1">IFERROR(__xludf.DUMMYFUNCTION("""COMPUTED_VALUE"""),194.77)</f>
        <v>194.77</v>
      </c>
      <c r="F2112" s="1">
        <f ca="1">IFERROR(__xludf.DUMMYFUNCTION("""COMPUTED_VALUE"""),103844008)</f>
        <v>103844008</v>
      </c>
      <c r="G2112" s="5">
        <f t="shared" ca="1" si="96"/>
        <v>1.355444883708983E-2</v>
      </c>
      <c r="H2112" s="14">
        <f t="shared" si="97"/>
        <v>2024</v>
      </c>
      <c r="I2112" s="5">
        <f t="shared" ca="1" si="98"/>
        <v>7.292097641704574E-3</v>
      </c>
      <c r="J2112" s="16"/>
    </row>
    <row r="2113" spans="1:10" x14ac:dyDescent="0.2">
      <c r="A2113" s="3">
        <v>45344</v>
      </c>
      <c r="B2113" s="1">
        <f ca="1">IFERROR(__xludf.DUMMYFUNCTION("""COMPUTED_VALUE"""),194)</f>
        <v>194</v>
      </c>
      <c r="C2113" s="1">
        <f ca="1">IFERROR(__xludf.DUMMYFUNCTION("""COMPUTED_VALUE"""),198.32)</f>
        <v>198.32</v>
      </c>
      <c r="D2113" s="1">
        <f ca="1">IFERROR(__xludf.DUMMYFUNCTION("""COMPUTED_VALUE"""),191.36)</f>
        <v>191.36</v>
      </c>
      <c r="E2113" s="1">
        <f ca="1">IFERROR(__xludf.DUMMYFUNCTION("""COMPUTED_VALUE"""),197.41)</f>
        <v>197.41</v>
      </c>
      <c r="F2113" s="1">
        <f ca="1">IFERROR(__xludf.DUMMYFUNCTION("""COMPUTED_VALUE"""),92739461)</f>
        <v>92739461</v>
      </c>
      <c r="G2113" s="5">
        <f t="shared" ca="1" si="96"/>
        <v>-2.7556861354541298E-2</v>
      </c>
      <c r="H2113" s="14">
        <f t="shared" si="97"/>
        <v>2024</v>
      </c>
      <c r="I2113" s="5">
        <f t="shared" ca="1" si="98"/>
        <v>1.7577319587628849E-2</v>
      </c>
      <c r="J2113" s="16"/>
    </row>
    <row r="2114" spans="1:10" x14ac:dyDescent="0.2">
      <c r="A2114" s="3">
        <v>45345</v>
      </c>
      <c r="B2114" s="1">
        <f ca="1">IFERROR(__xludf.DUMMYFUNCTION("""COMPUTED_VALUE"""),195.31)</f>
        <v>195.31</v>
      </c>
      <c r="C2114" s="1">
        <f ca="1">IFERROR(__xludf.DUMMYFUNCTION("""COMPUTED_VALUE"""),197.57)</f>
        <v>197.57</v>
      </c>
      <c r="D2114" s="1">
        <f ca="1">IFERROR(__xludf.DUMMYFUNCTION("""COMPUTED_VALUE"""),191.5)</f>
        <v>191.5</v>
      </c>
      <c r="E2114" s="1">
        <f ca="1">IFERROR(__xludf.DUMMYFUNCTION("""COMPUTED_VALUE"""),191.97)</f>
        <v>191.97</v>
      </c>
      <c r="F2114" s="1">
        <f ca="1">IFERROR(__xludf.DUMMYFUNCTION("""COMPUTED_VALUE"""),78841917)</f>
        <v>78841917</v>
      </c>
      <c r="G2114" s="5">
        <f t="shared" ca="1" si="96"/>
        <v>3.8703964161066869E-2</v>
      </c>
      <c r="H2114" s="14">
        <f t="shared" si="97"/>
        <v>2024</v>
      </c>
      <c r="I2114" s="5">
        <f t="shared" ca="1" si="98"/>
        <v>-1.7101018893041848E-2</v>
      </c>
      <c r="J2114" s="16"/>
    </row>
    <row r="2115" spans="1:10" x14ac:dyDescent="0.2">
      <c r="A2115" s="3">
        <v>45348</v>
      </c>
      <c r="B2115" s="1">
        <f ca="1">IFERROR(__xludf.DUMMYFUNCTION("""COMPUTED_VALUE"""),192.29)</f>
        <v>192.29</v>
      </c>
      <c r="C2115" s="1">
        <f ca="1">IFERROR(__xludf.DUMMYFUNCTION("""COMPUTED_VALUE"""),201.78)</f>
        <v>201.78</v>
      </c>
      <c r="D2115" s="1">
        <f ca="1">IFERROR(__xludf.DUMMYFUNCTION("""COMPUTED_VALUE"""),192)</f>
        <v>192</v>
      </c>
      <c r="E2115" s="1">
        <f ca="1">IFERROR(__xludf.DUMMYFUNCTION("""COMPUTED_VALUE"""),199.4)</f>
        <v>199.4</v>
      </c>
      <c r="F2115" s="1">
        <f ca="1">IFERROR(__xludf.DUMMYFUNCTION("""COMPUTED_VALUE"""),111747116)</f>
        <v>111747116</v>
      </c>
      <c r="G2115" s="5">
        <f t="shared" ref="G2115:G2178" ca="1" si="99">(E2116-E2115)/E2115</f>
        <v>1.6549648946839724E-3</v>
      </c>
      <c r="H2115" s="14">
        <f t="shared" ref="H2115:H2178" si="100">YEAR(A2115)</f>
        <v>2024</v>
      </c>
      <c r="I2115" s="5">
        <f t="shared" ref="I2115:I2178" ca="1" si="101">((E2115 - B2115) / B2115)</f>
        <v>3.6975401736959873E-2</v>
      </c>
      <c r="J2115" s="16"/>
    </row>
    <row r="2116" spans="1:10" x14ac:dyDescent="0.2">
      <c r="A2116" s="3">
        <v>45349</v>
      </c>
      <c r="B2116" s="1">
        <f ca="1">IFERROR(__xludf.DUMMYFUNCTION("""COMPUTED_VALUE"""),204.04)</f>
        <v>204.04</v>
      </c>
      <c r="C2116" s="1">
        <f ca="1">IFERROR(__xludf.DUMMYFUNCTION("""COMPUTED_VALUE"""),205.6)</f>
        <v>205.6</v>
      </c>
      <c r="D2116" s="1">
        <f ca="1">IFERROR(__xludf.DUMMYFUNCTION("""COMPUTED_VALUE"""),198.26)</f>
        <v>198.26</v>
      </c>
      <c r="E2116" s="1">
        <f ca="1">IFERROR(__xludf.DUMMYFUNCTION("""COMPUTED_VALUE"""),199.73)</f>
        <v>199.73</v>
      </c>
      <c r="F2116" s="1">
        <f ca="1">IFERROR(__xludf.DUMMYFUNCTION("""COMPUTED_VALUE"""),108645412)</f>
        <v>108645412</v>
      </c>
      <c r="G2116" s="5">
        <f t="shared" ca="1" si="99"/>
        <v>1.1565613578330759E-2</v>
      </c>
      <c r="H2116" s="14">
        <f t="shared" si="100"/>
        <v>2024</v>
      </c>
      <c r="I2116" s="5">
        <f t="shared" ca="1" si="101"/>
        <v>-2.1123309155067646E-2</v>
      </c>
      <c r="J2116" s="16"/>
    </row>
    <row r="2117" spans="1:10" x14ac:dyDescent="0.2">
      <c r="A2117" s="3">
        <v>45350</v>
      </c>
      <c r="B2117" s="1">
        <f ca="1">IFERROR(__xludf.DUMMYFUNCTION("""COMPUTED_VALUE"""),200.42)</f>
        <v>200.42</v>
      </c>
      <c r="C2117" s="1">
        <f ca="1">IFERROR(__xludf.DUMMYFUNCTION("""COMPUTED_VALUE"""),205.3)</f>
        <v>205.3</v>
      </c>
      <c r="D2117" s="1">
        <f ca="1">IFERROR(__xludf.DUMMYFUNCTION("""COMPUTED_VALUE"""),198.44)</f>
        <v>198.44</v>
      </c>
      <c r="E2117" s="1">
        <f ca="1">IFERROR(__xludf.DUMMYFUNCTION("""COMPUTED_VALUE"""),202.04)</f>
        <v>202.04</v>
      </c>
      <c r="F2117" s="1">
        <f ca="1">IFERROR(__xludf.DUMMYFUNCTION("""COMPUTED_VALUE"""),99806173)</f>
        <v>99806173</v>
      </c>
      <c r="G2117" s="5">
        <f t="shared" ca="1" si="99"/>
        <v>-7.9192239160560582E-4</v>
      </c>
      <c r="H2117" s="14">
        <f t="shared" si="100"/>
        <v>2024</v>
      </c>
      <c r="I2117" s="5">
        <f t="shared" ca="1" si="101"/>
        <v>8.0830256461431223E-3</v>
      </c>
      <c r="J2117" s="16"/>
    </row>
    <row r="2118" spans="1:10" x14ac:dyDescent="0.2">
      <c r="A2118" s="3">
        <v>45351</v>
      </c>
      <c r="B2118" s="1">
        <f ca="1">IFERROR(__xludf.DUMMYFUNCTION("""COMPUTED_VALUE"""),204.18)</f>
        <v>204.18</v>
      </c>
      <c r="C2118" s="1">
        <f ca="1">IFERROR(__xludf.DUMMYFUNCTION("""COMPUTED_VALUE"""),205.28)</f>
        <v>205.28</v>
      </c>
      <c r="D2118" s="1">
        <f ca="1">IFERROR(__xludf.DUMMYFUNCTION("""COMPUTED_VALUE"""),198.45)</f>
        <v>198.45</v>
      </c>
      <c r="E2118" s="1">
        <f ca="1">IFERROR(__xludf.DUMMYFUNCTION("""COMPUTED_VALUE"""),201.88)</f>
        <v>201.88</v>
      </c>
      <c r="F2118" s="1">
        <f ca="1">IFERROR(__xludf.DUMMYFUNCTION("""COMPUTED_VALUE"""),85906974)</f>
        <v>85906974</v>
      </c>
      <c r="G2118" s="5">
        <f t="shared" ca="1" si="99"/>
        <v>3.7646126411729291E-3</v>
      </c>
      <c r="H2118" s="14">
        <f t="shared" si="100"/>
        <v>2024</v>
      </c>
      <c r="I2118" s="5">
        <f t="shared" ca="1" si="101"/>
        <v>-1.1264570477030127E-2</v>
      </c>
      <c r="J2118" s="16"/>
    </row>
    <row r="2119" spans="1:10" x14ac:dyDescent="0.2">
      <c r="A2119" s="3">
        <v>45352</v>
      </c>
      <c r="B2119" s="1">
        <f ca="1">IFERROR(__xludf.DUMMYFUNCTION("""COMPUTED_VALUE"""),200.52)</f>
        <v>200.52</v>
      </c>
      <c r="C2119" s="1">
        <f ca="1">IFERROR(__xludf.DUMMYFUNCTION("""COMPUTED_VALUE"""),204.52)</f>
        <v>204.52</v>
      </c>
      <c r="D2119" s="1">
        <f ca="1">IFERROR(__xludf.DUMMYFUNCTION("""COMPUTED_VALUE"""),198.5)</f>
        <v>198.5</v>
      </c>
      <c r="E2119" s="1">
        <f ca="1">IFERROR(__xludf.DUMMYFUNCTION("""COMPUTED_VALUE"""),202.64)</f>
        <v>202.64</v>
      </c>
      <c r="F2119" s="1">
        <f ca="1">IFERROR(__xludf.DUMMYFUNCTION("""COMPUTED_VALUE"""),82243119)</f>
        <v>82243119</v>
      </c>
      <c r="G2119" s="5">
        <f t="shared" ca="1" si="99"/>
        <v>-7.1555467824713781E-2</v>
      </c>
      <c r="H2119" s="14">
        <f t="shared" si="100"/>
        <v>2024</v>
      </c>
      <c r="I2119" s="5">
        <f t="shared" ca="1" si="101"/>
        <v>1.0572511470177419E-2</v>
      </c>
      <c r="J2119" s="16"/>
    </row>
    <row r="2120" spans="1:10" x14ac:dyDescent="0.2">
      <c r="A2120" s="3">
        <v>45355</v>
      </c>
      <c r="B2120" s="1">
        <f ca="1">IFERROR(__xludf.DUMMYFUNCTION("""COMPUTED_VALUE"""),198.73)</f>
        <v>198.73</v>
      </c>
      <c r="C2120" s="1">
        <f ca="1">IFERROR(__xludf.DUMMYFUNCTION("""COMPUTED_VALUE"""),199.75)</f>
        <v>199.75</v>
      </c>
      <c r="D2120" s="1">
        <f ca="1">IFERROR(__xludf.DUMMYFUNCTION("""COMPUTED_VALUE"""),186.72)</f>
        <v>186.72</v>
      </c>
      <c r="E2120" s="1">
        <f ca="1">IFERROR(__xludf.DUMMYFUNCTION("""COMPUTED_VALUE"""),188.14)</f>
        <v>188.14</v>
      </c>
      <c r="F2120" s="1">
        <f ca="1">IFERROR(__xludf.DUMMYFUNCTION("""COMPUTED_VALUE"""),134334869)</f>
        <v>134334869</v>
      </c>
      <c r="G2120" s="5">
        <f t="shared" ca="1" si="99"/>
        <v>-3.933241203359189E-2</v>
      </c>
      <c r="H2120" s="14">
        <f t="shared" si="100"/>
        <v>2024</v>
      </c>
      <c r="I2120" s="5">
        <f t="shared" ca="1" si="101"/>
        <v>-5.3288381220751795E-2</v>
      </c>
      <c r="J2120" s="16"/>
    </row>
    <row r="2121" spans="1:10" x14ac:dyDescent="0.2">
      <c r="A2121" s="3">
        <v>45356</v>
      </c>
      <c r="B2121" s="1">
        <f ca="1">IFERROR(__xludf.DUMMYFUNCTION("""COMPUTED_VALUE"""),183.05)</f>
        <v>183.05</v>
      </c>
      <c r="C2121" s="1">
        <f ca="1">IFERROR(__xludf.DUMMYFUNCTION("""COMPUTED_VALUE"""),184.59)</f>
        <v>184.59</v>
      </c>
      <c r="D2121" s="1">
        <f ca="1">IFERROR(__xludf.DUMMYFUNCTION("""COMPUTED_VALUE"""),177.57)</f>
        <v>177.57</v>
      </c>
      <c r="E2121" s="1">
        <f ca="1">IFERROR(__xludf.DUMMYFUNCTION("""COMPUTED_VALUE"""),180.74)</f>
        <v>180.74</v>
      </c>
      <c r="F2121" s="1">
        <f ca="1">IFERROR(__xludf.DUMMYFUNCTION("""COMPUTED_VALUE"""),119660758)</f>
        <v>119660758</v>
      </c>
      <c r="G2121" s="5">
        <f t="shared" ca="1" si="99"/>
        <v>-2.3237800154918761E-2</v>
      </c>
      <c r="H2121" s="14">
        <f t="shared" si="100"/>
        <v>2024</v>
      </c>
      <c r="I2121" s="5">
        <f t="shared" ca="1" si="101"/>
        <v>-1.2619502868068845E-2</v>
      </c>
      <c r="J2121" s="16"/>
    </row>
    <row r="2122" spans="1:10" x14ac:dyDescent="0.2">
      <c r="A2122" s="3">
        <v>45357</v>
      </c>
      <c r="B2122" s="1">
        <f ca="1">IFERROR(__xludf.DUMMYFUNCTION("""COMPUTED_VALUE"""),179.99)</f>
        <v>179.99</v>
      </c>
      <c r="C2122" s="1">
        <f ca="1">IFERROR(__xludf.DUMMYFUNCTION("""COMPUTED_VALUE"""),181.58)</f>
        <v>181.58</v>
      </c>
      <c r="D2122" s="1">
        <f ca="1">IFERROR(__xludf.DUMMYFUNCTION("""COMPUTED_VALUE"""),173.7)</f>
        <v>173.7</v>
      </c>
      <c r="E2122" s="1">
        <f ca="1">IFERROR(__xludf.DUMMYFUNCTION("""COMPUTED_VALUE"""),176.54)</f>
        <v>176.54</v>
      </c>
      <c r="F2122" s="1">
        <f ca="1">IFERROR(__xludf.DUMMYFUNCTION("""COMPUTED_VALUE"""),107920944)</f>
        <v>107920944</v>
      </c>
      <c r="G2122" s="5">
        <f t="shared" ca="1" si="99"/>
        <v>1.195196556021306E-2</v>
      </c>
      <c r="H2122" s="14">
        <f t="shared" si="100"/>
        <v>2024</v>
      </c>
      <c r="I2122" s="5">
        <f t="shared" ca="1" si="101"/>
        <v>-1.916773154064124E-2</v>
      </c>
      <c r="J2122" s="16"/>
    </row>
    <row r="2123" spans="1:10" x14ac:dyDescent="0.2">
      <c r="A2123" s="3">
        <v>45358</v>
      </c>
      <c r="B2123" s="1">
        <f ca="1">IFERROR(__xludf.DUMMYFUNCTION("""COMPUTED_VALUE"""),174.35)</f>
        <v>174.35</v>
      </c>
      <c r="C2123" s="1">
        <f ca="1">IFERROR(__xludf.DUMMYFUNCTION("""COMPUTED_VALUE"""),180.04)</f>
        <v>180.04</v>
      </c>
      <c r="D2123" s="1">
        <f ca="1">IFERROR(__xludf.DUMMYFUNCTION("""COMPUTED_VALUE"""),173.7)</f>
        <v>173.7</v>
      </c>
      <c r="E2123" s="1">
        <f ca="1">IFERROR(__xludf.DUMMYFUNCTION("""COMPUTED_VALUE"""),178.65)</f>
        <v>178.65</v>
      </c>
      <c r="F2123" s="1">
        <f ca="1">IFERROR(__xludf.DUMMYFUNCTION("""COMPUTED_VALUE"""),102129004)</f>
        <v>102129004</v>
      </c>
      <c r="G2123" s="5">
        <f t="shared" ca="1" si="99"/>
        <v>-1.8527847746991337E-2</v>
      </c>
      <c r="H2123" s="14">
        <f t="shared" si="100"/>
        <v>2024</v>
      </c>
      <c r="I2123" s="5">
        <f t="shared" ca="1" si="101"/>
        <v>2.4663034126756592E-2</v>
      </c>
      <c r="J2123" s="16"/>
    </row>
    <row r="2124" spans="1:10" x14ac:dyDescent="0.2">
      <c r="A2124" s="3">
        <v>45359</v>
      </c>
      <c r="B2124" s="1">
        <f ca="1">IFERROR(__xludf.DUMMYFUNCTION("""COMPUTED_VALUE"""),181.5)</f>
        <v>181.5</v>
      </c>
      <c r="C2124" s="1">
        <f ca="1">IFERROR(__xludf.DUMMYFUNCTION("""COMPUTED_VALUE"""),182.73)</f>
        <v>182.73</v>
      </c>
      <c r="D2124" s="1">
        <f ca="1">IFERROR(__xludf.DUMMYFUNCTION("""COMPUTED_VALUE"""),174.7)</f>
        <v>174.7</v>
      </c>
      <c r="E2124" s="1">
        <f ca="1">IFERROR(__xludf.DUMMYFUNCTION("""COMPUTED_VALUE"""),175.34)</f>
        <v>175.34</v>
      </c>
      <c r="F2124" s="1">
        <f ca="1">IFERROR(__xludf.DUMMYFUNCTION("""COMPUTED_VALUE"""),85544644)</f>
        <v>85544644</v>
      </c>
      <c r="G2124" s="5">
        <f t="shared" ca="1" si="99"/>
        <v>1.3858788639215278E-2</v>
      </c>
      <c r="H2124" s="14">
        <f t="shared" si="100"/>
        <v>2024</v>
      </c>
      <c r="I2124" s="5">
        <f t="shared" ca="1" si="101"/>
        <v>-3.3939393939393922E-2</v>
      </c>
      <c r="J2124" s="16"/>
    </row>
    <row r="2125" spans="1:10" x14ac:dyDescent="0.2">
      <c r="A2125" s="3">
        <v>45362</v>
      </c>
      <c r="B2125" s="1">
        <f ca="1">IFERROR(__xludf.DUMMYFUNCTION("""COMPUTED_VALUE"""),175.45)</f>
        <v>175.45</v>
      </c>
      <c r="C2125" s="1">
        <f ca="1">IFERROR(__xludf.DUMMYFUNCTION("""COMPUTED_VALUE"""),182.87)</f>
        <v>182.87</v>
      </c>
      <c r="D2125" s="1">
        <f ca="1">IFERROR(__xludf.DUMMYFUNCTION("""COMPUTED_VALUE"""),174.8)</f>
        <v>174.8</v>
      </c>
      <c r="E2125" s="1">
        <f ca="1">IFERROR(__xludf.DUMMYFUNCTION("""COMPUTED_VALUE"""),177.77)</f>
        <v>177.77</v>
      </c>
      <c r="F2125" s="1">
        <f ca="1">IFERROR(__xludf.DUMMYFUNCTION("""COMPUTED_VALUE"""),85391528)</f>
        <v>85391528</v>
      </c>
      <c r="G2125" s="5">
        <f t="shared" ca="1" si="99"/>
        <v>-1.2938066040390289E-3</v>
      </c>
      <c r="H2125" s="14">
        <f t="shared" si="100"/>
        <v>2024</v>
      </c>
      <c r="I2125" s="5">
        <f t="shared" ca="1" si="101"/>
        <v>1.3223140495867893E-2</v>
      </c>
      <c r="J2125" s="16"/>
    </row>
    <row r="2126" spans="1:10" x14ac:dyDescent="0.2">
      <c r="A2126" s="3">
        <v>45363</v>
      </c>
      <c r="B2126" s="1">
        <f ca="1">IFERROR(__xludf.DUMMYFUNCTION("""COMPUTED_VALUE"""),177.77)</f>
        <v>177.77</v>
      </c>
      <c r="C2126" s="1">
        <f ca="1">IFERROR(__xludf.DUMMYFUNCTION("""COMPUTED_VALUE"""),179.43)</f>
        <v>179.43</v>
      </c>
      <c r="D2126" s="1">
        <f ca="1">IFERROR(__xludf.DUMMYFUNCTION("""COMPUTED_VALUE"""),172.41)</f>
        <v>172.41</v>
      </c>
      <c r="E2126" s="1">
        <f ca="1">IFERROR(__xludf.DUMMYFUNCTION("""COMPUTED_VALUE"""),177.54)</f>
        <v>177.54</v>
      </c>
      <c r="F2126" s="1">
        <f ca="1">IFERROR(__xludf.DUMMYFUNCTION("""COMPUTED_VALUE"""),87391684)</f>
        <v>87391684</v>
      </c>
      <c r="G2126" s="5">
        <f t="shared" ca="1" si="99"/>
        <v>-4.5398220119409728E-2</v>
      </c>
      <c r="H2126" s="14">
        <f t="shared" si="100"/>
        <v>2024</v>
      </c>
      <c r="I2126" s="5">
        <f t="shared" ca="1" si="101"/>
        <v>-1.2938066040390289E-3</v>
      </c>
      <c r="J2126" s="16"/>
    </row>
    <row r="2127" spans="1:10" x14ac:dyDescent="0.2">
      <c r="A2127" s="3">
        <v>45364</v>
      </c>
      <c r="B2127" s="1">
        <f ca="1">IFERROR(__xludf.DUMMYFUNCTION("""COMPUTED_VALUE"""),173.05)</f>
        <v>173.05</v>
      </c>
      <c r="C2127" s="1">
        <f ca="1">IFERROR(__xludf.DUMMYFUNCTION("""COMPUTED_VALUE"""),176.05)</f>
        <v>176.05</v>
      </c>
      <c r="D2127" s="1">
        <f ca="1">IFERROR(__xludf.DUMMYFUNCTION("""COMPUTED_VALUE"""),169.15)</f>
        <v>169.15</v>
      </c>
      <c r="E2127" s="1">
        <f ca="1">IFERROR(__xludf.DUMMYFUNCTION("""COMPUTED_VALUE"""),169.48)</f>
        <v>169.48</v>
      </c>
      <c r="F2127" s="1">
        <f ca="1">IFERROR(__xludf.DUMMYFUNCTION("""COMPUTED_VALUE"""),106524518)</f>
        <v>106524518</v>
      </c>
      <c r="G2127" s="5">
        <f t="shared" ca="1" si="99"/>
        <v>-4.1184800566438459E-2</v>
      </c>
      <c r="H2127" s="14">
        <f t="shared" si="100"/>
        <v>2024</v>
      </c>
      <c r="I2127" s="5">
        <f t="shared" ca="1" si="101"/>
        <v>-2.0629875758451439E-2</v>
      </c>
      <c r="J2127" s="16"/>
    </row>
    <row r="2128" spans="1:10" x14ac:dyDescent="0.2">
      <c r="A2128" s="3">
        <v>45365</v>
      </c>
      <c r="B2128" s="1">
        <f ca="1">IFERROR(__xludf.DUMMYFUNCTION("""COMPUTED_VALUE"""),167.77)</f>
        <v>167.77</v>
      </c>
      <c r="C2128" s="1">
        <f ca="1">IFERROR(__xludf.DUMMYFUNCTION("""COMPUTED_VALUE"""),171.17)</f>
        <v>171.17</v>
      </c>
      <c r="D2128" s="1">
        <f ca="1">IFERROR(__xludf.DUMMYFUNCTION("""COMPUTED_VALUE"""),160.51)</f>
        <v>160.51</v>
      </c>
      <c r="E2128" s="1">
        <f ca="1">IFERROR(__xludf.DUMMYFUNCTION("""COMPUTED_VALUE"""),162.5)</f>
        <v>162.5</v>
      </c>
      <c r="F2128" s="1">
        <f ca="1">IFERROR(__xludf.DUMMYFUNCTION("""COMPUTED_VALUE"""),126325696)</f>
        <v>126325696</v>
      </c>
      <c r="G2128" s="5">
        <f t="shared" ca="1" si="99"/>
        <v>6.5846153846153424E-3</v>
      </c>
      <c r="H2128" s="14">
        <f t="shared" si="100"/>
        <v>2024</v>
      </c>
      <c r="I2128" s="5">
        <f t="shared" ca="1" si="101"/>
        <v>-3.1412052214341124E-2</v>
      </c>
      <c r="J2128" s="16"/>
    </row>
    <row r="2129" spans="1:10" x14ac:dyDescent="0.2">
      <c r="A2129" s="3">
        <v>45366</v>
      </c>
      <c r="B2129" s="1">
        <f ca="1">IFERROR(__xludf.DUMMYFUNCTION("""COMPUTED_VALUE"""),163.16)</f>
        <v>163.16</v>
      </c>
      <c r="C2129" s="1">
        <f ca="1">IFERROR(__xludf.DUMMYFUNCTION("""COMPUTED_VALUE"""),165.18)</f>
        <v>165.18</v>
      </c>
      <c r="D2129" s="1">
        <f ca="1">IFERROR(__xludf.DUMMYFUNCTION("""COMPUTED_VALUE"""),160.76)</f>
        <v>160.76</v>
      </c>
      <c r="E2129" s="1">
        <f ca="1">IFERROR(__xludf.DUMMYFUNCTION("""COMPUTED_VALUE"""),163.57)</f>
        <v>163.57</v>
      </c>
      <c r="F2129" s="1">
        <f ca="1">IFERROR(__xludf.DUMMYFUNCTION("""COMPUTED_VALUE"""),97146832)</f>
        <v>97146832</v>
      </c>
      <c r="G2129" s="5">
        <f t="shared" ca="1" si="99"/>
        <v>6.2542030934768109E-2</v>
      </c>
      <c r="H2129" s="14">
        <f t="shared" si="100"/>
        <v>2024</v>
      </c>
      <c r="I2129" s="5">
        <f t="shared" ca="1" si="101"/>
        <v>2.5128708016670543E-3</v>
      </c>
      <c r="J2129" s="16"/>
    </row>
    <row r="2130" spans="1:10" x14ac:dyDescent="0.2">
      <c r="A2130" s="3">
        <v>45369</v>
      </c>
      <c r="B2130" s="1">
        <f ca="1">IFERROR(__xludf.DUMMYFUNCTION("""COMPUTED_VALUE"""),170.02)</f>
        <v>170.02</v>
      </c>
      <c r="C2130" s="1">
        <f ca="1">IFERROR(__xludf.DUMMYFUNCTION("""COMPUTED_VALUE"""),174.72)</f>
        <v>174.72</v>
      </c>
      <c r="D2130" s="1">
        <f ca="1">IFERROR(__xludf.DUMMYFUNCTION("""COMPUTED_VALUE"""),165.9)</f>
        <v>165.9</v>
      </c>
      <c r="E2130" s="1">
        <f ca="1">IFERROR(__xludf.DUMMYFUNCTION("""COMPUTED_VALUE"""),173.8)</f>
        <v>173.8</v>
      </c>
      <c r="F2130" s="1">
        <f ca="1">IFERROR(__xludf.DUMMYFUNCTION("""COMPUTED_VALUE"""),108214358)</f>
        <v>108214358</v>
      </c>
      <c r="G2130" s="5">
        <f t="shared" ca="1" si="99"/>
        <v>-1.4269275028768803E-2</v>
      </c>
      <c r="H2130" s="14">
        <f t="shared" si="100"/>
        <v>2024</v>
      </c>
      <c r="I2130" s="5">
        <f t="shared" ca="1" si="101"/>
        <v>2.2232678508410781E-2</v>
      </c>
      <c r="J2130" s="16"/>
    </row>
    <row r="2131" spans="1:10" x14ac:dyDescent="0.2">
      <c r="A2131" s="3">
        <v>45370</v>
      </c>
      <c r="B2131" s="1">
        <f ca="1">IFERROR(__xludf.DUMMYFUNCTION("""COMPUTED_VALUE"""),172.36)</f>
        <v>172.36</v>
      </c>
      <c r="C2131" s="1">
        <f ca="1">IFERROR(__xludf.DUMMYFUNCTION("""COMPUTED_VALUE"""),172.82)</f>
        <v>172.82</v>
      </c>
      <c r="D2131" s="1">
        <f ca="1">IFERROR(__xludf.DUMMYFUNCTION("""COMPUTED_VALUE"""),167.42)</f>
        <v>167.42</v>
      </c>
      <c r="E2131" s="1">
        <f ca="1">IFERROR(__xludf.DUMMYFUNCTION("""COMPUTED_VALUE"""),171.32)</f>
        <v>171.32</v>
      </c>
      <c r="F2131" s="1">
        <f ca="1">IFERROR(__xludf.DUMMYFUNCTION("""COMPUTED_VALUE"""),77271428)</f>
        <v>77271428</v>
      </c>
      <c r="G2131" s="5">
        <f t="shared" ca="1" si="99"/>
        <v>2.5332710716787318E-2</v>
      </c>
      <c r="H2131" s="14">
        <f t="shared" si="100"/>
        <v>2024</v>
      </c>
      <c r="I2131" s="5">
        <f t="shared" ca="1" si="101"/>
        <v>-6.0338825713623836E-3</v>
      </c>
      <c r="J2131" s="16"/>
    </row>
    <row r="2132" spans="1:10" x14ac:dyDescent="0.2">
      <c r="A2132" s="3">
        <v>45371</v>
      </c>
      <c r="B2132" s="1">
        <f ca="1">IFERROR(__xludf.DUMMYFUNCTION("""COMPUTED_VALUE"""),173)</f>
        <v>173</v>
      </c>
      <c r="C2132" s="1">
        <f ca="1">IFERROR(__xludf.DUMMYFUNCTION("""COMPUTED_VALUE"""),176.25)</f>
        <v>176.25</v>
      </c>
      <c r="D2132" s="1">
        <f ca="1">IFERROR(__xludf.DUMMYFUNCTION("""COMPUTED_VALUE"""),170.82)</f>
        <v>170.82</v>
      </c>
      <c r="E2132" s="1">
        <f ca="1">IFERROR(__xludf.DUMMYFUNCTION("""COMPUTED_VALUE"""),175.66)</f>
        <v>175.66</v>
      </c>
      <c r="F2132" s="1">
        <f ca="1">IFERROR(__xludf.DUMMYFUNCTION("""COMPUTED_VALUE"""),83846726)</f>
        <v>83846726</v>
      </c>
      <c r="G2132" s="5">
        <f t="shared" ca="1" si="99"/>
        <v>-1.6167596493225567E-2</v>
      </c>
      <c r="H2132" s="14">
        <f t="shared" si="100"/>
        <v>2024</v>
      </c>
      <c r="I2132" s="5">
        <f t="shared" ca="1" si="101"/>
        <v>1.5375722543352581E-2</v>
      </c>
      <c r="J2132" s="16"/>
    </row>
    <row r="2133" spans="1:10" x14ac:dyDescent="0.2">
      <c r="A2133" s="3">
        <v>45372</v>
      </c>
      <c r="B2133" s="1">
        <f ca="1">IFERROR(__xludf.DUMMYFUNCTION("""COMPUTED_VALUE"""),176.39)</f>
        <v>176.39</v>
      </c>
      <c r="C2133" s="1">
        <f ca="1">IFERROR(__xludf.DUMMYFUNCTION("""COMPUTED_VALUE"""),178.18)</f>
        <v>178.18</v>
      </c>
      <c r="D2133" s="1">
        <f ca="1">IFERROR(__xludf.DUMMYFUNCTION("""COMPUTED_VALUE"""),171.8)</f>
        <v>171.8</v>
      </c>
      <c r="E2133" s="1">
        <f ca="1">IFERROR(__xludf.DUMMYFUNCTION("""COMPUTED_VALUE"""),172.82)</f>
        <v>172.82</v>
      </c>
      <c r="F2133" s="1">
        <f ca="1">IFERROR(__xludf.DUMMYFUNCTION("""COMPUTED_VALUE"""),73178014)</f>
        <v>73178014</v>
      </c>
      <c r="G2133" s="5">
        <f t="shared" ca="1" si="99"/>
        <v>-1.1514870964008684E-2</v>
      </c>
      <c r="H2133" s="14">
        <f t="shared" si="100"/>
        <v>2024</v>
      </c>
      <c r="I2133" s="5">
        <f t="shared" ca="1" si="101"/>
        <v>-2.023924258744823E-2</v>
      </c>
      <c r="J2133" s="16"/>
    </row>
    <row r="2134" spans="1:10" x14ac:dyDescent="0.2">
      <c r="A2134" s="3">
        <v>45373</v>
      </c>
      <c r="B2134" s="1">
        <f ca="1">IFERROR(__xludf.DUMMYFUNCTION("""COMPUTED_VALUE"""),166.69)</f>
        <v>166.69</v>
      </c>
      <c r="C2134" s="1">
        <f ca="1">IFERROR(__xludf.DUMMYFUNCTION("""COMPUTED_VALUE"""),171.2)</f>
        <v>171.2</v>
      </c>
      <c r="D2134" s="1">
        <f ca="1">IFERROR(__xludf.DUMMYFUNCTION("""COMPUTED_VALUE"""),166.3)</f>
        <v>166.3</v>
      </c>
      <c r="E2134" s="1">
        <f ca="1">IFERROR(__xludf.DUMMYFUNCTION("""COMPUTED_VALUE"""),170.83)</f>
        <v>170.83</v>
      </c>
      <c r="F2134" s="1">
        <f ca="1">IFERROR(__xludf.DUMMYFUNCTION("""COMPUTED_VALUE"""),75580637)</f>
        <v>75580637</v>
      </c>
      <c r="G2134" s="5">
        <f t="shared" ca="1" si="99"/>
        <v>1.0536790961774763E-2</v>
      </c>
      <c r="H2134" s="14">
        <f t="shared" si="100"/>
        <v>2024</v>
      </c>
      <c r="I2134" s="5">
        <f t="shared" ca="1" si="101"/>
        <v>2.4836522886795939E-2</v>
      </c>
      <c r="J2134" s="16"/>
    </row>
    <row r="2135" spans="1:10" x14ac:dyDescent="0.2">
      <c r="A2135" s="3">
        <v>45376</v>
      </c>
      <c r="B2135" s="1">
        <f ca="1">IFERROR(__xludf.DUMMYFUNCTION("""COMPUTED_VALUE"""),168.76)</f>
        <v>168.76</v>
      </c>
      <c r="C2135" s="1">
        <f ca="1">IFERROR(__xludf.DUMMYFUNCTION("""COMPUTED_VALUE"""),175.24)</f>
        <v>175.24</v>
      </c>
      <c r="D2135" s="1">
        <f ca="1">IFERROR(__xludf.DUMMYFUNCTION("""COMPUTED_VALUE"""),168.73)</f>
        <v>168.73</v>
      </c>
      <c r="E2135" s="1">
        <f ca="1">IFERROR(__xludf.DUMMYFUNCTION("""COMPUTED_VALUE"""),172.63)</f>
        <v>172.63</v>
      </c>
      <c r="F2135" s="1">
        <f ca="1">IFERROR(__xludf.DUMMYFUNCTION("""COMPUTED_VALUE"""),74228615)</f>
        <v>74228615</v>
      </c>
      <c r="G2135" s="5">
        <f t="shared" ca="1" si="99"/>
        <v>2.9195388982216255E-2</v>
      </c>
      <c r="H2135" s="14">
        <f t="shared" si="100"/>
        <v>2024</v>
      </c>
      <c r="I2135" s="5">
        <f t="shared" ca="1" si="101"/>
        <v>2.2931974401516977E-2</v>
      </c>
      <c r="J2135" s="16"/>
    </row>
    <row r="2136" spans="1:10" x14ac:dyDescent="0.2">
      <c r="A2136" s="3">
        <v>45377</v>
      </c>
      <c r="B2136" s="1">
        <f ca="1">IFERROR(__xludf.DUMMYFUNCTION("""COMPUTED_VALUE"""),178.58)</f>
        <v>178.58</v>
      </c>
      <c r="C2136" s="1">
        <f ca="1">IFERROR(__xludf.DUMMYFUNCTION("""COMPUTED_VALUE"""),184.25)</f>
        <v>184.25</v>
      </c>
      <c r="D2136" s="1">
        <f ca="1">IFERROR(__xludf.DUMMYFUNCTION("""COMPUTED_VALUE"""),177.38)</f>
        <v>177.38</v>
      </c>
      <c r="E2136" s="1">
        <f ca="1">IFERROR(__xludf.DUMMYFUNCTION("""COMPUTED_VALUE"""),177.67)</f>
        <v>177.67</v>
      </c>
      <c r="F2136" s="1">
        <f ca="1">IFERROR(__xludf.DUMMYFUNCTION("""COMPUTED_VALUE"""),113186227)</f>
        <v>113186227</v>
      </c>
      <c r="G2136" s="5">
        <f t="shared" ca="1" si="99"/>
        <v>1.2157370405808663E-2</v>
      </c>
      <c r="H2136" s="14">
        <f t="shared" si="100"/>
        <v>2024</v>
      </c>
      <c r="I2136" s="5">
        <f t="shared" ca="1" si="101"/>
        <v>-5.09575540374076E-3</v>
      </c>
      <c r="J2136" s="16"/>
    </row>
    <row r="2137" spans="1:10" x14ac:dyDescent="0.2">
      <c r="A2137" s="3">
        <v>45378</v>
      </c>
      <c r="B2137" s="1">
        <f ca="1">IFERROR(__xludf.DUMMYFUNCTION("""COMPUTED_VALUE"""),181.41)</f>
        <v>181.41</v>
      </c>
      <c r="C2137" s="1">
        <f ca="1">IFERROR(__xludf.DUMMYFUNCTION("""COMPUTED_VALUE"""),181.91)</f>
        <v>181.91</v>
      </c>
      <c r="D2137" s="1">
        <f ca="1">IFERROR(__xludf.DUMMYFUNCTION("""COMPUTED_VALUE"""),176)</f>
        <v>176</v>
      </c>
      <c r="E2137" s="1">
        <f ca="1">IFERROR(__xludf.DUMMYFUNCTION("""COMPUTED_VALUE"""),179.83)</f>
        <v>179.83</v>
      </c>
      <c r="F2137" s="1">
        <f ca="1">IFERROR(__xludf.DUMMYFUNCTION("""COMPUTED_VALUE"""),81804043)</f>
        <v>81804043</v>
      </c>
      <c r="G2137" s="5">
        <f t="shared" ca="1" si="99"/>
        <v>-2.2465662014124563E-2</v>
      </c>
      <c r="H2137" s="14">
        <f t="shared" si="100"/>
        <v>2024</v>
      </c>
      <c r="I2137" s="5">
        <f t="shared" ca="1" si="101"/>
        <v>-8.7095529463645013E-3</v>
      </c>
      <c r="J2137" s="16"/>
    </row>
    <row r="2138" spans="1:10" x14ac:dyDescent="0.2">
      <c r="A2138" s="3">
        <v>45379</v>
      </c>
      <c r="B2138" s="1">
        <f ca="1">IFERROR(__xludf.DUMMYFUNCTION("""COMPUTED_VALUE"""),177.45)</f>
        <v>177.45</v>
      </c>
      <c r="C2138" s="1">
        <f ca="1">IFERROR(__xludf.DUMMYFUNCTION("""COMPUTED_VALUE"""),179.57)</f>
        <v>179.57</v>
      </c>
      <c r="D2138" s="1">
        <f ca="1">IFERROR(__xludf.DUMMYFUNCTION("""COMPUTED_VALUE"""),175.3)</f>
        <v>175.3</v>
      </c>
      <c r="E2138" s="1">
        <f ca="1">IFERROR(__xludf.DUMMYFUNCTION("""COMPUTED_VALUE"""),175.79)</f>
        <v>175.79</v>
      </c>
      <c r="F2138" s="1">
        <f ca="1">IFERROR(__xludf.DUMMYFUNCTION("""COMPUTED_VALUE"""),77654838)</f>
        <v>77654838</v>
      </c>
      <c r="G2138" s="5">
        <f t="shared" ca="1" si="99"/>
        <v>-3.2425052619602548E-3</v>
      </c>
      <c r="H2138" s="14">
        <f t="shared" si="100"/>
        <v>2024</v>
      </c>
      <c r="I2138" s="5">
        <f t="shared" ca="1" si="101"/>
        <v>-9.3547478162862591E-3</v>
      </c>
      <c r="J2138" s="16"/>
    </row>
    <row r="2139" spans="1:10" x14ac:dyDescent="0.2">
      <c r="A2139" s="3">
        <v>45383</v>
      </c>
      <c r="B2139" s="1">
        <f ca="1">IFERROR(__xludf.DUMMYFUNCTION("""COMPUTED_VALUE"""),176.17)</f>
        <v>176.17</v>
      </c>
      <c r="C2139" s="1">
        <f ca="1">IFERROR(__xludf.DUMMYFUNCTION("""COMPUTED_VALUE"""),176.75)</f>
        <v>176.75</v>
      </c>
      <c r="D2139" s="1">
        <f ca="1">IFERROR(__xludf.DUMMYFUNCTION("""COMPUTED_VALUE"""),170.21)</f>
        <v>170.21</v>
      </c>
      <c r="E2139" s="1">
        <f ca="1">IFERROR(__xludf.DUMMYFUNCTION("""COMPUTED_VALUE"""),175.22)</f>
        <v>175.22</v>
      </c>
      <c r="F2139" s="1">
        <f ca="1">IFERROR(__xludf.DUMMYFUNCTION("""COMPUTED_VALUE"""),81562127)</f>
        <v>81562127</v>
      </c>
      <c r="G2139" s="5">
        <f t="shared" ca="1" si="99"/>
        <v>-4.9024084008674827E-2</v>
      </c>
      <c r="H2139" s="14">
        <f t="shared" si="100"/>
        <v>2024</v>
      </c>
      <c r="I2139" s="5">
        <f t="shared" ca="1" si="101"/>
        <v>-5.3925185899982332E-3</v>
      </c>
      <c r="J2139" s="16"/>
    </row>
    <row r="2140" spans="1:10" x14ac:dyDescent="0.2">
      <c r="A2140" s="3">
        <v>45384</v>
      </c>
      <c r="B2140" s="1">
        <f ca="1">IFERROR(__xludf.DUMMYFUNCTION("""COMPUTED_VALUE"""),164.75)</f>
        <v>164.75</v>
      </c>
      <c r="C2140" s="1">
        <f ca="1">IFERROR(__xludf.DUMMYFUNCTION("""COMPUTED_VALUE"""),167.69)</f>
        <v>167.69</v>
      </c>
      <c r="D2140" s="1">
        <f ca="1">IFERROR(__xludf.DUMMYFUNCTION("""COMPUTED_VALUE"""),163.43)</f>
        <v>163.43</v>
      </c>
      <c r="E2140" s="1">
        <f ca="1">IFERROR(__xludf.DUMMYFUNCTION("""COMPUTED_VALUE"""),166.63)</f>
        <v>166.63</v>
      </c>
      <c r="F2140" s="1">
        <f ca="1">IFERROR(__xludf.DUMMYFUNCTION("""COMPUTED_VALUE"""),116650594)</f>
        <v>116650594</v>
      </c>
      <c r="G2140" s="5">
        <f t="shared" ca="1" si="99"/>
        <v>1.0502310508311829E-2</v>
      </c>
      <c r="H2140" s="14">
        <f t="shared" si="100"/>
        <v>2024</v>
      </c>
      <c r="I2140" s="5">
        <f t="shared" ca="1" si="101"/>
        <v>1.1411229135053083E-2</v>
      </c>
      <c r="J2140" s="16"/>
    </row>
    <row r="2141" spans="1:10" x14ac:dyDescent="0.2">
      <c r="A2141" s="3">
        <v>45385</v>
      </c>
      <c r="B2141" s="1">
        <f ca="1">IFERROR(__xludf.DUMMYFUNCTION("""COMPUTED_VALUE"""),164.02)</f>
        <v>164.02</v>
      </c>
      <c r="C2141" s="1">
        <f ca="1">IFERROR(__xludf.DUMMYFUNCTION("""COMPUTED_VALUE"""),168.82)</f>
        <v>168.82</v>
      </c>
      <c r="D2141" s="1">
        <f ca="1">IFERROR(__xludf.DUMMYFUNCTION("""COMPUTED_VALUE"""),163.28)</f>
        <v>163.28</v>
      </c>
      <c r="E2141" s="1">
        <f ca="1">IFERROR(__xludf.DUMMYFUNCTION("""COMPUTED_VALUE"""),168.38)</f>
        <v>168.38</v>
      </c>
      <c r="F2141" s="1">
        <f ca="1">IFERROR(__xludf.DUMMYFUNCTION("""COMPUTED_VALUE"""),82950141)</f>
        <v>82950141</v>
      </c>
      <c r="G2141" s="5">
        <f t="shared" ca="1" si="99"/>
        <v>1.6213326998455981E-2</v>
      </c>
      <c r="H2141" s="14">
        <f t="shared" si="100"/>
        <v>2024</v>
      </c>
      <c r="I2141" s="5">
        <f t="shared" ca="1" si="101"/>
        <v>2.6582124131203418E-2</v>
      </c>
      <c r="J2141" s="16"/>
    </row>
    <row r="2142" spans="1:10" x14ac:dyDescent="0.2">
      <c r="A2142" s="3">
        <v>45386</v>
      </c>
      <c r="B2142" s="1">
        <f ca="1">IFERROR(__xludf.DUMMYFUNCTION("""COMPUTED_VALUE"""),170.07)</f>
        <v>170.07</v>
      </c>
      <c r="C2142" s="1">
        <f ca="1">IFERROR(__xludf.DUMMYFUNCTION("""COMPUTED_VALUE"""),177.19)</f>
        <v>177.19</v>
      </c>
      <c r="D2142" s="1">
        <f ca="1">IFERROR(__xludf.DUMMYFUNCTION("""COMPUTED_VALUE"""),168.01)</f>
        <v>168.01</v>
      </c>
      <c r="E2142" s="1">
        <f ca="1">IFERROR(__xludf.DUMMYFUNCTION("""COMPUTED_VALUE"""),171.11)</f>
        <v>171.11</v>
      </c>
      <c r="F2142" s="1">
        <f ca="1">IFERROR(__xludf.DUMMYFUNCTION("""COMPUTED_VALUE"""),123161960)</f>
        <v>123161960</v>
      </c>
      <c r="G2142" s="5">
        <f t="shared" ca="1" si="99"/>
        <v>-3.6292443457425091E-2</v>
      </c>
      <c r="H2142" s="14">
        <f t="shared" si="100"/>
        <v>2024</v>
      </c>
      <c r="I2142" s="5">
        <f t="shared" ca="1" si="101"/>
        <v>6.1151290645029719E-3</v>
      </c>
      <c r="J2142" s="16"/>
    </row>
    <row r="2143" spans="1:10" x14ac:dyDescent="0.2">
      <c r="A2143" s="3">
        <v>45387</v>
      </c>
      <c r="B2143" s="1">
        <f ca="1">IFERROR(__xludf.DUMMYFUNCTION("""COMPUTED_VALUE"""),169.08)</f>
        <v>169.08</v>
      </c>
      <c r="C2143" s="1">
        <f ca="1">IFERROR(__xludf.DUMMYFUNCTION("""COMPUTED_VALUE"""),170.86)</f>
        <v>170.86</v>
      </c>
      <c r="D2143" s="1">
        <f ca="1">IFERROR(__xludf.DUMMYFUNCTION("""COMPUTED_VALUE"""),160.51)</f>
        <v>160.51</v>
      </c>
      <c r="E2143" s="1">
        <f ca="1">IFERROR(__xludf.DUMMYFUNCTION("""COMPUTED_VALUE"""),164.9)</f>
        <v>164.9</v>
      </c>
      <c r="F2143" s="1">
        <f ca="1">IFERROR(__xludf.DUMMYFUNCTION("""COMPUTED_VALUE"""),143157603)</f>
        <v>143157603</v>
      </c>
      <c r="G2143" s="5">
        <f t="shared" ca="1" si="99"/>
        <v>4.8999393571861637E-2</v>
      </c>
      <c r="H2143" s="14">
        <f t="shared" si="100"/>
        <v>2024</v>
      </c>
      <c r="I2143" s="5">
        <f t="shared" ca="1" si="101"/>
        <v>-2.4722025076886721E-2</v>
      </c>
      <c r="J2143" s="16"/>
    </row>
    <row r="2144" spans="1:10" x14ac:dyDescent="0.2">
      <c r="A2144" s="3">
        <v>45390</v>
      </c>
      <c r="B2144" s="1">
        <f ca="1">IFERROR(__xludf.DUMMYFUNCTION("""COMPUTED_VALUE"""),169.34)</f>
        <v>169.34</v>
      </c>
      <c r="C2144" s="1">
        <f ca="1">IFERROR(__xludf.DUMMYFUNCTION("""COMPUTED_VALUE"""),174.5)</f>
        <v>174.5</v>
      </c>
      <c r="D2144" s="1">
        <f ca="1">IFERROR(__xludf.DUMMYFUNCTION("""COMPUTED_VALUE"""),167.79)</f>
        <v>167.79</v>
      </c>
      <c r="E2144" s="1">
        <f ca="1">IFERROR(__xludf.DUMMYFUNCTION("""COMPUTED_VALUE"""),172.98)</f>
        <v>172.98</v>
      </c>
      <c r="F2144" s="1">
        <f ca="1">IFERROR(__xludf.DUMMYFUNCTION("""COMPUTED_VALUE"""),104423320)</f>
        <v>104423320</v>
      </c>
      <c r="G2144" s="5">
        <f t="shared" ca="1" si="99"/>
        <v>2.2545959070412798E-2</v>
      </c>
      <c r="H2144" s="14">
        <f t="shared" si="100"/>
        <v>2024</v>
      </c>
      <c r="I2144" s="5">
        <f t="shared" ca="1" si="101"/>
        <v>2.1495216723750953E-2</v>
      </c>
      <c r="J2144" s="16"/>
    </row>
    <row r="2145" spans="1:10" x14ac:dyDescent="0.2">
      <c r="A2145" s="3">
        <v>45391</v>
      </c>
      <c r="B2145" s="1">
        <f ca="1">IFERROR(__xludf.DUMMYFUNCTION("""COMPUTED_VALUE"""),172.91)</f>
        <v>172.91</v>
      </c>
      <c r="C2145" s="1">
        <f ca="1">IFERROR(__xludf.DUMMYFUNCTION("""COMPUTED_VALUE"""),179.22)</f>
        <v>179.22</v>
      </c>
      <c r="D2145" s="1">
        <f ca="1">IFERROR(__xludf.DUMMYFUNCTION("""COMPUTED_VALUE"""),171.92)</f>
        <v>171.92</v>
      </c>
      <c r="E2145" s="1">
        <f ca="1">IFERROR(__xludf.DUMMYFUNCTION("""COMPUTED_VALUE"""),176.88)</f>
        <v>176.88</v>
      </c>
      <c r="F2145" s="1">
        <f ca="1">IFERROR(__xludf.DUMMYFUNCTION("""COMPUTED_VALUE"""),103232675)</f>
        <v>103232675</v>
      </c>
      <c r="G2145" s="5">
        <f t="shared" ca="1" si="99"/>
        <v>-2.8946178199909571E-2</v>
      </c>
      <c r="H2145" s="14">
        <f t="shared" si="100"/>
        <v>2024</v>
      </c>
      <c r="I2145" s="5">
        <f t="shared" ca="1" si="101"/>
        <v>2.2959921346365156E-2</v>
      </c>
      <c r="J2145" s="16"/>
    </row>
    <row r="2146" spans="1:10" x14ac:dyDescent="0.2">
      <c r="A2146" s="3">
        <v>45392</v>
      </c>
      <c r="B2146" s="1">
        <f ca="1">IFERROR(__xludf.DUMMYFUNCTION("""COMPUTED_VALUE"""),173.04)</f>
        <v>173.04</v>
      </c>
      <c r="C2146" s="1">
        <f ca="1">IFERROR(__xludf.DUMMYFUNCTION("""COMPUTED_VALUE"""),174.93)</f>
        <v>174.93</v>
      </c>
      <c r="D2146" s="1">
        <f ca="1">IFERROR(__xludf.DUMMYFUNCTION("""COMPUTED_VALUE"""),170.01)</f>
        <v>170.01</v>
      </c>
      <c r="E2146" s="1">
        <f ca="1">IFERROR(__xludf.DUMMYFUNCTION("""COMPUTED_VALUE"""),171.76)</f>
        <v>171.76</v>
      </c>
      <c r="F2146" s="1">
        <f ca="1">IFERROR(__xludf.DUMMYFUNCTION("""COMPUTED_VALUE"""),84532407)</f>
        <v>84532407</v>
      </c>
      <c r="G2146" s="5">
        <f t="shared" ca="1" si="99"/>
        <v>1.6534699580810455E-2</v>
      </c>
      <c r="H2146" s="14">
        <f t="shared" si="100"/>
        <v>2024</v>
      </c>
      <c r="I2146" s="5">
        <f t="shared" ca="1" si="101"/>
        <v>-7.3971336107258503E-3</v>
      </c>
      <c r="J2146" s="16"/>
    </row>
    <row r="2147" spans="1:10" x14ac:dyDescent="0.2">
      <c r="A2147" s="3">
        <v>45393</v>
      </c>
      <c r="B2147" s="1">
        <f ca="1">IFERROR(__xludf.DUMMYFUNCTION("""COMPUTED_VALUE"""),172.55)</f>
        <v>172.55</v>
      </c>
      <c r="C2147" s="1">
        <f ca="1">IFERROR(__xludf.DUMMYFUNCTION("""COMPUTED_VALUE"""),175.88)</f>
        <v>175.88</v>
      </c>
      <c r="D2147" s="1">
        <f ca="1">IFERROR(__xludf.DUMMYFUNCTION("""COMPUTED_VALUE"""),168.51)</f>
        <v>168.51</v>
      </c>
      <c r="E2147" s="1">
        <f ca="1">IFERROR(__xludf.DUMMYFUNCTION("""COMPUTED_VALUE"""),174.6)</f>
        <v>174.6</v>
      </c>
      <c r="F2147" s="1">
        <f ca="1">IFERROR(__xludf.DUMMYFUNCTION("""COMPUTED_VALUE"""),94515987)</f>
        <v>94515987</v>
      </c>
      <c r="G2147" s="5">
        <f t="shared" ca="1" si="99"/>
        <v>-2.0332187857960957E-2</v>
      </c>
      <c r="H2147" s="14">
        <f t="shared" si="100"/>
        <v>2024</v>
      </c>
      <c r="I2147" s="5">
        <f t="shared" ca="1" si="101"/>
        <v>1.1880614314691295E-2</v>
      </c>
      <c r="J2147" s="16"/>
    </row>
    <row r="2148" spans="1:10" x14ac:dyDescent="0.2">
      <c r="A2148" s="3">
        <v>45394</v>
      </c>
      <c r="B2148" s="1">
        <f ca="1">IFERROR(__xludf.DUMMYFUNCTION("""COMPUTED_VALUE"""),172.34)</f>
        <v>172.34</v>
      </c>
      <c r="C2148" s="1">
        <f ca="1">IFERROR(__xludf.DUMMYFUNCTION("""COMPUTED_VALUE"""),173.81)</f>
        <v>173.81</v>
      </c>
      <c r="D2148" s="1">
        <f ca="1">IFERROR(__xludf.DUMMYFUNCTION("""COMPUTED_VALUE"""),170.36)</f>
        <v>170.36</v>
      </c>
      <c r="E2148" s="1">
        <f ca="1">IFERROR(__xludf.DUMMYFUNCTION("""COMPUTED_VALUE"""),171.05)</f>
        <v>171.05</v>
      </c>
      <c r="F2148" s="1">
        <f ca="1">IFERROR(__xludf.DUMMYFUNCTION("""COMPUTED_VALUE"""),64722669)</f>
        <v>64722669</v>
      </c>
      <c r="G2148" s="5">
        <f t="shared" ca="1" si="99"/>
        <v>-5.5948553054662502E-2</v>
      </c>
      <c r="H2148" s="14">
        <f t="shared" si="100"/>
        <v>2024</v>
      </c>
      <c r="I2148" s="5">
        <f t="shared" ca="1" si="101"/>
        <v>-7.4852036671695021E-3</v>
      </c>
      <c r="J2148" s="16"/>
    </row>
    <row r="2149" spans="1:10" x14ac:dyDescent="0.2">
      <c r="A2149" s="3">
        <v>45397</v>
      </c>
      <c r="B2149" s="1">
        <f ca="1">IFERROR(__xludf.DUMMYFUNCTION("""COMPUTED_VALUE"""),170.24)</f>
        <v>170.24</v>
      </c>
      <c r="C2149" s="1">
        <f ca="1">IFERROR(__xludf.DUMMYFUNCTION("""COMPUTED_VALUE"""),170.69)</f>
        <v>170.69</v>
      </c>
      <c r="D2149" s="1">
        <f ca="1">IFERROR(__xludf.DUMMYFUNCTION("""COMPUTED_VALUE"""),161.38)</f>
        <v>161.38</v>
      </c>
      <c r="E2149" s="1">
        <f ca="1">IFERROR(__xludf.DUMMYFUNCTION("""COMPUTED_VALUE"""),161.48)</f>
        <v>161.47999999999999</v>
      </c>
      <c r="F2149" s="1">
        <f ca="1">IFERROR(__xludf.DUMMYFUNCTION("""COMPUTED_VALUE"""),100245310)</f>
        <v>100245310</v>
      </c>
      <c r="G2149" s="5">
        <f t="shared" ca="1" si="99"/>
        <v>-2.7062174882338225E-2</v>
      </c>
      <c r="H2149" s="14">
        <f t="shared" si="100"/>
        <v>2024</v>
      </c>
      <c r="I2149" s="5">
        <f t="shared" ca="1" si="101"/>
        <v>-5.1456766917293346E-2</v>
      </c>
      <c r="J2149" s="16"/>
    </row>
    <row r="2150" spans="1:10" x14ac:dyDescent="0.2">
      <c r="A2150" s="3">
        <v>45398</v>
      </c>
      <c r="B2150" s="1">
        <f ca="1">IFERROR(__xludf.DUMMYFUNCTION("""COMPUTED_VALUE"""),156.74)</f>
        <v>156.74</v>
      </c>
      <c r="C2150" s="1">
        <f ca="1">IFERROR(__xludf.DUMMYFUNCTION("""COMPUTED_VALUE"""),158.19)</f>
        <v>158.19</v>
      </c>
      <c r="D2150" s="1">
        <f ca="1">IFERROR(__xludf.DUMMYFUNCTION("""COMPUTED_VALUE"""),153.75)</f>
        <v>153.75</v>
      </c>
      <c r="E2150" s="1">
        <f ca="1">IFERROR(__xludf.DUMMYFUNCTION("""COMPUTED_VALUE"""),157.11)</f>
        <v>157.11000000000001</v>
      </c>
      <c r="F2150" s="1">
        <f ca="1">IFERROR(__xludf.DUMMYFUNCTION("""COMPUTED_VALUE"""),96999956)</f>
        <v>96999956</v>
      </c>
      <c r="G2150" s="5">
        <f t="shared" ca="1" si="99"/>
        <v>-1.056584558589539E-2</v>
      </c>
      <c r="H2150" s="14">
        <f t="shared" si="100"/>
        <v>2024</v>
      </c>
      <c r="I2150" s="5">
        <f t="shared" ca="1" si="101"/>
        <v>2.3605971672834283E-3</v>
      </c>
      <c r="J2150" s="16"/>
    </row>
    <row r="2151" spans="1:10" x14ac:dyDescent="0.2">
      <c r="A2151" s="3">
        <v>45399</v>
      </c>
      <c r="B2151" s="1">
        <f ca="1">IFERROR(__xludf.DUMMYFUNCTION("""COMPUTED_VALUE"""),157.64)</f>
        <v>157.63999999999999</v>
      </c>
      <c r="C2151" s="1">
        <f ca="1">IFERROR(__xludf.DUMMYFUNCTION("""COMPUTED_VALUE"""),158.33)</f>
        <v>158.33000000000001</v>
      </c>
      <c r="D2151" s="1">
        <f ca="1">IFERROR(__xludf.DUMMYFUNCTION("""COMPUTED_VALUE"""),153.78)</f>
        <v>153.78</v>
      </c>
      <c r="E2151" s="1">
        <f ca="1">IFERROR(__xludf.DUMMYFUNCTION("""COMPUTED_VALUE"""),155.45)</f>
        <v>155.44999999999999</v>
      </c>
      <c r="F2151" s="1">
        <f ca="1">IFERROR(__xludf.DUMMYFUNCTION("""COMPUTED_VALUE"""),82439718)</f>
        <v>82439718</v>
      </c>
      <c r="G2151" s="5">
        <f t="shared" ca="1" si="99"/>
        <v>-3.5509810228369139E-2</v>
      </c>
      <c r="H2151" s="14">
        <f t="shared" si="100"/>
        <v>2024</v>
      </c>
      <c r="I2151" s="5">
        <f t="shared" ca="1" si="101"/>
        <v>-1.389241309312356E-2</v>
      </c>
      <c r="J2151" s="16"/>
    </row>
    <row r="2152" spans="1:10" x14ac:dyDescent="0.2">
      <c r="A2152" s="3">
        <v>45400</v>
      </c>
      <c r="B2152" s="1">
        <f ca="1">IFERROR(__xludf.DUMMYFUNCTION("""COMPUTED_VALUE"""),151.25)</f>
        <v>151.25</v>
      </c>
      <c r="C2152" s="1">
        <f ca="1">IFERROR(__xludf.DUMMYFUNCTION("""COMPUTED_VALUE"""),152.2)</f>
        <v>152.19999999999999</v>
      </c>
      <c r="D2152" s="1">
        <f ca="1">IFERROR(__xludf.DUMMYFUNCTION("""COMPUTED_VALUE"""),148.7)</f>
        <v>148.69999999999999</v>
      </c>
      <c r="E2152" s="1">
        <f ca="1">IFERROR(__xludf.DUMMYFUNCTION("""COMPUTED_VALUE"""),149.93)</f>
        <v>149.93</v>
      </c>
      <c r="F2152" s="1">
        <f ca="1">IFERROR(__xludf.DUMMYFUNCTION("""COMPUTED_VALUE"""),96098830)</f>
        <v>96098830</v>
      </c>
      <c r="G2152" s="5">
        <f t="shared" ca="1" si="99"/>
        <v>-1.9208964183285503E-2</v>
      </c>
      <c r="H2152" s="14">
        <f t="shared" si="100"/>
        <v>2024</v>
      </c>
      <c r="I2152" s="5">
        <f t="shared" ca="1" si="101"/>
        <v>-8.7272727272726825E-3</v>
      </c>
      <c r="J2152" s="16"/>
    </row>
    <row r="2153" spans="1:10" x14ac:dyDescent="0.2">
      <c r="A2153" s="3">
        <v>45401</v>
      </c>
      <c r="B2153" s="1">
        <f ca="1">IFERROR(__xludf.DUMMYFUNCTION("""COMPUTED_VALUE"""),148.97)</f>
        <v>148.97</v>
      </c>
      <c r="C2153" s="1">
        <f ca="1">IFERROR(__xludf.DUMMYFUNCTION("""COMPUTED_VALUE"""),150.94)</f>
        <v>150.94</v>
      </c>
      <c r="D2153" s="1">
        <f ca="1">IFERROR(__xludf.DUMMYFUNCTION("""COMPUTED_VALUE"""),146.22)</f>
        <v>146.22</v>
      </c>
      <c r="E2153" s="1">
        <f ca="1">IFERROR(__xludf.DUMMYFUNCTION("""COMPUTED_VALUE"""),147.05)</f>
        <v>147.05000000000001</v>
      </c>
      <c r="F2153" s="1">
        <f ca="1">IFERROR(__xludf.DUMMYFUNCTION("""COMPUTED_VALUE"""),87074500)</f>
        <v>87074500</v>
      </c>
      <c r="G2153" s="5">
        <f t="shared" ca="1" si="99"/>
        <v>-3.4002040122407338E-2</v>
      </c>
      <c r="H2153" s="14">
        <f t="shared" si="100"/>
        <v>2024</v>
      </c>
      <c r="I2153" s="5">
        <f t="shared" ca="1" si="101"/>
        <v>-1.2888501040477864E-2</v>
      </c>
      <c r="J2153" s="16"/>
    </row>
    <row r="2154" spans="1:10" x14ac:dyDescent="0.2">
      <c r="A2154" s="3">
        <v>45404</v>
      </c>
      <c r="B2154" s="1">
        <f ca="1">IFERROR(__xludf.DUMMYFUNCTION("""COMPUTED_VALUE"""),140.56)</f>
        <v>140.56</v>
      </c>
      <c r="C2154" s="1">
        <f ca="1">IFERROR(__xludf.DUMMYFUNCTION("""COMPUTED_VALUE"""),144.44)</f>
        <v>144.44</v>
      </c>
      <c r="D2154" s="1">
        <f ca="1">IFERROR(__xludf.DUMMYFUNCTION("""COMPUTED_VALUE"""),138.8)</f>
        <v>138.80000000000001</v>
      </c>
      <c r="E2154" s="1">
        <f ca="1">IFERROR(__xludf.DUMMYFUNCTION("""COMPUTED_VALUE"""),142.05)</f>
        <v>142.05000000000001</v>
      </c>
      <c r="F2154" s="1">
        <f ca="1">IFERROR(__xludf.DUMMYFUNCTION("""COMPUTED_VALUE"""),107097564)</f>
        <v>107097564</v>
      </c>
      <c r="G2154" s="5">
        <f t="shared" ca="1" si="99"/>
        <v>1.8514607532558923E-2</v>
      </c>
      <c r="H2154" s="14">
        <f t="shared" si="100"/>
        <v>2024</v>
      </c>
      <c r="I2154" s="5">
        <f t="shared" ca="1" si="101"/>
        <v>1.0600455321570924E-2</v>
      </c>
      <c r="J2154" s="16"/>
    </row>
    <row r="2155" spans="1:10" x14ac:dyDescent="0.2">
      <c r="A2155" s="3">
        <v>45405</v>
      </c>
      <c r="B2155" s="1">
        <f ca="1">IFERROR(__xludf.DUMMYFUNCTION("""COMPUTED_VALUE"""),143.33)</f>
        <v>143.33000000000001</v>
      </c>
      <c r="C2155" s="1">
        <f ca="1">IFERROR(__xludf.DUMMYFUNCTION("""COMPUTED_VALUE"""),147.26)</f>
        <v>147.26</v>
      </c>
      <c r="D2155" s="1">
        <f ca="1">IFERROR(__xludf.DUMMYFUNCTION("""COMPUTED_VALUE"""),141.11)</f>
        <v>141.11000000000001</v>
      </c>
      <c r="E2155" s="1">
        <f ca="1">IFERROR(__xludf.DUMMYFUNCTION("""COMPUTED_VALUE"""),144.68)</f>
        <v>144.68</v>
      </c>
      <c r="F2155" s="1">
        <f ca="1">IFERROR(__xludf.DUMMYFUNCTION("""COMPUTED_VALUE"""),124545104)</f>
        <v>124545104</v>
      </c>
      <c r="G2155" s="5">
        <f t="shared" ca="1" si="99"/>
        <v>0.1206110035941387</v>
      </c>
      <c r="H2155" s="14">
        <f t="shared" si="100"/>
        <v>2024</v>
      </c>
      <c r="I2155" s="5">
        <f t="shared" ca="1" si="101"/>
        <v>9.4188236935742291E-3</v>
      </c>
      <c r="J2155" s="16"/>
    </row>
    <row r="2156" spans="1:10" x14ac:dyDescent="0.2">
      <c r="A2156" s="3">
        <v>45406</v>
      </c>
      <c r="B2156" s="1">
        <f ca="1">IFERROR(__xludf.DUMMYFUNCTION("""COMPUTED_VALUE"""),162.84)</f>
        <v>162.84</v>
      </c>
      <c r="C2156" s="1">
        <f ca="1">IFERROR(__xludf.DUMMYFUNCTION("""COMPUTED_VALUE"""),167.97)</f>
        <v>167.97</v>
      </c>
      <c r="D2156" s="1">
        <f ca="1">IFERROR(__xludf.DUMMYFUNCTION("""COMPUTED_VALUE"""),157.51)</f>
        <v>157.51</v>
      </c>
      <c r="E2156" s="1">
        <f ca="1">IFERROR(__xludf.DUMMYFUNCTION("""COMPUTED_VALUE"""),162.13)</f>
        <v>162.13</v>
      </c>
      <c r="F2156" s="1">
        <f ca="1">IFERROR(__xludf.DUMMYFUNCTION("""COMPUTED_VALUE"""),181178020)</f>
        <v>181178020</v>
      </c>
      <c r="G2156" s="5">
        <f t="shared" ca="1" si="99"/>
        <v>4.9651514216986443E-2</v>
      </c>
      <c r="H2156" s="14">
        <f t="shared" si="100"/>
        <v>2024</v>
      </c>
      <c r="I2156" s="5">
        <f t="shared" ca="1" si="101"/>
        <v>-4.3601080815524927E-3</v>
      </c>
      <c r="J2156" s="16"/>
    </row>
    <row r="2157" spans="1:10" x14ac:dyDescent="0.2">
      <c r="A2157" s="3">
        <v>45407</v>
      </c>
      <c r="B2157" s="1">
        <f ca="1">IFERROR(__xludf.DUMMYFUNCTION("""COMPUTED_VALUE"""),158.96)</f>
        <v>158.96</v>
      </c>
      <c r="C2157" s="1">
        <f ca="1">IFERROR(__xludf.DUMMYFUNCTION("""COMPUTED_VALUE"""),170.88)</f>
        <v>170.88</v>
      </c>
      <c r="D2157" s="1">
        <f ca="1">IFERROR(__xludf.DUMMYFUNCTION("""COMPUTED_VALUE"""),158.36)</f>
        <v>158.36000000000001</v>
      </c>
      <c r="E2157" s="1">
        <f ca="1">IFERROR(__xludf.DUMMYFUNCTION("""COMPUTED_VALUE"""),170.18)</f>
        <v>170.18</v>
      </c>
      <c r="F2157" s="1">
        <f ca="1">IFERROR(__xludf.DUMMYFUNCTION("""COMPUTED_VALUE"""),126427521)</f>
        <v>126427521</v>
      </c>
      <c r="G2157" s="5">
        <f t="shared" ca="1" si="99"/>
        <v>-1.1105887883417645E-2</v>
      </c>
      <c r="H2157" s="14">
        <f t="shared" si="100"/>
        <v>2024</v>
      </c>
      <c r="I2157" s="5">
        <f t="shared" ca="1" si="101"/>
        <v>7.0583794665324592E-2</v>
      </c>
      <c r="J2157" s="16"/>
    </row>
    <row r="2158" spans="1:10" x14ac:dyDescent="0.2">
      <c r="A2158" s="3">
        <v>45408</v>
      </c>
      <c r="B2158" s="1">
        <f ca="1">IFERROR(__xludf.DUMMYFUNCTION("""COMPUTED_VALUE"""),168.85)</f>
        <v>168.85</v>
      </c>
      <c r="C2158" s="1">
        <f ca="1">IFERROR(__xludf.DUMMYFUNCTION("""COMPUTED_VALUE"""),172.12)</f>
        <v>172.12</v>
      </c>
      <c r="D2158" s="1">
        <f ca="1">IFERROR(__xludf.DUMMYFUNCTION("""COMPUTED_VALUE"""),166.37)</f>
        <v>166.37</v>
      </c>
      <c r="E2158" s="1">
        <f ca="1">IFERROR(__xludf.DUMMYFUNCTION("""COMPUTED_VALUE"""),168.29)</f>
        <v>168.29</v>
      </c>
      <c r="F2158" s="1">
        <f ca="1">IFERROR(__xludf.DUMMYFUNCTION("""COMPUTED_VALUE"""),109815725)</f>
        <v>109815725</v>
      </c>
      <c r="G2158" s="5">
        <f t="shared" ca="1" si="99"/>
        <v>0.15306910689880576</v>
      </c>
      <c r="H2158" s="14">
        <f t="shared" si="100"/>
        <v>2024</v>
      </c>
      <c r="I2158" s="5">
        <f t="shared" ca="1" si="101"/>
        <v>-3.3165531536867177E-3</v>
      </c>
      <c r="J2158" s="16"/>
    </row>
    <row r="2159" spans="1:10" x14ac:dyDescent="0.2">
      <c r="A2159" s="3">
        <v>45411</v>
      </c>
      <c r="B2159" s="1">
        <f ca="1">IFERROR(__xludf.DUMMYFUNCTION("""COMPUTED_VALUE"""),188.42)</f>
        <v>188.42</v>
      </c>
      <c r="C2159" s="1">
        <f ca="1">IFERROR(__xludf.DUMMYFUNCTION("""COMPUTED_VALUE"""),198.87)</f>
        <v>198.87</v>
      </c>
      <c r="D2159" s="1">
        <f ca="1">IFERROR(__xludf.DUMMYFUNCTION("""COMPUTED_VALUE"""),184.54)</f>
        <v>184.54</v>
      </c>
      <c r="E2159" s="1">
        <f ca="1">IFERROR(__xludf.DUMMYFUNCTION("""COMPUTED_VALUE"""),194.05)</f>
        <v>194.05</v>
      </c>
      <c r="F2159" s="1">
        <f ca="1">IFERROR(__xludf.DUMMYFUNCTION("""COMPUTED_VALUE"""),243869678)</f>
        <v>243869678</v>
      </c>
      <c r="G2159" s="5">
        <f t="shared" ca="1" si="99"/>
        <v>-5.5501159494975569E-2</v>
      </c>
      <c r="H2159" s="14">
        <f t="shared" si="100"/>
        <v>2024</v>
      </c>
      <c r="I2159" s="5">
        <f t="shared" ca="1" si="101"/>
        <v>2.9880055195839212E-2</v>
      </c>
      <c r="J2159" s="16"/>
    </row>
    <row r="2160" spans="1:10" x14ac:dyDescent="0.2">
      <c r="A2160" s="3">
        <v>45412</v>
      </c>
      <c r="B2160" s="1">
        <f ca="1">IFERROR(__xludf.DUMMYFUNCTION("""COMPUTED_VALUE"""),186.98)</f>
        <v>186.98</v>
      </c>
      <c r="C2160" s="1">
        <f ca="1">IFERROR(__xludf.DUMMYFUNCTION("""COMPUTED_VALUE"""),190.95)</f>
        <v>190.95</v>
      </c>
      <c r="D2160" s="1">
        <f ca="1">IFERROR(__xludf.DUMMYFUNCTION("""COMPUTED_VALUE"""),182.84)</f>
        <v>182.84</v>
      </c>
      <c r="E2160" s="1">
        <f ca="1">IFERROR(__xludf.DUMMYFUNCTION("""COMPUTED_VALUE"""),183.28)</f>
        <v>183.28</v>
      </c>
      <c r="F2160" s="1">
        <f ca="1">IFERROR(__xludf.DUMMYFUNCTION("""COMPUTED_VALUE"""),127031787)</f>
        <v>127031787</v>
      </c>
      <c r="G2160" s="5">
        <f t="shared" ca="1" si="99"/>
        <v>-1.7950676560453908E-2</v>
      </c>
      <c r="H2160" s="14">
        <f t="shared" si="100"/>
        <v>2024</v>
      </c>
      <c r="I2160" s="5">
        <f t="shared" ca="1" si="101"/>
        <v>-1.9788212643063369E-2</v>
      </c>
      <c r="J2160" s="16"/>
    </row>
    <row r="2161" spans="1:10" x14ac:dyDescent="0.2">
      <c r="A2161" s="3">
        <v>45413</v>
      </c>
      <c r="B2161" s="1">
        <f ca="1">IFERROR(__xludf.DUMMYFUNCTION("""COMPUTED_VALUE"""),182)</f>
        <v>182</v>
      </c>
      <c r="C2161" s="1">
        <f ca="1">IFERROR(__xludf.DUMMYFUNCTION("""COMPUTED_VALUE"""),185.86)</f>
        <v>185.86</v>
      </c>
      <c r="D2161" s="1">
        <f ca="1">IFERROR(__xludf.DUMMYFUNCTION("""COMPUTED_VALUE"""),179.01)</f>
        <v>179.01</v>
      </c>
      <c r="E2161" s="1">
        <f ca="1">IFERROR(__xludf.DUMMYFUNCTION("""COMPUTED_VALUE"""),179.99)</f>
        <v>179.99</v>
      </c>
      <c r="F2161" s="1">
        <f ca="1">IFERROR(__xludf.DUMMYFUNCTION("""COMPUTED_VALUE"""),92829719)</f>
        <v>92829719</v>
      </c>
      <c r="G2161" s="5">
        <f t="shared" ca="1" si="99"/>
        <v>1.111172842934708E-4</v>
      </c>
      <c r="H2161" s="14">
        <f t="shared" si="100"/>
        <v>2024</v>
      </c>
      <c r="I2161" s="5">
        <f t="shared" ca="1" si="101"/>
        <v>-1.1043956043955994E-2</v>
      </c>
      <c r="J2161" s="16"/>
    </row>
    <row r="2162" spans="1:10" x14ac:dyDescent="0.2">
      <c r="A2162" s="3">
        <v>45414</v>
      </c>
      <c r="B2162" s="1">
        <f ca="1">IFERROR(__xludf.DUMMYFUNCTION("""COMPUTED_VALUE"""),182.86)</f>
        <v>182.86</v>
      </c>
      <c r="C2162" s="1">
        <f ca="1">IFERROR(__xludf.DUMMYFUNCTION("""COMPUTED_VALUE"""),184.6)</f>
        <v>184.6</v>
      </c>
      <c r="D2162" s="1">
        <f ca="1">IFERROR(__xludf.DUMMYFUNCTION("""COMPUTED_VALUE"""),176.02)</f>
        <v>176.02</v>
      </c>
      <c r="E2162" s="1">
        <f ca="1">IFERROR(__xludf.DUMMYFUNCTION("""COMPUTED_VALUE"""),180.01)</f>
        <v>180.01</v>
      </c>
      <c r="F2162" s="1">
        <f ca="1">IFERROR(__xludf.DUMMYFUNCTION("""COMPUTED_VALUE"""),89148041)</f>
        <v>89148041</v>
      </c>
      <c r="G2162" s="5">
        <f t="shared" ca="1" si="99"/>
        <v>6.5551913782568019E-3</v>
      </c>
      <c r="H2162" s="14">
        <f t="shared" si="100"/>
        <v>2024</v>
      </c>
      <c r="I2162" s="5">
        <f t="shared" ca="1" si="101"/>
        <v>-1.5585693973531788E-2</v>
      </c>
      <c r="J2162" s="16"/>
    </row>
    <row r="2163" spans="1:10" x14ac:dyDescent="0.2">
      <c r="A2163" s="3">
        <v>45415</v>
      </c>
      <c r="B2163" s="1">
        <f ca="1">IFERROR(__xludf.DUMMYFUNCTION("""COMPUTED_VALUE"""),182.1)</f>
        <v>182.1</v>
      </c>
      <c r="C2163" s="1">
        <f ca="1">IFERROR(__xludf.DUMMYFUNCTION("""COMPUTED_VALUE"""),184.78)</f>
        <v>184.78</v>
      </c>
      <c r="D2163" s="1">
        <f ca="1">IFERROR(__xludf.DUMMYFUNCTION("""COMPUTED_VALUE"""),178.42)</f>
        <v>178.42</v>
      </c>
      <c r="E2163" s="1">
        <f ca="1">IFERROR(__xludf.DUMMYFUNCTION("""COMPUTED_VALUE"""),181.19)</f>
        <v>181.19</v>
      </c>
      <c r="F2163" s="1">
        <f ca="1">IFERROR(__xludf.DUMMYFUNCTION("""COMPUTED_VALUE"""),75491539)</f>
        <v>75491539</v>
      </c>
      <c r="G2163" s="5">
        <f t="shared" ca="1" si="99"/>
        <v>1.9703074121088324E-2</v>
      </c>
      <c r="H2163" s="14">
        <f t="shared" si="100"/>
        <v>2024</v>
      </c>
      <c r="I2163" s="5">
        <f t="shared" ca="1" si="101"/>
        <v>-4.9972542559033311E-3</v>
      </c>
      <c r="J2163" s="16"/>
    </row>
    <row r="2164" spans="1:10" x14ac:dyDescent="0.2">
      <c r="A2164" s="3">
        <v>45418</v>
      </c>
      <c r="B2164" s="1">
        <f ca="1">IFERROR(__xludf.DUMMYFUNCTION("""COMPUTED_VALUE"""),183.8)</f>
        <v>183.8</v>
      </c>
      <c r="C2164" s="1">
        <f ca="1">IFERROR(__xludf.DUMMYFUNCTION("""COMPUTED_VALUE"""),187.56)</f>
        <v>187.56</v>
      </c>
      <c r="D2164" s="1">
        <f ca="1">IFERROR(__xludf.DUMMYFUNCTION("""COMPUTED_VALUE"""),182.2)</f>
        <v>182.2</v>
      </c>
      <c r="E2164" s="1">
        <f ca="1">IFERROR(__xludf.DUMMYFUNCTION("""COMPUTED_VALUE"""),184.76)</f>
        <v>184.76</v>
      </c>
      <c r="F2164" s="1">
        <f ca="1">IFERROR(__xludf.DUMMYFUNCTION("""COMPUTED_VALUE"""),84390253)</f>
        <v>84390253</v>
      </c>
      <c r="G2164" s="5">
        <f t="shared" ca="1" si="99"/>
        <v>-3.7616367179043021E-2</v>
      </c>
      <c r="H2164" s="14">
        <f t="shared" si="100"/>
        <v>2024</v>
      </c>
      <c r="I2164" s="5">
        <f t="shared" ca="1" si="101"/>
        <v>5.2230685527746437E-3</v>
      </c>
      <c r="J2164" s="16"/>
    </row>
    <row r="2165" spans="1:10" x14ac:dyDescent="0.2">
      <c r="A2165" s="3">
        <v>45419</v>
      </c>
      <c r="B2165" s="1">
        <f ca="1">IFERROR(__xludf.DUMMYFUNCTION("""COMPUTED_VALUE"""),182.4)</f>
        <v>182.4</v>
      </c>
      <c r="C2165" s="1">
        <f ca="1">IFERROR(__xludf.DUMMYFUNCTION("""COMPUTED_VALUE"""),183.26)</f>
        <v>183.26</v>
      </c>
      <c r="D2165" s="1">
        <f ca="1">IFERROR(__xludf.DUMMYFUNCTION("""COMPUTED_VALUE"""),177.4)</f>
        <v>177.4</v>
      </c>
      <c r="E2165" s="1">
        <f ca="1">IFERROR(__xludf.DUMMYFUNCTION("""COMPUTED_VALUE"""),177.81)</f>
        <v>177.81</v>
      </c>
      <c r="F2165" s="1">
        <f ca="1">IFERROR(__xludf.DUMMYFUNCTION("""COMPUTED_VALUE"""),75045854)</f>
        <v>75045854</v>
      </c>
      <c r="G2165" s="5">
        <f t="shared" ca="1" si="99"/>
        <v>-1.7378100219335266E-2</v>
      </c>
      <c r="H2165" s="14">
        <f t="shared" si="100"/>
        <v>2024</v>
      </c>
      <c r="I2165" s="5">
        <f t="shared" ca="1" si="101"/>
        <v>-2.5164473684210546E-2</v>
      </c>
      <c r="J2165" s="16"/>
    </row>
    <row r="2166" spans="1:10" x14ac:dyDescent="0.2">
      <c r="A2166" s="3">
        <v>45420</v>
      </c>
      <c r="B2166" s="1">
        <f ca="1">IFERROR(__xludf.DUMMYFUNCTION("""COMPUTED_VALUE"""),171.59)</f>
        <v>171.59</v>
      </c>
      <c r="C2166" s="1">
        <f ca="1">IFERROR(__xludf.DUMMYFUNCTION("""COMPUTED_VALUE"""),176.06)</f>
        <v>176.06</v>
      </c>
      <c r="D2166" s="1">
        <f ca="1">IFERROR(__xludf.DUMMYFUNCTION("""COMPUTED_VALUE"""),170.15)</f>
        <v>170.15</v>
      </c>
      <c r="E2166" s="1">
        <f ca="1">IFERROR(__xludf.DUMMYFUNCTION("""COMPUTED_VALUE"""),174.72)</f>
        <v>174.72</v>
      </c>
      <c r="F2166" s="1">
        <f ca="1">IFERROR(__xludf.DUMMYFUNCTION("""COMPUTED_VALUE"""),79969488)</f>
        <v>79969488</v>
      </c>
      <c r="G2166" s="5">
        <f t="shared" ca="1" si="99"/>
        <v>-1.5739468864468864E-2</v>
      </c>
      <c r="H2166" s="14">
        <f t="shared" si="100"/>
        <v>2024</v>
      </c>
      <c r="I2166" s="5">
        <f t="shared" ca="1" si="101"/>
        <v>1.8241156244536368E-2</v>
      </c>
      <c r="J2166" s="16"/>
    </row>
    <row r="2167" spans="1:10" x14ac:dyDescent="0.2">
      <c r="A2167" s="3">
        <v>45421</v>
      </c>
      <c r="B2167" s="1">
        <f ca="1">IFERROR(__xludf.DUMMYFUNCTION("""COMPUTED_VALUE"""),175.01)</f>
        <v>175.01</v>
      </c>
      <c r="C2167" s="1">
        <f ca="1">IFERROR(__xludf.DUMMYFUNCTION("""COMPUTED_VALUE"""),175.62)</f>
        <v>175.62</v>
      </c>
      <c r="D2167" s="1">
        <f ca="1">IFERROR(__xludf.DUMMYFUNCTION("""COMPUTED_VALUE"""),171.37)</f>
        <v>171.37</v>
      </c>
      <c r="E2167" s="1">
        <f ca="1">IFERROR(__xludf.DUMMYFUNCTION("""COMPUTED_VALUE"""),171.97)</f>
        <v>171.97</v>
      </c>
      <c r="F2167" s="1">
        <f ca="1">IFERROR(__xludf.DUMMYFUNCTION("""COMPUTED_VALUE"""),65950292)</f>
        <v>65950292</v>
      </c>
      <c r="G2167" s="5">
        <f t="shared" ca="1" si="99"/>
        <v>-2.0352387044251904E-2</v>
      </c>
      <c r="H2167" s="14">
        <f t="shared" si="100"/>
        <v>2024</v>
      </c>
      <c r="I2167" s="5">
        <f t="shared" ca="1" si="101"/>
        <v>-1.7370435975087094E-2</v>
      </c>
      <c r="J2167" s="16"/>
    </row>
    <row r="2168" spans="1:10" x14ac:dyDescent="0.2">
      <c r="A2168" s="3">
        <v>45422</v>
      </c>
      <c r="B2168" s="1">
        <f ca="1">IFERROR(__xludf.DUMMYFUNCTION("""COMPUTED_VALUE"""),173.05)</f>
        <v>173.05</v>
      </c>
      <c r="C2168" s="1">
        <f ca="1">IFERROR(__xludf.DUMMYFUNCTION("""COMPUTED_VALUE"""),173.06)</f>
        <v>173.06</v>
      </c>
      <c r="D2168" s="1">
        <f ca="1">IFERROR(__xludf.DUMMYFUNCTION("""COMPUTED_VALUE"""),167.75)</f>
        <v>167.75</v>
      </c>
      <c r="E2168" s="1">
        <f ca="1">IFERROR(__xludf.DUMMYFUNCTION("""COMPUTED_VALUE"""),168.47)</f>
        <v>168.47</v>
      </c>
      <c r="F2168" s="1">
        <f ca="1">IFERROR(__xludf.DUMMYFUNCTION("""COMPUTED_VALUE"""),72627178)</f>
        <v>72627178</v>
      </c>
      <c r="G2168" s="5">
        <f t="shared" ca="1" si="99"/>
        <v>2.0300350210719936E-2</v>
      </c>
      <c r="H2168" s="14">
        <f t="shared" si="100"/>
        <v>2024</v>
      </c>
      <c r="I2168" s="5">
        <f t="shared" ca="1" si="101"/>
        <v>-2.6466339208321366E-2</v>
      </c>
      <c r="J2168" s="16"/>
    </row>
    <row r="2169" spans="1:10" x14ac:dyDescent="0.2">
      <c r="A2169" s="3">
        <v>45425</v>
      </c>
      <c r="B2169" s="1">
        <f ca="1">IFERROR(__xludf.DUMMYFUNCTION("""COMPUTED_VALUE"""),170)</f>
        <v>170</v>
      </c>
      <c r="C2169" s="1">
        <f ca="1">IFERROR(__xludf.DUMMYFUNCTION("""COMPUTED_VALUE"""),175.4)</f>
        <v>175.4</v>
      </c>
      <c r="D2169" s="1">
        <f ca="1">IFERROR(__xludf.DUMMYFUNCTION("""COMPUTED_VALUE"""),169)</f>
        <v>169</v>
      </c>
      <c r="E2169" s="1">
        <f ca="1">IFERROR(__xludf.DUMMYFUNCTION("""COMPUTED_VALUE"""),171.89)</f>
        <v>171.89</v>
      </c>
      <c r="F2169" s="1">
        <f ca="1">IFERROR(__xludf.DUMMYFUNCTION("""COMPUTED_VALUE"""),67018903)</f>
        <v>67018903</v>
      </c>
      <c r="G2169" s="5">
        <f t="shared" ca="1" si="99"/>
        <v>3.2928035371458636E-2</v>
      </c>
      <c r="H2169" s="14">
        <f t="shared" si="100"/>
        <v>2024</v>
      </c>
      <c r="I2169" s="5">
        <f t="shared" ca="1" si="101"/>
        <v>1.1117647058823449E-2</v>
      </c>
      <c r="J2169" s="16"/>
    </row>
    <row r="2170" spans="1:10" x14ac:dyDescent="0.2">
      <c r="A2170" s="3">
        <v>45426</v>
      </c>
      <c r="B2170" s="1">
        <f ca="1">IFERROR(__xludf.DUMMYFUNCTION("""COMPUTED_VALUE"""),174.5)</f>
        <v>174.5</v>
      </c>
      <c r="C2170" s="1">
        <f ca="1">IFERROR(__xludf.DUMMYFUNCTION("""COMPUTED_VALUE"""),179.49)</f>
        <v>179.49</v>
      </c>
      <c r="D2170" s="1">
        <f ca="1">IFERROR(__xludf.DUMMYFUNCTION("""COMPUTED_VALUE"""),174.07)</f>
        <v>174.07</v>
      </c>
      <c r="E2170" s="1">
        <f ca="1">IFERROR(__xludf.DUMMYFUNCTION("""COMPUTED_VALUE"""),177.55)</f>
        <v>177.55</v>
      </c>
      <c r="F2170" s="1">
        <f ca="1">IFERROR(__xludf.DUMMYFUNCTION("""COMPUTED_VALUE"""),86407422)</f>
        <v>86407422</v>
      </c>
      <c r="G2170" s="5">
        <f t="shared" ca="1" si="99"/>
        <v>-2.0050689946493956E-2</v>
      </c>
      <c r="H2170" s="14">
        <f t="shared" si="100"/>
        <v>2024</v>
      </c>
      <c r="I2170" s="5">
        <f t="shared" ca="1" si="101"/>
        <v>1.747851002865336E-2</v>
      </c>
      <c r="J2170" s="16"/>
    </row>
    <row r="2171" spans="1:10" x14ac:dyDescent="0.2">
      <c r="A2171" s="3">
        <v>45427</v>
      </c>
      <c r="B2171" s="1">
        <f ca="1">IFERROR(__xludf.DUMMYFUNCTION("""COMPUTED_VALUE"""),179.9)</f>
        <v>179.9</v>
      </c>
      <c r="C2171" s="1">
        <f ca="1">IFERROR(__xludf.DUMMYFUNCTION("""COMPUTED_VALUE"""),180)</f>
        <v>180</v>
      </c>
      <c r="D2171" s="1">
        <f ca="1">IFERROR(__xludf.DUMMYFUNCTION("""COMPUTED_VALUE"""),173.11)</f>
        <v>173.11</v>
      </c>
      <c r="E2171" s="1">
        <f ca="1">IFERROR(__xludf.DUMMYFUNCTION("""COMPUTED_VALUE"""),173.99)</f>
        <v>173.99</v>
      </c>
      <c r="F2171" s="1">
        <f ca="1">IFERROR(__xludf.DUMMYFUNCTION("""COMPUTED_VALUE"""),79662993)</f>
        <v>79662993</v>
      </c>
      <c r="G2171" s="5">
        <f t="shared" ca="1" si="99"/>
        <v>4.8853382378297276E-3</v>
      </c>
      <c r="H2171" s="14">
        <f t="shared" si="100"/>
        <v>2024</v>
      </c>
      <c r="I2171" s="5">
        <f t="shared" ca="1" si="101"/>
        <v>-3.2851584213451898E-2</v>
      </c>
      <c r="J2171" s="16"/>
    </row>
    <row r="2172" spans="1:10" x14ac:dyDescent="0.2">
      <c r="A2172" s="3">
        <v>45428</v>
      </c>
      <c r="B2172" s="1">
        <f ca="1">IFERROR(__xludf.DUMMYFUNCTION("""COMPUTED_VALUE"""),174.1)</f>
        <v>174.1</v>
      </c>
      <c r="C2172" s="1">
        <f ca="1">IFERROR(__xludf.DUMMYFUNCTION("""COMPUTED_VALUE"""),175.79)</f>
        <v>175.79</v>
      </c>
      <c r="D2172" s="1">
        <f ca="1">IFERROR(__xludf.DUMMYFUNCTION("""COMPUTED_VALUE"""),171.43)</f>
        <v>171.43</v>
      </c>
      <c r="E2172" s="1">
        <f ca="1">IFERROR(__xludf.DUMMYFUNCTION("""COMPUTED_VALUE"""),174.84)</f>
        <v>174.84</v>
      </c>
      <c r="F2172" s="1">
        <f ca="1">IFERROR(__xludf.DUMMYFUNCTION("""COMPUTED_VALUE"""),59812220)</f>
        <v>59812220</v>
      </c>
      <c r="G2172" s="5">
        <f t="shared" ca="1" si="99"/>
        <v>1.498512926103869E-2</v>
      </c>
      <c r="H2172" s="14">
        <f t="shared" si="100"/>
        <v>2024</v>
      </c>
      <c r="I2172" s="5">
        <f t="shared" ca="1" si="101"/>
        <v>4.2504307869041308E-3</v>
      </c>
      <c r="J2172" s="16"/>
    </row>
    <row r="2173" spans="1:10" x14ac:dyDescent="0.2">
      <c r="A2173" s="3">
        <v>45429</v>
      </c>
      <c r="B2173" s="1">
        <f ca="1">IFERROR(__xludf.DUMMYFUNCTION("""COMPUTED_VALUE"""),173.55)</f>
        <v>173.55</v>
      </c>
      <c r="C2173" s="1">
        <f ca="1">IFERROR(__xludf.DUMMYFUNCTION("""COMPUTED_VALUE"""),179.63)</f>
        <v>179.63</v>
      </c>
      <c r="D2173" s="1">
        <f ca="1">IFERROR(__xludf.DUMMYFUNCTION("""COMPUTED_VALUE"""),172.75)</f>
        <v>172.75</v>
      </c>
      <c r="E2173" s="1">
        <f ca="1">IFERROR(__xludf.DUMMYFUNCTION("""COMPUTED_VALUE"""),177.46)</f>
        <v>177.46</v>
      </c>
      <c r="F2173" s="1">
        <f ca="1">IFERROR(__xludf.DUMMYFUNCTION("""COMPUTED_VALUE"""),77445845)</f>
        <v>77445845</v>
      </c>
      <c r="G2173" s="5">
        <f t="shared" ca="1" si="99"/>
        <v>-1.4144032458018816E-2</v>
      </c>
      <c r="H2173" s="14">
        <f t="shared" si="100"/>
        <v>2024</v>
      </c>
      <c r="I2173" s="5">
        <f t="shared" ca="1" si="101"/>
        <v>2.2529530394698911E-2</v>
      </c>
      <c r="J2173" s="16"/>
    </row>
    <row r="2174" spans="1:10" x14ac:dyDescent="0.2">
      <c r="A2174" s="3">
        <v>45432</v>
      </c>
      <c r="B2174" s="1">
        <f ca="1">IFERROR(__xludf.DUMMYFUNCTION("""COMPUTED_VALUE"""),177.56)</f>
        <v>177.56</v>
      </c>
      <c r="C2174" s="1">
        <f ca="1">IFERROR(__xludf.DUMMYFUNCTION("""COMPUTED_VALUE"""),177.75)</f>
        <v>177.75</v>
      </c>
      <c r="D2174" s="1">
        <f ca="1">IFERROR(__xludf.DUMMYFUNCTION("""COMPUTED_VALUE"""),173.52)</f>
        <v>173.52</v>
      </c>
      <c r="E2174" s="1">
        <f ca="1">IFERROR(__xludf.DUMMYFUNCTION("""COMPUTED_VALUE"""),174.95)</f>
        <v>174.95</v>
      </c>
      <c r="F2174" s="1">
        <f ca="1">IFERROR(__xludf.DUMMYFUNCTION("""COMPUTED_VALUE"""),61727425)</f>
        <v>61727425</v>
      </c>
      <c r="G2174" s="5">
        <f t="shared" ca="1" si="99"/>
        <v>6.659045441554734E-2</v>
      </c>
      <c r="H2174" s="14">
        <f t="shared" si="100"/>
        <v>2024</v>
      </c>
      <c r="I2174" s="5">
        <f t="shared" ca="1" si="101"/>
        <v>-1.4699256589321997E-2</v>
      </c>
      <c r="J2174" s="16"/>
    </row>
    <row r="2175" spans="1:10" x14ac:dyDescent="0.2">
      <c r="A2175" s="3">
        <v>45433</v>
      </c>
      <c r="B2175" s="1">
        <f ca="1">IFERROR(__xludf.DUMMYFUNCTION("""COMPUTED_VALUE"""),175.51)</f>
        <v>175.51</v>
      </c>
      <c r="C2175" s="1">
        <f ca="1">IFERROR(__xludf.DUMMYFUNCTION("""COMPUTED_VALUE"""),186.88)</f>
        <v>186.88</v>
      </c>
      <c r="D2175" s="1">
        <f ca="1">IFERROR(__xludf.DUMMYFUNCTION("""COMPUTED_VALUE"""),174.71)</f>
        <v>174.71</v>
      </c>
      <c r="E2175" s="1">
        <f ca="1">IFERROR(__xludf.DUMMYFUNCTION("""COMPUTED_VALUE"""),186.6)</f>
        <v>186.6</v>
      </c>
      <c r="F2175" s="1">
        <f ca="1">IFERROR(__xludf.DUMMYFUNCTION("""COMPUTED_VALUE"""),115266512)</f>
        <v>115266512</v>
      </c>
      <c r="G2175" s="5">
        <f t="shared" ca="1" si="99"/>
        <v>-3.4780278670953811E-2</v>
      </c>
      <c r="H2175" s="14">
        <f t="shared" si="100"/>
        <v>2024</v>
      </c>
      <c r="I2175" s="5">
        <f t="shared" ca="1" si="101"/>
        <v>6.3187282775910222E-2</v>
      </c>
      <c r="J2175" s="16"/>
    </row>
    <row r="2176" spans="1:10" x14ac:dyDescent="0.2">
      <c r="A2176" s="3">
        <v>45434</v>
      </c>
      <c r="B2176" s="1">
        <f ca="1">IFERROR(__xludf.DUMMYFUNCTION("""COMPUTED_VALUE"""),182.85)</f>
        <v>182.85</v>
      </c>
      <c r="C2176" s="1">
        <f ca="1">IFERROR(__xludf.DUMMYFUNCTION("""COMPUTED_VALUE"""),183.8)</f>
        <v>183.8</v>
      </c>
      <c r="D2176" s="1">
        <f ca="1">IFERROR(__xludf.DUMMYFUNCTION("""COMPUTED_VALUE"""),178.12)</f>
        <v>178.12</v>
      </c>
      <c r="E2176" s="1">
        <f ca="1">IFERROR(__xludf.DUMMYFUNCTION("""COMPUTED_VALUE"""),180.11)</f>
        <v>180.11</v>
      </c>
      <c r="F2176" s="1">
        <f ca="1">IFERROR(__xludf.DUMMYFUNCTION("""COMPUTED_VALUE"""),88313477)</f>
        <v>88313477</v>
      </c>
      <c r="G2176" s="5">
        <f t="shared" ca="1" si="99"/>
        <v>-3.5367275553828237E-2</v>
      </c>
      <c r="H2176" s="14">
        <f t="shared" si="100"/>
        <v>2024</v>
      </c>
      <c r="I2176" s="5">
        <f t="shared" ca="1" si="101"/>
        <v>-1.4984960350013567E-2</v>
      </c>
      <c r="J2176" s="16"/>
    </row>
    <row r="2177" spans="1:10" x14ac:dyDescent="0.2">
      <c r="A2177" s="3">
        <v>45435</v>
      </c>
      <c r="B2177" s="1">
        <f ca="1">IFERROR(__xludf.DUMMYFUNCTION("""COMPUTED_VALUE"""),181.8)</f>
        <v>181.8</v>
      </c>
      <c r="C2177" s="1">
        <f ca="1">IFERROR(__xludf.DUMMYFUNCTION("""COMPUTED_VALUE"""),181.9)</f>
        <v>181.9</v>
      </c>
      <c r="D2177" s="1">
        <f ca="1">IFERROR(__xludf.DUMMYFUNCTION("""COMPUTED_VALUE"""),173.26)</f>
        <v>173.26</v>
      </c>
      <c r="E2177" s="1">
        <f ca="1">IFERROR(__xludf.DUMMYFUNCTION("""COMPUTED_VALUE"""),173.74)</f>
        <v>173.74</v>
      </c>
      <c r="F2177" s="1">
        <f ca="1">IFERROR(__xludf.DUMMYFUNCTION("""COMPUTED_VALUE"""),71975496)</f>
        <v>71975496</v>
      </c>
      <c r="G2177" s="5">
        <f t="shared" ca="1" si="99"/>
        <v>3.1656498215724645E-2</v>
      </c>
      <c r="H2177" s="14">
        <f t="shared" si="100"/>
        <v>2024</v>
      </c>
      <c r="I2177" s="5">
        <f t="shared" ca="1" si="101"/>
        <v>-4.4334433443344347E-2</v>
      </c>
      <c r="J2177" s="16"/>
    </row>
    <row r="2178" spans="1:10" x14ac:dyDescent="0.2">
      <c r="A2178" s="3">
        <v>45436</v>
      </c>
      <c r="B2178" s="1">
        <f ca="1">IFERROR(__xludf.DUMMYFUNCTION("""COMPUTED_VALUE"""),174.84)</f>
        <v>174.84</v>
      </c>
      <c r="C2178" s="1">
        <f ca="1">IFERROR(__xludf.DUMMYFUNCTION("""COMPUTED_VALUE"""),180.08)</f>
        <v>180.08</v>
      </c>
      <c r="D2178" s="1">
        <f ca="1">IFERROR(__xludf.DUMMYFUNCTION("""COMPUTED_VALUE"""),173.73)</f>
        <v>173.73</v>
      </c>
      <c r="E2178" s="1">
        <f ca="1">IFERROR(__xludf.DUMMYFUNCTION("""COMPUTED_VALUE"""),179.24)</f>
        <v>179.24</v>
      </c>
      <c r="F2178" s="1">
        <f ca="1">IFERROR(__xludf.DUMMYFUNCTION("""COMPUTED_VALUE"""),65584478)</f>
        <v>65584478</v>
      </c>
      <c r="G2178" s="5">
        <f t="shared" ca="1" si="99"/>
        <v>-1.3891988395447495E-2</v>
      </c>
      <c r="H2178" s="14">
        <f t="shared" si="100"/>
        <v>2024</v>
      </c>
      <c r="I2178" s="5">
        <f t="shared" ca="1" si="101"/>
        <v>2.5165865934568779E-2</v>
      </c>
      <c r="J2178" s="16"/>
    </row>
    <row r="2179" spans="1:10" x14ac:dyDescent="0.2">
      <c r="A2179" s="3">
        <v>45440</v>
      </c>
      <c r="B2179" s="1">
        <f ca="1">IFERROR(__xludf.DUMMYFUNCTION("""COMPUTED_VALUE"""),176.4)</f>
        <v>176.4</v>
      </c>
      <c r="C2179" s="1">
        <f ca="1">IFERROR(__xludf.DUMMYFUNCTION("""COMPUTED_VALUE"""),178.25)</f>
        <v>178.25</v>
      </c>
      <c r="D2179" s="1">
        <f ca="1">IFERROR(__xludf.DUMMYFUNCTION("""COMPUTED_VALUE"""),173.16)</f>
        <v>173.16</v>
      </c>
      <c r="E2179" s="1">
        <f ca="1">IFERROR(__xludf.DUMMYFUNCTION("""COMPUTED_VALUE"""),176.75)</f>
        <v>176.75</v>
      </c>
      <c r="F2179" s="1">
        <f ca="1">IFERROR(__xludf.DUMMYFUNCTION("""COMPUTED_VALUE"""),59736620)</f>
        <v>59736620</v>
      </c>
      <c r="G2179" s="5">
        <f t="shared" ref="G2179:G2242" ca="1" si="102">(E2180-E2179)/E2179</f>
        <v>-3.1683168316831811E-3</v>
      </c>
      <c r="H2179" s="14">
        <f t="shared" ref="H2179:H2242" si="103">YEAR(A2179)</f>
        <v>2024</v>
      </c>
      <c r="I2179" s="5">
        <f t="shared" ref="I2179:I2242" ca="1" si="104">((E2179 - B2179) / B2179)</f>
        <v>1.9841269841269519E-3</v>
      </c>
      <c r="J2179" s="16"/>
    </row>
    <row r="2180" spans="1:10" x14ac:dyDescent="0.2">
      <c r="A2180" s="3">
        <v>45441</v>
      </c>
      <c r="B2180" s="1">
        <f ca="1">IFERROR(__xludf.DUMMYFUNCTION("""COMPUTED_VALUE"""),174.19)</f>
        <v>174.19</v>
      </c>
      <c r="C2180" s="1">
        <f ca="1">IFERROR(__xludf.DUMMYFUNCTION("""COMPUTED_VALUE"""),178.15)</f>
        <v>178.15</v>
      </c>
      <c r="D2180" s="1">
        <f ca="1">IFERROR(__xludf.DUMMYFUNCTION("""COMPUTED_VALUE"""),173.93)</f>
        <v>173.93</v>
      </c>
      <c r="E2180" s="1">
        <f ca="1">IFERROR(__xludf.DUMMYFUNCTION("""COMPUTED_VALUE"""),176.19)</f>
        <v>176.19</v>
      </c>
      <c r="F2180" s="1">
        <f ca="1">IFERROR(__xludf.DUMMYFUNCTION("""COMPUTED_VALUE"""),54782649)</f>
        <v>54782649</v>
      </c>
      <c r="G2180" s="5">
        <f t="shared" ca="1" si="102"/>
        <v>1.4756796639990888E-2</v>
      </c>
      <c r="H2180" s="14">
        <f t="shared" si="103"/>
        <v>2024</v>
      </c>
      <c r="I2180" s="5">
        <f t="shared" ca="1" si="104"/>
        <v>1.1481715368276021E-2</v>
      </c>
      <c r="J2180" s="16"/>
    </row>
    <row r="2181" spans="1:10" x14ac:dyDescent="0.2">
      <c r="A2181" s="3">
        <v>45442</v>
      </c>
      <c r="B2181" s="1">
        <f ca="1">IFERROR(__xludf.DUMMYFUNCTION("""COMPUTED_VALUE"""),178.58)</f>
        <v>178.58</v>
      </c>
      <c r="C2181" s="1">
        <f ca="1">IFERROR(__xludf.DUMMYFUNCTION("""COMPUTED_VALUE"""),182.67)</f>
        <v>182.67</v>
      </c>
      <c r="D2181" s="1">
        <f ca="1">IFERROR(__xludf.DUMMYFUNCTION("""COMPUTED_VALUE"""),175.38)</f>
        <v>175.38</v>
      </c>
      <c r="E2181" s="1">
        <f ca="1">IFERROR(__xludf.DUMMYFUNCTION("""COMPUTED_VALUE"""),178.79)</f>
        <v>178.79</v>
      </c>
      <c r="F2181" s="1">
        <f ca="1">IFERROR(__xludf.DUMMYFUNCTION("""COMPUTED_VALUE"""),77784755)</f>
        <v>77784755</v>
      </c>
      <c r="G2181" s="5">
        <f t="shared" ca="1" si="102"/>
        <v>-3.9711393254655159E-3</v>
      </c>
      <c r="H2181" s="14">
        <f t="shared" si="103"/>
        <v>2024</v>
      </c>
      <c r="I2181" s="5">
        <f t="shared" ca="1" si="104"/>
        <v>1.1759435547092593E-3</v>
      </c>
      <c r="J2181" s="16"/>
    </row>
    <row r="2182" spans="1:10" x14ac:dyDescent="0.2">
      <c r="A2182" s="3">
        <v>45443</v>
      </c>
      <c r="B2182" s="1">
        <f ca="1">IFERROR(__xludf.DUMMYFUNCTION("""COMPUTED_VALUE"""),178.5)</f>
        <v>178.5</v>
      </c>
      <c r="C2182" s="1">
        <f ca="1">IFERROR(__xludf.DUMMYFUNCTION("""COMPUTED_VALUE"""),180.32)</f>
        <v>180.32</v>
      </c>
      <c r="D2182" s="1">
        <f ca="1">IFERROR(__xludf.DUMMYFUNCTION("""COMPUTED_VALUE"""),173.82)</f>
        <v>173.82</v>
      </c>
      <c r="E2182" s="1">
        <f ca="1">IFERROR(__xludf.DUMMYFUNCTION("""COMPUTED_VALUE"""),178.08)</f>
        <v>178.08</v>
      </c>
      <c r="F2182" s="1">
        <f ca="1">IFERROR(__xludf.DUMMYFUNCTION("""COMPUTED_VALUE"""),67314602)</f>
        <v>67314602</v>
      </c>
      <c r="G2182" s="5">
        <f t="shared" ca="1" si="102"/>
        <v>-1.0051662174303798E-2</v>
      </c>
      <c r="H2182" s="14">
        <f t="shared" si="103"/>
        <v>2024</v>
      </c>
      <c r="I2182" s="5">
        <f t="shared" ca="1" si="104"/>
        <v>-2.3529411764705182E-3</v>
      </c>
      <c r="J2182" s="16"/>
    </row>
    <row r="2183" spans="1:10" x14ac:dyDescent="0.2">
      <c r="A2183" s="3">
        <v>45446</v>
      </c>
      <c r="B2183" s="1">
        <f ca="1">IFERROR(__xludf.DUMMYFUNCTION("""COMPUTED_VALUE"""),178.13)</f>
        <v>178.13</v>
      </c>
      <c r="C2183" s="1">
        <f ca="1">IFERROR(__xludf.DUMMYFUNCTION("""COMPUTED_VALUE"""),182.64)</f>
        <v>182.64</v>
      </c>
      <c r="D2183" s="1">
        <f ca="1">IFERROR(__xludf.DUMMYFUNCTION("""COMPUTED_VALUE"""),174.49)</f>
        <v>174.49</v>
      </c>
      <c r="E2183" s="1">
        <f ca="1">IFERROR(__xludf.DUMMYFUNCTION("""COMPUTED_VALUE"""),176.29)</f>
        <v>176.29</v>
      </c>
      <c r="F2183" s="1">
        <f ca="1">IFERROR(__xludf.DUMMYFUNCTION("""COMPUTED_VALUE"""),68568920)</f>
        <v>68568920</v>
      </c>
      <c r="G2183" s="5">
        <f t="shared" ca="1" si="102"/>
        <v>-8.6221566736626124E-3</v>
      </c>
      <c r="H2183" s="14">
        <f t="shared" si="103"/>
        <v>2024</v>
      </c>
      <c r="I2183" s="5">
        <f t="shared" ca="1" si="104"/>
        <v>-1.0329534609554838E-2</v>
      </c>
      <c r="J2183" s="16"/>
    </row>
    <row r="2184" spans="1:10" x14ac:dyDescent="0.2">
      <c r="A2184" s="3">
        <v>45447</v>
      </c>
      <c r="B2184" s="1">
        <f ca="1">IFERROR(__xludf.DUMMYFUNCTION("""COMPUTED_VALUE"""),174.78)</f>
        <v>174.78</v>
      </c>
      <c r="C2184" s="1">
        <f ca="1">IFERROR(__xludf.DUMMYFUNCTION("""COMPUTED_VALUE"""),177.76)</f>
        <v>177.76</v>
      </c>
      <c r="D2184" s="1">
        <f ca="1">IFERROR(__xludf.DUMMYFUNCTION("""COMPUTED_VALUE"""),174)</f>
        <v>174</v>
      </c>
      <c r="E2184" s="1">
        <f ca="1">IFERROR(__xludf.DUMMYFUNCTION("""COMPUTED_VALUE"""),174.77)</f>
        <v>174.77</v>
      </c>
      <c r="F2184" s="1">
        <f ca="1">IFERROR(__xludf.DUMMYFUNCTION("""COMPUTED_VALUE"""),60056340)</f>
        <v>60056340</v>
      </c>
      <c r="G2184" s="5">
        <f t="shared" ca="1" si="102"/>
        <v>1.3160153344394904E-3</v>
      </c>
      <c r="H2184" s="14">
        <f t="shared" si="103"/>
        <v>2024</v>
      </c>
      <c r="I2184" s="5">
        <f t="shared" ca="1" si="104"/>
        <v>-5.7214784300211153E-5</v>
      </c>
      <c r="J2184" s="16"/>
    </row>
    <row r="2185" spans="1:10" x14ac:dyDescent="0.2">
      <c r="A2185" s="3">
        <v>45448</v>
      </c>
      <c r="B2185" s="1">
        <f ca="1">IFERROR(__xludf.DUMMYFUNCTION("""COMPUTED_VALUE"""),175.35)</f>
        <v>175.35</v>
      </c>
      <c r="C2185" s="1">
        <f ca="1">IFERROR(__xludf.DUMMYFUNCTION("""COMPUTED_VALUE"""),176.15)</f>
        <v>176.15</v>
      </c>
      <c r="D2185" s="1">
        <f ca="1">IFERROR(__xludf.DUMMYFUNCTION("""COMPUTED_VALUE"""),172.13)</f>
        <v>172.13</v>
      </c>
      <c r="E2185" s="1">
        <f ca="1">IFERROR(__xludf.DUMMYFUNCTION("""COMPUTED_VALUE"""),175)</f>
        <v>175</v>
      </c>
      <c r="F2185" s="1">
        <f ca="1">IFERROR(__xludf.DUMMYFUNCTION("""COMPUTED_VALUE"""),57953756)</f>
        <v>57953756</v>
      </c>
      <c r="G2185" s="5">
        <f t="shared" ca="1" si="102"/>
        <v>1.6799999999999989E-2</v>
      </c>
      <c r="H2185" s="14">
        <f t="shared" si="103"/>
        <v>2024</v>
      </c>
      <c r="I2185" s="5">
        <f t="shared" ca="1" si="104"/>
        <v>-1.9960079840319039E-3</v>
      </c>
      <c r="J2185" s="16"/>
    </row>
    <row r="2186" spans="1:10" x14ac:dyDescent="0.2">
      <c r="A2186" s="3">
        <v>45449</v>
      </c>
      <c r="B2186" s="1">
        <f ca="1">IFERROR(__xludf.DUMMYFUNCTION("""COMPUTED_VALUE"""),174.6)</f>
        <v>174.6</v>
      </c>
      <c r="C2186" s="1">
        <f ca="1">IFERROR(__xludf.DUMMYFUNCTION("""COMPUTED_VALUE"""),179.73)</f>
        <v>179.73</v>
      </c>
      <c r="D2186" s="1">
        <f ca="1">IFERROR(__xludf.DUMMYFUNCTION("""COMPUTED_VALUE"""),172.73)</f>
        <v>172.73</v>
      </c>
      <c r="E2186" s="1">
        <f ca="1">IFERROR(__xludf.DUMMYFUNCTION("""COMPUTED_VALUE"""),177.94)</f>
        <v>177.94</v>
      </c>
      <c r="F2186" s="1">
        <f ca="1">IFERROR(__xludf.DUMMYFUNCTION("""COMPUTED_VALUE"""),69887024)</f>
        <v>69887024</v>
      </c>
      <c r="G2186" s="5">
        <f t="shared" ca="1" si="102"/>
        <v>-2.5851410587839044E-3</v>
      </c>
      <c r="H2186" s="14">
        <f t="shared" si="103"/>
        <v>2024</v>
      </c>
      <c r="I2186" s="5">
        <f t="shared" ca="1" si="104"/>
        <v>1.9129438717067602E-2</v>
      </c>
      <c r="J2186" s="16"/>
    </row>
    <row r="2187" spans="1:10" x14ac:dyDescent="0.2">
      <c r="A2187" s="3">
        <v>45450</v>
      </c>
      <c r="B2187" s="1">
        <f ca="1">IFERROR(__xludf.DUMMYFUNCTION("""COMPUTED_VALUE"""),176.13)</f>
        <v>176.13</v>
      </c>
      <c r="C2187" s="1">
        <f ca="1">IFERROR(__xludf.DUMMYFUNCTION("""COMPUTED_VALUE"""),179.35)</f>
        <v>179.35</v>
      </c>
      <c r="D2187" s="1">
        <f ca="1">IFERROR(__xludf.DUMMYFUNCTION("""COMPUTED_VALUE"""),175.58)</f>
        <v>175.58</v>
      </c>
      <c r="E2187" s="1">
        <f ca="1">IFERROR(__xludf.DUMMYFUNCTION("""COMPUTED_VALUE"""),177.48)</f>
        <v>177.48</v>
      </c>
      <c r="F2187" s="1">
        <f ca="1">IFERROR(__xludf.DUMMYFUNCTION("""COMPUTED_VALUE"""),56244932)</f>
        <v>56244932</v>
      </c>
      <c r="G2187" s="5">
        <f t="shared" ca="1" si="102"/>
        <v>-2.0791075050709928E-2</v>
      </c>
      <c r="H2187" s="14">
        <f t="shared" si="103"/>
        <v>2024</v>
      </c>
      <c r="I2187" s="5">
        <f t="shared" ca="1" si="104"/>
        <v>7.6647930505876023E-3</v>
      </c>
      <c r="J2187" s="16"/>
    </row>
    <row r="2188" spans="1:10" x14ac:dyDescent="0.2">
      <c r="A2188" s="3">
        <v>45453</v>
      </c>
      <c r="B2188" s="1">
        <f ca="1">IFERROR(__xludf.DUMMYFUNCTION("""COMPUTED_VALUE"""),176.06)</f>
        <v>176.06</v>
      </c>
      <c r="C2188" s="1">
        <f ca="1">IFERROR(__xludf.DUMMYFUNCTION("""COMPUTED_VALUE"""),178.57)</f>
        <v>178.57</v>
      </c>
      <c r="D2188" s="1">
        <f ca="1">IFERROR(__xludf.DUMMYFUNCTION("""COMPUTED_VALUE"""),173.17)</f>
        <v>173.17</v>
      </c>
      <c r="E2188" s="1">
        <f ca="1">IFERROR(__xludf.DUMMYFUNCTION("""COMPUTED_VALUE"""),173.79)</f>
        <v>173.79</v>
      </c>
      <c r="F2188" s="1">
        <f ca="1">IFERROR(__xludf.DUMMYFUNCTION("""COMPUTED_VALUE"""),50869682)</f>
        <v>50869682</v>
      </c>
      <c r="G2188" s="5">
        <f t="shared" ca="1" si="102"/>
        <v>-1.8010242246389294E-2</v>
      </c>
      <c r="H2188" s="14">
        <f t="shared" si="103"/>
        <v>2024</v>
      </c>
      <c r="I2188" s="5">
        <f t="shared" ca="1" si="104"/>
        <v>-1.2893331818698228E-2</v>
      </c>
      <c r="J2188" s="16"/>
    </row>
    <row r="2189" spans="1:10" x14ac:dyDescent="0.2">
      <c r="A2189" s="3">
        <v>45454</v>
      </c>
      <c r="B2189" s="1">
        <f ca="1">IFERROR(__xludf.DUMMYFUNCTION("""COMPUTED_VALUE"""),173.92)</f>
        <v>173.92</v>
      </c>
      <c r="C2189" s="1">
        <f ca="1">IFERROR(__xludf.DUMMYFUNCTION("""COMPUTED_VALUE"""),174.75)</f>
        <v>174.75</v>
      </c>
      <c r="D2189" s="1">
        <f ca="1">IFERROR(__xludf.DUMMYFUNCTION("""COMPUTED_VALUE"""),167.41)</f>
        <v>167.41</v>
      </c>
      <c r="E2189" s="1">
        <f ca="1">IFERROR(__xludf.DUMMYFUNCTION("""COMPUTED_VALUE"""),170.66)</f>
        <v>170.66</v>
      </c>
      <c r="F2189" s="1">
        <f ca="1">IFERROR(__xludf.DUMMYFUNCTION("""COMPUTED_VALUE"""),64761928)</f>
        <v>64761928</v>
      </c>
      <c r="G2189" s="5">
        <f t="shared" ca="1" si="102"/>
        <v>3.8849173795851372E-2</v>
      </c>
      <c r="H2189" s="14">
        <f t="shared" si="103"/>
        <v>2024</v>
      </c>
      <c r="I2189" s="5">
        <f t="shared" ca="1" si="104"/>
        <v>-1.8744250229990749E-2</v>
      </c>
      <c r="J2189" s="16"/>
    </row>
    <row r="2190" spans="1:10" x14ac:dyDescent="0.2">
      <c r="A2190" s="3">
        <v>45455</v>
      </c>
      <c r="B2190" s="1">
        <f ca="1">IFERROR(__xludf.DUMMYFUNCTION("""COMPUTED_VALUE"""),171.12)</f>
        <v>171.12</v>
      </c>
      <c r="C2190" s="1">
        <f ca="1">IFERROR(__xludf.DUMMYFUNCTION("""COMPUTED_VALUE"""),180.55)</f>
        <v>180.55</v>
      </c>
      <c r="D2190" s="1">
        <f ca="1">IFERROR(__xludf.DUMMYFUNCTION("""COMPUTED_VALUE"""),169.8)</f>
        <v>169.8</v>
      </c>
      <c r="E2190" s="1">
        <f ca="1">IFERROR(__xludf.DUMMYFUNCTION("""COMPUTED_VALUE"""),177.29)</f>
        <v>177.29</v>
      </c>
      <c r="F2190" s="1">
        <f ca="1">IFERROR(__xludf.DUMMYFUNCTION("""COMPUTED_VALUE"""),90389446)</f>
        <v>90389446</v>
      </c>
      <c r="G2190" s="5">
        <f t="shared" ca="1" si="102"/>
        <v>2.9217665971007993E-2</v>
      </c>
      <c r="H2190" s="14">
        <f t="shared" si="103"/>
        <v>2024</v>
      </c>
      <c r="I2190" s="5">
        <f t="shared" ca="1" si="104"/>
        <v>3.6056568489948503E-2</v>
      </c>
      <c r="J2190" s="16"/>
    </row>
    <row r="2191" spans="1:10" x14ac:dyDescent="0.2">
      <c r="A2191" s="3">
        <v>45456</v>
      </c>
      <c r="B2191" s="1">
        <f ca="1">IFERROR(__xludf.DUMMYFUNCTION("""COMPUTED_VALUE"""),188.39)</f>
        <v>188.39</v>
      </c>
      <c r="C2191" s="1">
        <f ca="1">IFERROR(__xludf.DUMMYFUNCTION("""COMPUTED_VALUE"""),191.08)</f>
        <v>191.08</v>
      </c>
      <c r="D2191" s="1">
        <f ca="1">IFERROR(__xludf.DUMMYFUNCTION("""COMPUTED_VALUE"""),181.23)</f>
        <v>181.23</v>
      </c>
      <c r="E2191" s="1">
        <f ca="1">IFERROR(__xludf.DUMMYFUNCTION("""COMPUTED_VALUE"""),182.47)</f>
        <v>182.47</v>
      </c>
      <c r="F2191" s="1">
        <f ca="1">IFERROR(__xludf.DUMMYFUNCTION("""COMPUTED_VALUE"""),118984122)</f>
        <v>118984122</v>
      </c>
      <c r="G2191" s="5">
        <f t="shared" ca="1" si="102"/>
        <v>-2.4442374088891369E-2</v>
      </c>
      <c r="H2191" s="14">
        <f t="shared" si="103"/>
        <v>2024</v>
      </c>
      <c r="I2191" s="5">
        <f t="shared" ca="1" si="104"/>
        <v>-3.1424173257603841E-2</v>
      </c>
      <c r="J2191" s="16"/>
    </row>
    <row r="2192" spans="1:10" x14ac:dyDescent="0.2">
      <c r="A2192" s="3">
        <v>45457</v>
      </c>
      <c r="B2192" s="1">
        <f ca="1">IFERROR(__xludf.DUMMYFUNCTION("""COMPUTED_VALUE"""),185.8)</f>
        <v>185.8</v>
      </c>
      <c r="C2192" s="1">
        <f ca="1">IFERROR(__xludf.DUMMYFUNCTION("""COMPUTED_VALUE"""),186)</f>
        <v>186</v>
      </c>
      <c r="D2192" s="1">
        <f ca="1">IFERROR(__xludf.DUMMYFUNCTION("""COMPUTED_VALUE"""),176.92)</f>
        <v>176.92</v>
      </c>
      <c r="E2192" s="1">
        <f ca="1">IFERROR(__xludf.DUMMYFUNCTION("""COMPUTED_VALUE"""),178.01)</f>
        <v>178.01</v>
      </c>
      <c r="F2192" s="1">
        <f ca="1">IFERROR(__xludf.DUMMYFUNCTION("""COMPUTED_VALUE"""),82038194)</f>
        <v>82038194</v>
      </c>
      <c r="G2192" s="5">
        <f t="shared" ca="1" si="102"/>
        <v>5.2974551991461193E-2</v>
      </c>
      <c r="H2192" s="14">
        <f t="shared" si="103"/>
        <v>2024</v>
      </c>
      <c r="I2192" s="5">
        <f t="shared" ca="1" si="104"/>
        <v>-4.1926803013993652E-2</v>
      </c>
      <c r="J2192" s="16"/>
    </row>
    <row r="2193" spans="1:10" x14ac:dyDescent="0.2">
      <c r="A2193" s="3">
        <v>45460</v>
      </c>
      <c r="B2193" s="1">
        <f ca="1">IFERROR(__xludf.DUMMYFUNCTION("""COMPUTED_VALUE"""),177.92)</f>
        <v>177.92</v>
      </c>
      <c r="C2193" s="1">
        <f ca="1">IFERROR(__xludf.DUMMYFUNCTION("""COMPUTED_VALUE"""),188.81)</f>
        <v>188.81</v>
      </c>
      <c r="D2193" s="1">
        <f ca="1">IFERROR(__xludf.DUMMYFUNCTION("""COMPUTED_VALUE"""),177)</f>
        <v>177</v>
      </c>
      <c r="E2193" s="1">
        <f ca="1">IFERROR(__xludf.DUMMYFUNCTION("""COMPUTED_VALUE"""),187.44)</f>
        <v>187.44</v>
      </c>
      <c r="F2193" s="1">
        <f ca="1">IFERROR(__xludf.DUMMYFUNCTION("""COMPUTED_VALUE"""),109786083)</f>
        <v>109786083</v>
      </c>
      <c r="G2193" s="5">
        <f t="shared" ca="1" si="102"/>
        <v>-1.3764404609474947E-2</v>
      </c>
      <c r="H2193" s="14">
        <f t="shared" si="103"/>
        <v>2024</v>
      </c>
      <c r="I2193" s="5">
        <f t="shared" ca="1" si="104"/>
        <v>5.3507194244604379E-2</v>
      </c>
      <c r="J2193" s="16"/>
    </row>
    <row r="2194" spans="1:10" x14ac:dyDescent="0.2">
      <c r="A2194" s="3">
        <v>45461</v>
      </c>
      <c r="B2194" s="1">
        <f ca="1">IFERROR(__xludf.DUMMYFUNCTION("""COMPUTED_VALUE"""),186.56)</f>
        <v>186.56</v>
      </c>
      <c r="C2194" s="1">
        <f ca="1">IFERROR(__xludf.DUMMYFUNCTION("""COMPUTED_VALUE"""),187.2)</f>
        <v>187.2</v>
      </c>
      <c r="D2194" s="1">
        <f ca="1">IFERROR(__xludf.DUMMYFUNCTION("""COMPUTED_VALUE"""),182.37)</f>
        <v>182.37</v>
      </c>
      <c r="E2194" s="1">
        <f ca="1">IFERROR(__xludf.DUMMYFUNCTION("""COMPUTED_VALUE"""),184.86)</f>
        <v>184.86</v>
      </c>
      <c r="F2194" s="1">
        <f ca="1">IFERROR(__xludf.DUMMYFUNCTION("""COMPUTED_VALUE"""),68982265)</f>
        <v>68982265</v>
      </c>
      <c r="G2194" s="5">
        <f t="shared" ca="1" si="102"/>
        <v>-1.7797251974467274E-2</v>
      </c>
      <c r="H2194" s="14">
        <f t="shared" si="103"/>
        <v>2024</v>
      </c>
      <c r="I2194" s="5">
        <f t="shared" ca="1" si="104"/>
        <v>-9.1123499142366452E-3</v>
      </c>
      <c r="J2194" s="16"/>
    </row>
    <row r="2195" spans="1:10" x14ac:dyDescent="0.2">
      <c r="A2195" s="3">
        <v>45463</v>
      </c>
      <c r="B2195" s="1">
        <f ca="1">IFERROR(__xludf.DUMMYFUNCTION("""COMPUTED_VALUE"""),184.68)</f>
        <v>184.68</v>
      </c>
      <c r="C2195" s="1">
        <f ca="1">IFERROR(__xludf.DUMMYFUNCTION("""COMPUTED_VALUE"""),185.21)</f>
        <v>185.21</v>
      </c>
      <c r="D2195" s="1">
        <f ca="1">IFERROR(__xludf.DUMMYFUNCTION("""COMPUTED_VALUE"""),179.66)</f>
        <v>179.66</v>
      </c>
      <c r="E2195" s="1">
        <f ca="1">IFERROR(__xludf.DUMMYFUNCTION("""COMPUTED_VALUE"""),181.57)</f>
        <v>181.57</v>
      </c>
      <c r="F2195" s="1">
        <f ca="1">IFERROR(__xludf.DUMMYFUNCTION("""COMPUTED_VALUE"""),55893139)</f>
        <v>55893139</v>
      </c>
      <c r="G2195" s="5">
        <f t="shared" ca="1" si="102"/>
        <v>7.9308255769124734E-3</v>
      </c>
      <c r="H2195" s="14">
        <f t="shared" si="103"/>
        <v>2024</v>
      </c>
      <c r="I2195" s="5">
        <f t="shared" ca="1" si="104"/>
        <v>-1.6839939354559311E-2</v>
      </c>
      <c r="J2195" s="16"/>
    </row>
    <row r="2196" spans="1:10" x14ac:dyDescent="0.2">
      <c r="A2196" s="3">
        <v>45464</v>
      </c>
      <c r="B2196" s="1">
        <f ca="1">IFERROR(__xludf.DUMMYFUNCTION("""COMPUTED_VALUE"""),182.3)</f>
        <v>182.3</v>
      </c>
      <c r="C2196" s="1">
        <f ca="1">IFERROR(__xludf.DUMMYFUNCTION("""COMPUTED_VALUE"""),183.95)</f>
        <v>183.95</v>
      </c>
      <c r="D2196" s="1">
        <f ca="1">IFERROR(__xludf.DUMMYFUNCTION("""COMPUTED_VALUE"""),180.69)</f>
        <v>180.69</v>
      </c>
      <c r="E2196" s="1">
        <f ca="1">IFERROR(__xludf.DUMMYFUNCTION("""COMPUTED_VALUE"""),183.01)</f>
        <v>183.01</v>
      </c>
      <c r="F2196" s="1">
        <f ca="1">IFERROR(__xludf.DUMMYFUNCTION("""COMPUTED_VALUE"""),63029482)</f>
        <v>63029482</v>
      </c>
      <c r="G2196" s="5">
        <f t="shared" ca="1" si="102"/>
        <v>-2.3495983826019259E-3</v>
      </c>
      <c r="H2196" s="14">
        <f t="shared" si="103"/>
        <v>2024</v>
      </c>
      <c r="I2196" s="5">
        <f t="shared" ca="1" si="104"/>
        <v>3.8946791003838699E-3</v>
      </c>
      <c r="J2196" s="16"/>
    </row>
    <row r="2197" spans="1:10" x14ac:dyDescent="0.2">
      <c r="A2197" s="3">
        <v>45467</v>
      </c>
      <c r="B2197" s="1">
        <f ca="1">IFERROR(__xludf.DUMMYFUNCTION("""COMPUTED_VALUE"""),184.97)</f>
        <v>184.97</v>
      </c>
      <c r="C2197" s="1">
        <f ca="1">IFERROR(__xludf.DUMMYFUNCTION("""COMPUTED_VALUE"""),188.8)</f>
        <v>188.8</v>
      </c>
      <c r="D2197" s="1">
        <f ca="1">IFERROR(__xludf.DUMMYFUNCTION("""COMPUTED_VALUE"""),182.55)</f>
        <v>182.55</v>
      </c>
      <c r="E2197" s="1">
        <f ca="1">IFERROR(__xludf.DUMMYFUNCTION("""COMPUTED_VALUE"""),182.58)</f>
        <v>182.58</v>
      </c>
      <c r="F2197" s="1">
        <f ca="1">IFERROR(__xludf.DUMMYFUNCTION("""COMPUTED_VALUE"""),61992070)</f>
        <v>61992070</v>
      </c>
      <c r="G2197" s="5">
        <f t="shared" ca="1" si="102"/>
        <v>2.6125534012487576E-2</v>
      </c>
      <c r="H2197" s="14">
        <f t="shared" si="103"/>
        <v>2024</v>
      </c>
      <c r="I2197" s="5">
        <f t="shared" ca="1" si="104"/>
        <v>-1.2921014218521848E-2</v>
      </c>
      <c r="J2197" s="16"/>
    </row>
    <row r="2198" spans="1:10" x14ac:dyDescent="0.2">
      <c r="A2198" s="3">
        <v>45468</v>
      </c>
      <c r="B2198" s="1">
        <f ca="1">IFERROR(__xludf.DUMMYFUNCTION("""COMPUTED_VALUE"""),184.4)</f>
        <v>184.4</v>
      </c>
      <c r="C2198" s="1">
        <f ca="1">IFERROR(__xludf.DUMMYFUNCTION("""COMPUTED_VALUE"""),187.97)</f>
        <v>187.97</v>
      </c>
      <c r="D2198" s="1">
        <f ca="1">IFERROR(__xludf.DUMMYFUNCTION("""COMPUTED_VALUE"""),182.01)</f>
        <v>182.01</v>
      </c>
      <c r="E2198" s="1">
        <f ca="1">IFERROR(__xludf.DUMMYFUNCTION("""COMPUTED_VALUE"""),187.35)</f>
        <v>187.35</v>
      </c>
      <c r="F2198" s="1">
        <f ca="1">IFERROR(__xludf.DUMMYFUNCTION("""COMPUTED_VALUE"""),63678265)</f>
        <v>63678265</v>
      </c>
      <c r="G2198" s="5">
        <f t="shared" ca="1" si="102"/>
        <v>4.8145182812917055E-2</v>
      </c>
      <c r="H2198" s="14">
        <f t="shared" si="103"/>
        <v>2024</v>
      </c>
      <c r="I2198" s="5">
        <f t="shared" ca="1" si="104"/>
        <v>1.5997830802602975E-2</v>
      </c>
      <c r="J2198" s="16"/>
    </row>
    <row r="2199" spans="1:10" x14ac:dyDescent="0.2">
      <c r="A2199" s="3">
        <v>45469</v>
      </c>
      <c r="B2199" s="1">
        <f ca="1">IFERROR(__xludf.DUMMYFUNCTION("""COMPUTED_VALUE"""),186.54)</f>
        <v>186.54</v>
      </c>
      <c r="C2199" s="1">
        <f ca="1">IFERROR(__xludf.DUMMYFUNCTION("""COMPUTED_VALUE"""),197.76)</f>
        <v>197.76</v>
      </c>
      <c r="D2199" s="1">
        <f ca="1">IFERROR(__xludf.DUMMYFUNCTION("""COMPUTED_VALUE"""),186.36)</f>
        <v>186.36</v>
      </c>
      <c r="E2199" s="1">
        <f ca="1">IFERROR(__xludf.DUMMYFUNCTION("""COMPUTED_VALUE"""),196.37)</f>
        <v>196.37</v>
      </c>
      <c r="F2199" s="1">
        <f ca="1">IFERROR(__xludf.DUMMYFUNCTION("""COMPUTED_VALUE"""),95737066)</f>
        <v>95737066</v>
      </c>
      <c r="G2199" s="5">
        <f t="shared" ca="1" si="102"/>
        <v>5.3470489382287665E-3</v>
      </c>
      <c r="H2199" s="14">
        <f t="shared" si="103"/>
        <v>2024</v>
      </c>
      <c r="I2199" s="5">
        <f t="shared" ca="1" si="104"/>
        <v>5.2696472606411561E-2</v>
      </c>
      <c r="J2199" s="16"/>
    </row>
    <row r="2200" spans="1:10" x14ac:dyDescent="0.2">
      <c r="A2200" s="3">
        <v>45470</v>
      </c>
      <c r="B2200" s="1">
        <f ca="1">IFERROR(__xludf.DUMMYFUNCTION("""COMPUTED_VALUE"""),195.17)</f>
        <v>195.17</v>
      </c>
      <c r="C2200" s="1">
        <f ca="1">IFERROR(__xludf.DUMMYFUNCTION("""COMPUTED_VALUE"""),198.72)</f>
        <v>198.72</v>
      </c>
      <c r="D2200" s="1">
        <f ca="1">IFERROR(__xludf.DUMMYFUNCTION("""COMPUTED_VALUE"""),194.05)</f>
        <v>194.05</v>
      </c>
      <c r="E2200" s="1">
        <f ca="1">IFERROR(__xludf.DUMMYFUNCTION("""COMPUTED_VALUE"""),197.42)</f>
        <v>197.42</v>
      </c>
      <c r="F2200" s="1">
        <f ca="1">IFERROR(__xludf.DUMMYFUNCTION("""COMPUTED_VALUE"""),72746521)</f>
        <v>72746521</v>
      </c>
      <c r="G2200" s="5">
        <f t="shared" ca="1" si="102"/>
        <v>2.3300577449093707E-3</v>
      </c>
      <c r="H2200" s="14">
        <f t="shared" si="103"/>
        <v>2024</v>
      </c>
      <c r="I2200" s="5">
        <f t="shared" ca="1" si="104"/>
        <v>1.1528411128759544E-2</v>
      </c>
      <c r="J2200" s="16"/>
    </row>
    <row r="2201" spans="1:10" x14ac:dyDescent="0.2">
      <c r="A2201" s="3">
        <v>45471</v>
      </c>
      <c r="B2201" s="1">
        <f ca="1">IFERROR(__xludf.DUMMYFUNCTION("""COMPUTED_VALUE"""),199.55)</f>
        <v>199.55</v>
      </c>
      <c r="C2201" s="1">
        <f ca="1">IFERROR(__xludf.DUMMYFUNCTION("""COMPUTED_VALUE"""),203.2)</f>
        <v>203.2</v>
      </c>
      <c r="D2201" s="1">
        <f ca="1">IFERROR(__xludf.DUMMYFUNCTION("""COMPUTED_VALUE"""),195.26)</f>
        <v>195.26</v>
      </c>
      <c r="E2201" s="1">
        <f ca="1">IFERROR(__xludf.DUMMYFUNCTION("""COMPUTED_VALUE"""),197.88)</f>
        <v>197.88</v>
      </c>
      <c r="F2201" s="1">
        <f ca="1">IFERROR(__xludf.DUMMYFUNCTION("""COMPUTED_VALUE"""),95438068)</f>
        <v>95438068</v>
      </c>
      <c r="G2201" s="5">
        <f t="shared" ca="1" si="102"/>
        <v>6.054174247018404E-2</v>
      </c>
      <c r="H2201" s="14">
        <f t="shared" si="103"/>
        <v>2024</v>
      </c>
      <c r="I2201" s="5">
        <f t="shared" ca="1" si="104"/>
        <v>-8.3688298672012825E-3</v>
      </c>
      <c r="J2201" s="16"/>
    </row>
    <row r="2202" spans="1:10" x14ac:dyDescent="0.2">
      <c r="A2202" s="3">
        <v>45474</v>
      </c>
      <c r="B2202" s="1">
        <f ca="1">IFERROR(__xludf.DUMMYFUNCTION("""COMPUTED_VALUE"""),201.02)</f>
        <v>201.02</v>
      </c>
      <c r="C2202" s="1">
        <f ca="1">IFERROR(__xludf.DUMMYFUNCTION("""COMPUTED_VALUE"""),213.23)</f>
        <v>213.23</v>
      </c>
      <c r="D2202" s="1">
        <f ca="1">IFERROR(__xludf.DUMMYFUNCTION("""COMPUTED_VALUE"""),200.85)</f>
        <v>200.85</v>
      </c>
      <c r="E2202" s="1">
        <f ca="1">IFERROR(__xludf.DUMMYFUNCTION("""COMPUTED_VALUE"""),209.86)</f>
        <v>209.86</v>
      </c>
      <c r="F2202" s="1">
        <f ca="1">IFERROR(__xludf.DUMMYFUNCTION("""COMPUTED_VALUE"""),135691395)</f>
        <v>135691395</v>
      </c>
      <c r="G2202" s="5">
        <f t="shared" ca="1" si="102"/>
        <v>0.10197274373391774</v>
      </c>
      <c r="H2202" s="14">
        <f t="shared" si="103"/>
        <v>2024</v>
      </c>
      <c r="I2202" s="5">
        <f t="shared" ca="1" si="104"/>
        <v>4.3975723808576277E-2</v>
      </c>
      <c r="J2202" s="16"/>
    </row>
    <row r="2203" spans="1:10" x14ac:dyDescent="0.2">
      <c r="A2203" s="3">
        <v>45475</v>
      </c>
      <c r="B2203" s="1">
        <f ca="1">IFERROR(__xludf.DUMMYFUNCTION("""COMPUTED_VALUE"""),218.89)</f>
        <v>218.89</v>
      </c>
      <c r="C2203" s="1">
        <f ca="1">IFERROR(__xludf.DUMMYFUNCTION("""COMPUTED_VALUE"""),231.3)</f>
        <v>231.3</v>
      </c>
      <c r="D2203" s="1">
        <f ca="1">IFERROR(__xludf.DUMMYFUNCTION("""COMPUTED_VALUE"""),218.06)</f>
        <v>218.06</v>
      </c>
      <c r="E2203" s="1">
        <f ca="1">IFERROR(__xludf.DUMMYFUNCTION("""COMPUTED_VALUE"""),231.26)</f>
        <v>231.26</v>
      </c>
      <c r="F2203" s="1">
        <f ca="1">IFERROR(__xludf.DUMMYFUNCTION("""COMPUTED_VALUE"""),205047920)</f>
        <v>205047920</v>
      </c>
      <c r="G2203" s="5">
        <f t="shared" ca="1" si="102"/>
        <v>6.5424197872524417E-2</v>
      </c>
      <c r="H2203" s="14">
        <f t="shared" si="103"/>
        <v>2024</v>
      </c>
      <c r="I2203" s="5">
        <f t="shared" ca="1" si="104"/>
        <v>5.6512403490337634E-2</v>
      </c>
      <c r="J2203" s="16"/>
    </row>
    <row r="2204" spans="1:10" x14ac:dyDescent="0.2">
      <c r="A2204" s="3">
        <v>45476</v>
      </c>
      <c r="B2204" s="1">
        <f ca="1">IFERROR(__xludf.DUMMYFUNCTION("""COMPUTED_VALUE"""),234.56)</f>
        <v>234.56</v>
      </c>
      <c r="C2204" s="1">
        <f ca="1">IFERROR(__xludf.DUMMYFUNCTION("""COMPUTED_VALUE"""),248.35)</f>
        <v>248.35</v>
      </c>
      <c r="D2204" s="1">
        <f ca="1">IFERROR(__xludf.DUMMYFUNCTION("""COMPUTED_VALUE"""),234.25)</f>
        <v>234.25</v>
      </c>
      <c r="E2204" s="1">
        <f ca="1">IFERROR(__xludf.DUMMYFUNCTION("""COMPUTED_VALUE"""),246.39)</f>
        <v>246.39</v>
      </c>
      <c r="F2204" s="1">
        <f ca="1">IFERROR(__xludf.DUMMYFUNCTION("""COMPUTED_VALUE"""),166561471)</f>
        <v>166561471</v>
      </c>
      <c r="G2204" s="5">
        <f t="shared" ca="1" si="102"/>
        <v>2.0820650188725288E-2</v>
      </c>
      <c r="H2204" s="14">
        <f t="shared" si="103"/>
        <v>2024</v>
      </c>
      <c r="I2204" s="5">
        <f t="shared" ca="1" si="104"/>
        <v>5.043485675306951E-2</v>
      </c>
      <c r="J2204" s="16"/>
    </row>
    <row r="2205" spans="1:10" x14ac:dyDescent="0.2">
      <c r="A2205" s="3">
        <v>45478</v>
      </c>
      <c r="B2205" s="1">
        <f ca="1">IFERROR(__xludf.DUMMYFUNCTION("""COMPUTED_VALUE"""),249.81)</f>
        <v>249.81</v>
      </c>
      <c r="C2205" s="1">
        <f ca="1">IFERROR(__xludf.DUMMYFUNCTION("""COMPUTED_VALUE"""),252.37)</f>
        <v>252.37</v>
      </c>
      <c r="D2205" s="1">
        <f ca="1">IFERROR(__xludf.DUMMYFUNCTION("""COMPUTED_VALUE"""),242.46)</f>
        <v>242.46</v>
      </c>
      <c r="E2205" s="1">
        <f ca="1">IFERROR(__xludf.DUMMYFUNCTION("""COMPUTED_VALUE"""),251.52)</f>
        <v>251.52</v>
      </c>
      <c r="F2205" s="1">
        <f ca="1">IFERROR(__xludf.DUMMYFUNCTION("""COMPUTED_VALUE"""),154501152)</f>
        <v>154501152</v>
      </c>
      <c r="G2205" s="5">
        <f t="shared" ca="1" si="102"/>
        <v>5.6456743002544028E-3</v>
      </c>
      <c r="H2205" s="14">
        <f t="shared" si="103"/>
        <v>2024</v>
      </c>
      <c r="I2205" s="5">
        <f t="shared" ca="1" si="104"/>
        <v>6.8452023537889112E-3</v>
      </c>
      <c r="J2205" s="16"/>
    </row>
    <row r="2206" spans="1:10" x14ac:dyDescent="0.2">
      <c r="A2206" s="3">
        <v>45481</v>
      </c>
      <c r="B2206" s="1">
        <f ca="1">IFERROR(__xludf.DUMMYFUNCTION("""COMPUTED_VALUE"""),247.71)</f>
        <v>247.71</v>
      </c>
      <c r="C2206" s="1">
        <f ca="1">IFERROR(__xludf.DUMMYFUNCTION("""COMPUTED_VALUE"""),259.44)</f>
        <v>259.44</v>
      </c>
      <c r="D2206" s="1">
        <f ca="1">IFERROR(__xludf.DUMMYFUNCTION("""COMPUTED_VALUE"""),244.57)</f>
        <v>244.57</v>
      </c>
      <c r="E2206" s="1">
        <f ca="1">IFERROR(__xludf.DUMMYFUNCTION("""COMPUTED_VALUE"""),252.94)</f>
        <v>252.94</v>
      </c>
      <c r="F2206" s="1">
        <f ca="1">IFERROR(__xludf.DUMMYFUNCTION("""COMPUTED_VALUE"""),157219580)</f>
        <v>157219580</v>
      </c>
      <c r="G2206" s="5">
        <f t="shared" ca="1" si="102"/>
        <v>3.7123428481062648E-2</v>
      </c>
      <c r="H2206" s="14">
        <f t="shared" si="103"/>
        <v>2024</v>
      </c>
      <c r="I2206" s="5">
        <f t="shared" ca="1" si="104"/>
        <v>2.1113398732388638E-2</v>
      </c>
      <c r="J2206" s="16"/>
    </row>
    <row r="2207" spans="1:10" x14ac:dyDescent="0.2">
      <c r="A2207" s="3">
        <v>45482</v>
      </c>
      <c r="B2207" s="1">
        <f ca="1">IFERROR(__xludf.DUMMYFUNCTION("""COMPUTED_VALUE"""),251)</f>
        <v>251</v>
      </c>
      <c r="C2207" s="1">
        <f ca="1">IFERROR(__xludf.DUMMYFUNCTION("""COMPUTED_VALUE"""),265.61)</f>
        <v>265.61</v>
      </c>
      <c r="D2207" s="1">
        <f ca="1">IFERROR(__xludf.DUMMYFUNCTION("""COMPUTED_VALUE"""),250.3)</f>
        <v>250.3</v>
      </c>
      <c r="E2207" s="1">
        <f ca="1">IFERROR(__xludf.DUMMYFUNCTION("""COMPUTED_VALUE"""),262.33)</f>
        <v>262.33</v>
      </c>
      <c r="F2207" s="1">
        <f ca="1">IFERROR(__xludf.DUMMYFUNCTION("""COMPUTED_VALUE"""),160742516)</f>
        <v>160742516</v>
      </c>
      <c r="G2207" s="5">
        <f t="shared" ca="1" si="102"/>
        <v>3.5451530515000452E-3</v>
      </c>
      <c r="H2207" s="14">
        <f t="shared" si="103"/>
        <v>2024</v>
      </c>
      <c r="I2207" s="5">
        <f t="shared" ca="1" si="104"/>
        <v>4.5139442231075633E-2</v>
      </c>
      <c r="J2207" s="16"/>
    </row>
    <row r="2208" spans="1:10" x14ac:dyDescent="0.2">
      <c r="A2208" s="3">
        <v>45483</v>
      </c>
      <c r="B2208" s="1">
        <f ca="1">IFERROR(__xludf.DUMMYFUNCTION("""COMPUTED_VALUE"""),262.8)</f>
        <v>262.8</v>
      </c>
      <c r="C2208" s="1">
        <f ca="1">IFERROR(__xludf.DUMMYFUNCTION("""COMPUTED_VALUE"""),267.59)</f>
        <v>267.58999999999997</v>
      </c>
      <c r="D2208" s="1">
        <f ca="1">IFERROR(__xludf.DUMMYFUNCTION("""COMPUTED_VALUE"""),257.86)</f>
        <v>257.86</v>
      </c>
      <c r="E2208" s="1">
        <f ca="1">IFERROR(__xludf.DUMMYFUNCTION("""COMPUTED_VALUE"""),263.26)</f>
        <v>263.26</v>
      </c>
      <c r="F2208" s="1">
        <f ca="1">IFERROR(__xludf.DUMMYFUNCTION("""COMPUTED_VALUE"""),128519430)</f>
        <v>128519430</v>
      </c>
      <c r="G2208" s="5">
        <f t="shared" ca="1" si="102"/>
        <v>-8.4441236800121514E-2</v>
      </c>
      <c r="H2208" s="14">
        <f t="shared" si="103"/>
        <v>2024</v>
      </c>
      <c r="I2208" s="5">
        <f t="shared" ca="1" si="104"/>
        <v>1.7503805175037273E-3</v>
      </c>
      <c r="J2208" s="16"/>
    </row>
    <row r="2209" spans="1:10" x14ac:dyDescent="0.2">
      <c r="A2209" s="3">
        <v>45484</v>
      </c>
      <c r="B2209" s="1">
        <f ca="1">IFERROR(__xludf.DUMMYFUNCTION("""COMPUTED_VALUE"""),263.3)</f>
        <v>263.3</v>
      </c>
      <c r="C2209" s="1">
        <f ca="1">IFERROR(__xludf.DUMMYFUNCTION("""COMPUTED_VALUE"""),271)</f>
        <v>271</v>
      </c>
      <c r="D2209" s="1">
        <f ca="1">IFERROR(__xludf.DUMMYFUNCTION("""COMPUTED_VALUE"""),239.65)</f>
        <v>239.65</v>
      </c>
      <c r="E2209" s="1">
        <f ca="1">IFERROR(__xludf.DUMMYFUNCTION("""COMPUTED_VALUE"""),241.03)</f>
        <v>241.03</v>
      </c>
      <c r="F2209" s="1">
        <f ca="1">IFERROR(__xludf.DUMMYFUNCTION("""COMPUTED_VALUE"""),221707273)</f>
        <v>221707273</v>
      </c>
      <c r="G2209" s="5">
        <f t="shared" ca="1" si="102"/>
        <v>2.9871800190847564E-2</v>
      </c>
      <c r="H2209" s="14">
        <f t="shared" si="103"/>
        <v>2024</v>
      </c>
      <c r="I2209" s="5">
        <f t="shared" ca="1" si="104"/>
        <v>-8.4580326623623275E-2</v>
      </c>
      <c r="J2209" s="16"/>
    </row>
    <row r="2210" spans="1:10" x14ac:dyDescent="0.2">
      <c r="A2210" s="3">
        <v>45485</v>
      </c>
      <c r="B2210" s="1">
        <f ca="1">IFERROR(__xludf.DUMMYFUNCTION("""COMPUTED_VALUE"""),235.8)</f>
        <v>235.8</v>
      </c>
      <c r="C2210" s="1">
        <f ca="1">IFERROR(__xludf.DUMMYFUNCTION("""COMPUTED_VALUE"""),251.84)</f>
        <v>251.84</v>
      </c>
      <c r="D2210" s="1">
        <f ca="1">IFERROR(__xludf.DUMMYFUNCTION("""COMPUTED_VALUE"""),233.09)</f>
        <v>233.09</v>
      </c>
      <c r="E2210" s="1">
        <f ca="1">IFERROR(__xludf.DUMMYFUNCTION("""COMPUTED_VALUE"""),248.23)</f>
        <v>248.23</v>
      </c>
      <c r="F2210" s="1">
        <f ca="1">IFERROR(__xludf.DUMMYFUNCTION("""COMPUTED_VALUE"""),155955773)</f>
        <v>155955773</v>
      </c>
      <c r="G2210" s="5">
        <f t="shared" ca="1" si="102"/>
        <v>1.7765781734681532E-2</v>
      </c>
      <c r="H2210" s="14">
        <f t="shared" si="103"/>
        <v>2024</v>
      </c>
      <c r="I2210" s="5">
        <f t="shared" ca="1" si="104"/>
        <v>5.2714164546225524E-2</v>
      </c>
      <c r="J2210" s="16"/>
    </row>
    <row r="2211" spans="1:10" x14ac:dyDescent="0.2">
      <c r="A2211" s="3">
        <v>45488</v>
      </c>
      <c r="B2211" s="1">
        <f ca="1">IFERROR(__xludf.DUMMYFUNCTION("""COMPUTED_VALUE"""),255.97)</f>
        <v>255.97</v>
      </c>
      <c r="C2211" s="1">
        <f ca="1">IFERROR(__xludf.DUMMYFUNCTION("""COMPUTED_VALUE"""),265.6)</f>
        <v>265.60000000000002</v>
      </c>
      <c r="D2211" s="1">
        <f ca="1">IFERROR(__xludf.DUMMYFUNCTION("""COMPUTED_VALUE"""),251.73)</f>
        <v>251.73</v>
      </c>
      <c r="E2211" s="1">
        <f ca="1">IFERROR(__xludf.DUMMYFUNCTION("""COMPUTED_VALUE"""),252.64)</f>
        <v>252.64</v>
      </c>
      <c r="F2211" s="1">
        <f ca="1">IFERROR(__xludf.DUMMYFUNCTION("""COMPUTED_VALUE"""),146912920)</f>
        <v>146912920</v>
      </c>
      <c r="G2211" s="5">
        <f t="shared" ca="1" si="102"/>
        <v>1.5516149461684675E-2</v>
      </c>
      <c r="H2211" s="14">
        <f t="shared" si="103"/>
        <v>2024</v>
      </c>
      <c r="I2211" s="5">
        <f t="shared" ca="1" si="104"/>
        <v>-1.3009337031683449E-2</v>
      </c>
      <c r="J2211" s="16"/>
    </row>
    <row r="2212" spans="1:10" x14ac:dyDescent="0.2">
      <c r="A2212" s="3">
        <v>45489</v>
      </c>
      <c r="B2212" s="1">
        <f ca="1">IFERROR(__xludf.DUMMYFUNCTION("""COMPUTED_VALUE"""),255.31)</f>
        <v>255.31</v>
      </c>
      <c r="C2212" s="1">
        <f ca="1">IFERROR(__xludf.DUMMYFUNCTION("""COMPUTED_VALUE"""),258.62)</f>
        <v>258.62</v>
      </c>
      <c r="D2212" s="1">
        <f ca="1">IFERROR(__xludf.DUMMYFUNCTION("""COMPUTED_VALUE"""),245.8)</f>
        <v>245.8</v>
      </c>
      <c r="E2212" s="1">
        <f ca="1">IFERROR(__xludf.DUMMYFUNCTION("""COMPUTED_VALUE"""),256.56)</f>
        <v>256.56</v>
      </c>
      <c r="F2212" s="1">
        <f ca="1">IFERROR(__xludf.DUMMYFUNCTION("""COMPUTED_VALUE"""),126332470)</f>
        <v>126332470</v>
      </c>
      <c r="G2212" s="5">
        <f t="shared" ca="1" si="102"/>
        <v>-3.1415653258497045E-2</v>
      </c>
      <c r="H2212" s="14">
        <f t="shared" si="103"/>
        <v>2024</v>
      </c>
      <c r="I2212" s="5">
        <f t="shared" ca="1" si="104"/>
        <v>4.8960087736477226E-3</v>
      </c>
      <c r="J2212" s="16"/>
    </row>
    <row r="2213" spans="1:10" x14ac:dyDescent="0.2">
      <c r="A2213" s="3">
        <v>45490</v>
      </c>
      <c r="B2213" s="1">
        <f ca="1">IFERROR(__xludf.DUMMYFUNCTION("""COMPUTED_VALUE"""),252.73)</f>
        <v>252.73</v>
      </c>
      <c r="C2213" s="1">
        <f ca="1">IFERROR(__xludf.DUMMYFUNCTION("""COMPUTED_VALUE"""),258.47)</f>
        <v>258.47000000000003</v>
      </c>
      <c r="D2213" s="1">
        <f ca="1">IFERROR(__xludf.DUMMYFUNCTION("""COMPUTED_VALUE"""),246.18)</f>
        <v>246.18</v>
      </c>
      <c r="E2213" s="1">
        <f ca="1">IFERROR(__xludf.DUMMYFUNCTION("""COMPUTED_VALUE"""),248.5)</f>
        <v>248.5</v>
      </c>
      <c r="F2213" s="1">
        <f ca="1">IFERROR(__xludf.DUMMYFUNCTION("""COMPUTED_VALUE"""),115584810)</f>
        <v>115584810</v>
      </c>
      <c r="G2213" s="5">
        <f t="shared" ca="1" si="102"/>
        <v>2.9376257545271219E-3</v>
      </c>
      <c r="H2213" s="14">
        <f t="shared" si="103"/>
        <v>2024</v>
      </c>
      <c r="I2213" s="5">
        <f t="shared" ca="1" si="104"/>
        <v>-1.6737229454358366E-2</v>
      </c>
      <c r="J2213" s="16"/>
    </row>
    <row r="2214" spans="1:10" x14ac:dyDescent="0.2">
      <c r="A2214" s="3">
        <v>45491</v>
      </c>
      <c r="B2214" s="1">
        <f ca="1">IFERROR(__xludf.DUMMYFUNCTION("""COMPUTED_VALUE"""),251.09)</f>
        <v>251.09</v>
      </c>
      <c r="C2214" s="1">
        <f ca="1">IFERROR(__xludf.DUMMYFUNCTION("""COMPUTED_VALUE"""),257.14)</f>
        <v>257.14</v>
      </c>
      <c r="D2214" s="1">
        <f ca="1">IFERROR(__xludf.DUMMYFUNCTION("""COMPUTED_VALUE"""),247.2)</f>
        <v>247.2</v>
      </c>
      <c r="E2214" s="1">
        <f ca="1">IFERROR(__xludf.DUMMYFUNCTION("""COMPUTED_VALUE"""),249.23)</f>
        <v>249.23</v>
      </c>
      <c r="F2214" s="1">
        <f ca="1">IFERROR(__xludf.DUMMYFUNCTION("""COMPUTED_VALUE"""),110869037)</f>
        <v>110869037</v>
      </c>
      <c r="G2214" s="5">
        <f t="shared" ca="1" si="102"/>
        <v>-4.0243951370220285E-2</v>
      </c>
      <c r="H2214" s="14">
        <f t="shared" si="103"/>
        <v>2024</v>
      </c>
      <c r="I2214" s="5">
        <f t="shared" ca="1" si="104"/>
        <v>-7.407702417459929E-3</v>
      </c>
      <c r="J2214" s="16"/>
    </row>
    <row r="2215" spans="1:10" x14ac:dyDescent="0.2">
      <c r="A2215" s="3">
        <v>45492</v>
      </c>
      <c r="B2215" s="1">
        <f ca="1">IFERROR(__xludf.DUMMYFUNCTION("""COMPUTED_VALUE"""),247.79)</f>
        <v>247.79</v>
      </c>
      <c r="C2215" s="1">
        <f ca="1">IFERROR(__xludf.DUMMYFUNCTION("""COMPUTED_VALUE"""),249.44)</f>
        <v>249.44</v>
      </c>
      <c r="D2215" s="1">
        <f ca="1">IFERROR(__xludf.DUMMYFUNCTION("""COMPUTED_VALUE"""),236.83)</f>
        <v>236.83</v>
      </c>
      <c r="E2215" s="1">
        <f ca="1">IFERROR(__xludf.DUMMYFUNCTION("""COMPUTED_VALUE"""),239.2)</f>
        <v>239.2</v>
      </c>
      <c r="F2215" s="1">
        <f ca="1">IFERROR(__xludf.DUMMYFUNCTION("""COMPUTED_VALUE"""),87403903)</f>
        <v>87403903</v>
      </c>
      <c r="G2215" s="5">
        <f t="shared" ca="1" si="102"/>
        <v>5.1463210702341146E-2</v>
      </c>
      <c r="H2215" s="14">
        <f t="shared" si="103"/>
        <v>2024</v>
      </c>
      <c r="I2215" s="5">
        <f t="shared" ca="1" si="104"/>
        <v>-3.4666451430646936E-2</v>
      </c>
      <c r="J2215" s="16"/>
    </row>
    <row r="2216" spans="1:10" x14ac:dyDescent="0.2">
      <c r="A2216" s="3">
        <v>45495</v>
      </c>
      <c r="B2216" s="1">
        <f ca="1">IFERROR(__xludf.DUMMYFUNCTION("""COMPUTED_VALUE"""),244.21)</f>
        <v>244.21</v>
      </c>
      <c r="C2216" s="1">
        <f ca="1">IFERROR(__xludf.DUMMYFUNCTION("""COMPUTED_VALUE"""),253.21)</f>
        <v>253.21</v>
      </c>
      <c r="D2216" s="1">
        <f ca="1">IFERROR(__xludf.DUMMYFUNCTION("""COMPUTED_VALUE"""),243.75)</f>
        <v>243.75</v>
      </c>
      <c r="E2216" s="1">
        <f ca="1">IFERROR(__xludf.DUMMYFUNCTION("""COMPUTED_VALUE"""),251.51)</f>
        <v>251.51</v>
      </c>
      <c r="F2216" s="1">
        <f ca="1">IFERROR(__xludf.DUMMYFUNCTION("""COMPUTED_VALUE"""),101225430)</f>
        <v>101225430</v>
      </c>
      <c r="G2216" s="5">
        <f t="shared" ca="1" si="102"/>
        <v>-2.0396803308019545E-2</v>
      </c>
      <c r="H2216" s="14">
        <f t="shared" si="103"/>
        <v>2024</v>
      </c>
      <c r="I2216" s="5">
        <f t="shared" ca="1" si="104"/>
        <v>2.9892305802383123E-2</v>
      </c>
      <c r="J2216" s="16"/>
    </row>
    <row r="2217" spans="1:10" x14ac:dyDescent="0.2">
      <c r="A2217" s="3">
        <v>45496</v>
      </c>
      <c r="B2217" s="1">
        <f ca="1">IFERROR(__xludf.DUMMYFUNCTION("""COMPUTED_VALUE"""),253.6)</f>
        <v>253.6</v>
      </c>
      <c r="C2217" s="1">
        <f ca="1">IFERROR(__xludf.DUMMYFUNCTION("""COMPUTED_VALUE"""),255.76)</f>
        <v>255.76</v>
      </c>
      <c r="D2217" s="1">
        <f ca="1">IFERROR(__xludf.DUMMYFUNCTION("""COMPUTED_VALUE"""),245.63)</f>
        <v>245.63</v>
      </c>
      <c r="E2217" s="1">
        <f ca="1">IFERROR(__xludf.DUMMYFUNCTION("""COMPUTED_VALUE"""),246.38)</f>
        <v>246.38</v>
      </c>
      <c r="F2217" s="1">
        <f ca="1">IFERROR(__xludf.DUMMYFUNCTION("""COMPUTED_VALUE"""),111928192)</f>
        <v>111928192</v>
      </c>
      <c r="G2217" s="5">
        <f t="shared" ca="1" si="102"/>
        <v>-0.12334605081581292</v>
      </c>
      <c r="H2217" s="14">
        <f t="shared" si="103"/>
        <v>2024</v>
      </c>
      <c r="I2217" s="5">
        <f t="shared" ca="1" si="104"/>
        <v>-2.847003154574132E-2</v>
      </c>
      <c r="J2217" s="16"/>
    </row>
    <row r="2218" spans="1:10" x14ac:dyDescent="0.2">
      <c r="A2218" s="3">
        <v>45497</v>
      </c>
      <c r="B2218" s="1">
        <f ca="1">IFERROR(__xludf.DUMMYFUNCTION("""COMPUTED_VALUE"""),225.42)</f>
        <v>225.42</v>
      </c>
      <c r="C2218" s="1">
        <f ca="1">IFERROR(__xludf.DUMMYFUNCTION("""COMPUTED_VALUE"""),225.99)</f>
        <v>225.99</v>
      </c>
      <c r="D2218" s="1">
        <f ca="1">IFERROR(__xludf.DUMMYFUNCTION("""COMPUTED_VALUE"""),214.71)</f>
        <v>214.71</v>
      </c>
      <c r="E2218" s="1">
        <f ca="1">IFERROR(__xludf.DUMMYFUNCTION("""COMPUTED_VALUE"""),215.99)</f>
        <v>215.99</v>
      </c>
      <c r="F2218" s="1">
        <f ca="1">IFERROR(__xludf.DUMMYFUNCTION("""COMPUTED_VALUE"""),167942939)</f>
        <v>167942939</v>
      </c>
      <c r="G2218" s="5">
        <f t="shared" ca="1" si="102"/>
        <v>1.9723135330339325E-2</v>
      </c>
      <c r="H2218" s="14">
        <f t="shared" si="103"/>
        <v>2024</v>
      </c>
      <c r="I2218" s="5">
        <f t="shared" ca="1" si="104"/>
        <v>-4.1833022801880837E-2</v>
      </c>
      <c r="J2218" s="16"/>
    </row>
    <row r="2219" spans="1:10" x14ac:dyDescent="0.2">
      <c r="A2219" s="3">
        <v>45498</v>
      </c>
      <c r="B2219" s="1">
        <f ca="1">IFERROR(__xludf.DUMMYFUNCTION("""COMPUTED_VALUE"""),216.8)</f>
        <v>216.8</v>
      </c>
      <c r="C2219" s="1">
        <f ca="1">IFERROR(__xludf.DUMMYFUNCTION("""COMPUTED_VALUE"""),226)</f>
        <v>226</v>
      </c>
      <c r="D2219" s="1">
        <f ca="1">IFERROR(__xludf.DUMMYFUNCTION("""COMPUTED_VALUE"""),216.23)</f>
        <v>216.23</v>
      </c>
      <c r="E2219" s="1">
        <f ca="1">IFERROR(__xludf.DUMMYFUNCTION("""COMPUTED_VALUE"""),220.25)</f>
        <v>220.25</v>
      </c>
      <c r="F2219" s="1">
        <f ca="1">IFERROR(__xludf.DUMMYFUNCTION("""COMPUTED_VALUE"""),100636466)</f>
        <v>100636466</v>
      </c>
      <c r="G2219" s="5">
        <f t="shared" ca="1" si="102"/>
        <v>-2.0431328036321847E-3</v>
      </c>
      <c r="H2219" s="14">
        <f t="shared" si="103"/>
        <v>2024</v>
      </c>
      <c r="I2219" s="5">
        <f t="shared" ca="1" si="104"/>
        <v>1.5913284132841276E-2</v>
      </c>
      <c r="J2219" s="16"/>
    </row>
    <row r="2220" spans="1:10" x14ac:dyDescent="0.2">
      <c r="A2220" s="3">
        <v>45499</v>
      </c>
      <c r="B2220" s="1">
        <f ca="1">IFERROR(__xludf.DUMMYFUNCTION("""COMPUTED_VALUE"""),221.19)</f>
        <v>221.19</v>
      </c>
      <c r="C2220" s="1">
        <f ca="1">IFERROR(__xludf.DUMMYFUNCTION("""COMPUTED_VALUE"""),222.28)</f>
        <v>222.28</v>
      </c>
      <c r="D2220" s="1">
        <f ca="1">IFERROR(__xludf.DUMMYFUNCTION("""COMPUTED_VALUE"""),215.33)</f>
        <v>215.33</v>
      </c>
      <c r="E2220" s="1">
        <f ca="1">IFERROR(__xludf.DUMMYFUNCTION("""COMPUTED_VALUE"""),219.8)</f>
        <v>219.8</v>
      </c>
      <c r="F2220" s="1">
        <f ca="1">IFERROR(__xludf.DUMMYFUNCTION("""COMPUTED_VALUE"""),94604145)</f>
        <v>94604145</v>
      </c>
      <c r="G2220" s="5">
        <f t="shared" ca="1" si="102"/>
        <v>5.5959963603275625E-2</v>
      </c>
      <c r="H2220" s="14">
        <f t="shared" si="103"/>
        <v>2024</v>
      </c>
      <c r="I2220" s="5">
        <f t="shared" ca="1" si="104"/>
        <v>-6.2841900628418388E-3</v>
      </c>
      <c r="J2220" s="16"/>
    </row>
    <row r="2221" spans="1:10" x14ac:dyDescent="0.2">
      <c r="A2221" s="3">
        <v>45502</v>
      </c>
      <c r="B2221" s="1">
        <f ca="1">IFERROR(__xludf.DUMMYFUNCTION("""COMPUTED_VALUE"""),224.9)</f>
        <v>224.9</v>
      </c>
      <c r="C2221" s="1">
        <f ca="1">IFERROR(__xludf.DUMMYFUNCTION("""COMPUTED_VALUE"""),234.27)</f>
        <v>234.27</v>
      </c>
      <c r="D2221" s="1">
        <f ca="1">IFERROR(__xludf.DUMMYFUNCTION("""COMPUTED_VALUE"""),224.7)</f>
        <v>224.7</v>
      </c>
      <c r="E2221" s="1">
        <f ca="1">IFERROR(__xludf.DUMMYFUNCTION("""COMPUTED_VALUE"""),232.1)</f>
        <v>232.1</v>
      </c>
      <c r="F2221" s="1">
        <f ca="1">IFERROR(__xludf.DUMMYFUNCTION("""COMPUTED_VALUE"""),129201789)</f>
        <v>129201789</v>
      </c>
      <c r="G2221" s="5">
        <f t="shared" ca="1" si="102"/>
        <v>-4.0844463593278715E-2</v>
      </c>
      <c r="H2221" s="14">
        <f t="shared" si="103"/>
        <v>2024</v>
      </c>
      <c r="I2221" s="5">
        <f t="shared" ca="1" si="104"/>
        <v>3.2014228546020401E-2</v>
      </c>
      <c r="J2221" s="16"/>
    </row>
    <row r="2222" spans="1:10" x14ac:dyDescent="0.2">
      <c r="A2222" s="3">
        <v>45503</v>
      </c>
      <c r="B2222" s="1">
        <f ca="1">IFERROR(__xludf.DUMMYFUNCTION("""COMPUTED_VALUE"""),232.25)</f>
        <v>232.25</v>
      </c>
      <c r="C2222" s="1">
        <f ca="1">IFERROR(__xludf.DUMMYFUNCTION("""COMPUTED_VALUE"""),232.41)</f>
        <v>232.41</v>
      </c>
      <c r="D2222" s="1">
        <f ca="1">IFERROR(__xludf.DUMMYFUNCTION("""COMPUTED_VALUE"""),220)</f>
        <v>220</v>
      </c>
      <c r="E2222" s="1">
        <f ca="1">IFERROR(__xludf.DUMMYFUNCTION("""COMPUTED_VALUE"""),222.62)</f>
        <v>222.62</v>
      </c>
      <c r="F2222" s="1">
        <f ca="1">IFERROR(__xludf.DUMMYFUNCTION("""COMPUTED_VALUE"""),100560334)</f>
        <v>100560334</v>
      </c>
      <c r="G2222" s="5">
        <f t="shared" ca="1" si="102"/>
        <v>4.2449016260892952E-2</v>
      </c>
      <c r="H2222" s="14">
        <f t="shared" si="103"/>
        <v>2024</v>
      </c>
      <c r="I2222" s="5">
        <f t="shared" ca="1" si="104"/>
        <v>-4.1463939720129149E-2</v>
      </c>
      <c r="J2222" s="16"/>
    </row>
    <row r="2223" spans="1:10" x14ac:dyDescent="0.2">
      <c r="A2223" s="3">
        <v>45504</v>
      </c>
      <c r="B2223" s="1">
        <f ca="1">IFERROR(__xludf.DUMMYFUNCTION("""COMPUTED_VALUE"""),227.9)</f>
        <v>227.9</v>
      </c>
      <c r="C2223" s="1">
        <f ca="1">IFERROR(__xludf.DUMMYFUNCTION("""COMPUTED_VALUE"""),234.68)</f>
        <v>234.68</v>
      </c>
      <c r="D2223" s="1">
        <f ca="1">IFERROR(__xludf.DUMMYFUNCTION("""COMPUTED_VALUE"""),226.79)</f>
        <v>226.79</v>
      </c>
      <c r="E2223" s="1">
        <f ca="1">IFERROR(__xludf.DUMMYFUNCTION("""COMPUTED_VALUE"""),232.07)</f>
        <v>232.07</v>
      </c>
      <c r="F2223" s="1">
        <f ca="1">IFERROR(__xludf.DUMMYFUNCTION("""COMPUTED_VALUE"""),67497011)</f>
        <v>67497011</v>
      </c>
      <c r="G2223" s="5">
        <f t="shared" ca="1" si="102"/>
        <v>-6.5540569655707245E-2</v>
      </c>
      <c r="H2223" s="14">
        <f t="shared" si="103"/>
        <v>2024</v>
      </c>
      <c r="I2223" s="5">
        <f t="shared" ca="1" si="104"/>
        <v>1.8297498903027589E-2</v>
      </c>
      <c r="J2223" s="16"/>
    </row>
    <row r="2224" spans="1:10" x14ac:dyDescent="0.2">
      <c r="A2224" s="3">
        <v>45505</v>
      </c>
      <c r="B2224" s="1">
        <f ca="1">IFERROR(__xludf.DUMMYFUNCTION("""COMPUTED_VALUE"""),227.69)</f>
        <v>227.69</v>
      </c>
      <c r="C2224" s="1">
        <f ca="1">IFERROR(__xludf.DUMMYFUNCTION("""COMPUTED_VALUE"""),231.87)</f>
        <v>231.87</v>
      </c>
      <c r="D2224" s="1">
        <f ca="1">IFERROR(__xludf.DUMMYFUNCTION("""COMPUTED_VALUE"""),214.33)</f>
        <v>214.33</v>
      </c>
      <c r="E2224" s="1">
        <f ca="1">IFERROR(__xludf.DUMMYFUNCTION("""COMPUTED_VALUE"""),216.86)</f>
        <v>216.86</v>
      </c>
      <c r="F2224" s="1">
        <f ca="1">IFERROR(__xludf.DUMMYFUNCTION("""COMPUTED_VALUE"""),83861898)</f>
        <v>83861898</v>
      </c>
      <c r="G2224" s="5">
        <f t="shared" ca="1" si="102"/>
        <v>-4.2377570782993756E-2</v>
      </c>
      <c r="H2224" s="14">
        <f t="shared" si="103"/>
        <v>2024</v>
      </c>
      <c r="I2224" s="5">
        <f t="shared" ca="1" si="104"/>
        <v>-4.7564671263560031E-2</v>
      </c>
      <c r="J2224" s="16"/>
    </row>
    <row r="2225" spans="1:10" x14ac:dyDescent="0.2">
      <c r="A2225" s="3">
        <v>45506</v>
      </c>
      <c r="B2225" s="1">
        <f ca="1">IFERROR(__xludf.DUMMYFUNCTION("""COMPUTED_VALUE"""),214.88)</f>
        <v>214.88</v>
      </c>
      <c r="C2225" s="1">
        <f ca="1">IFERROR(__xludf.DUMMYFUNCTION("""COMPUTED_VALUE"""),216.13)</f>
        <v>216.13</v>
      </c>
      <c r="D2225" s="1">
        <f ca="1">IFERROR(__xludf.DUMMYFUNCTION("""COMPUTED_VALUE"""),205.78)</f>
        <v>205.78</v>
      </c>
      <c r="E2225" s="1">
        <f ca="1">IFERROR(__xludf.DUMMYFUNCTION("""COMPUTED_VALUE"""),207.67)</f>
        <v>207.67</v>
      </c>
      <c r="F2225" s="1">
        <f ca="1">IFERROR(__xludf.DUMMYFUNCTION("""COMPUTED_VALUE"""),82880120)</f>
        <v>82880120</v>
      </c>
      <c r="G2225" s="5">
        <f t="shared" ca="1" si="102"/>
        <v>-4.2326768430683261E-2</v>
      </c>
      <c r="H2225" s="14">
        <f t="shared" si="103"/>
        <v>2024</v>
      </c>
      <c r="I2225" s="5">
        <f t="shared" ca="1" si="104"/>
        <v>-3.3553611317944938E-2</v>
      </c>
      <c r="J2225" s="16"/>
    </row>
    <row r="2226" spans="1:10" x14ac:dyDescent="0.2">
      <c r="A2226" s="3">
        <v>45509</v>
      </c>
      <c r="B2226" s="1">
        <f ca="1">IFERROR(__xludf.DUMMYFUNCTION("""COMPUTED_VALUE"""),185.22)</f>
        <v>185.22</v>
      </c>
      <c r="C2226" s="1">
        <f ca="1">IFERROR(__xludf.DUMMYFUNCTION("""COMPUTED_VALUE"""),203.88)</f>
        <v>203.88</v>
      </c>
      <c r="D2226" s="1">
        <f ca="1">IFERROR(__xludf.DUMMYFUNCTION("""COMPUTED_VALUE"""),182)</f>
        <v>182</v>
      </c>
      <c r="E2226" s="1">
        <f ca="1">IFERROR(__xludf.DUMMYFUNCTION("""COMPUTED_VALUE"""),198.88)</f>
        <v>198.88</v>
      </c>
      <c r="F2226" s="1">
        <f ca="1">IFERROR(__xludf.DUMMYFUNCTION("""COMPUTED_VALUE"""),100308836)</f>
        <v>100308836</v>
      </c>
      <c r="G2226" s="5">
        <f t="shared" ca="1" si="102"/>
        <v>8.8495575221238486E-3</v>
      </c>
      <c r="H2226" s="14">
        <f t="shared" si="103"/>
        <v>2024</v>
      </c>
      <c r="I2226" s="5">
        <f t="shared" ca="1" si="104"/>
        <v>7.3750134974624751E-2</v>
      </c>
      <c r="J2226" s="16"/>
    </row>
    <row r="2227" spans="1:10" x14ac:dyDescent="0.2">
      <c r="A2227" s="3">
        <v>45510</v>
      </c>
      <c r="B2227" s="1">
        <f ca="1">IFERROR(__xludf.DUMMYFUNCTION("""COMPUTED_VALUE"""),200.75)</f>
        <v>200.75</v>
      </c>
      <c r="C2227" s="1">
        <f ca="1">IFERROR(__xludf.DUMMYFUNCTION("""COMPUTED_VALUE"""),202.9)</f>
        <v>202.9</v>
      </c>
      <c r="D2227" s="1">
        <f ca="1">IFERROR(__xludf.DUMMYFUNCTION("""COMPUTED_VALUE"""),192.67)</f>
        <v>192.67</v>
      </c>
      <c r="E2227" s="1">
        <f ca="1">IFERROR(__xludf.DUMMYFUNCTION("""COMPUTED_VALUE"""),200.64)</f>
        <v>200.64</v>
      </c>
      <c r="F2227" s="1">
        <f ca="1">IFERROR(__xludf.DUMMYFUNCTION("""COMPUTED_VALUE"""),73783942)</f>
        <v>73783942</v>
      </c>
      <c r="G2227" s="5">
        <f t="shared" ca="1" si="102"/>
        <v>-4.4258373205741608E-2</v>
      </c>
      <c r="H2227" s="14">
        <f t="shared" si="103"/>
        <v>2024</v>
      </c>
      <c r="I2227" s="5">
        <f t="shared" ca="1" si="104"/>
        <v>-5.4794520547952E-4</v>
      </c>
      <c r="J2227" s="16"/>
    </row>
    <row r="2228" spans="1:10" x14ac:dyDescent="0.2">
      <c r="A2228" s="3">
        <v>45511</v>
      </c>
      <c r="B2228" s="1">
        <f ca="1">IFERROR(__xludf.DUMMYFUNCTION("""COMPUTED_VALUE"""),200.77)</f>
        <v>200.77</v>
      </c>
      <c r="C2228" s="1">
        <f ca="1">IFERROR(__xludf.DUMMYFUNCTION("""COMPUTED_VALUE"""),203.49)</f>
        <v>203.49</v>
      </c>
      <c r="D2228" s="1">
        <f ca="1">IFERROR(__xludf.DUMMYFUNCTION("""COMPUTED_VALUE"""),191.48)</f>
        <v>191.48</v>
      </c>
      <c r="E2228" s="1">
        <f ca="1">IFERROR(__xludf.DUMMYFUNCTION("""COMPUTED_VALUE"""),191.76)</f>
        <v>191.76</v>
      </c>
      <c r="F2228" s="1">
        <f ca="1">IFERROR(__xludf.DUMMYFUNCTION("""COMPUTED_VALUE"""),71159778)</f>
        <v>71159778</v>
      </c>
      <c r="G2228" s="5">
        <f t="shared" ca="1" si="102"/>
        <v>3.6921151439299194E-2</v>
      </c>
      <c r="H2228" s="14">
        <f t="shared" si="103"/>
        <v>2024</v>
      </c>
      <c r="I2228" s="5">
        <f t="shared" ca="1" si="104"/>
        <v>-4.4877222692633459E-2</v>
      </c>
      <c r="J2228" s="16"/>
    </row>
    <row r="2229" spans="1:10" x14ac:dyDescent="0.2">
      <c r="A2229" s="3">
        <v>45512</v>
      </c>
      <c r="B2229" s="1">
        <f ca="1">IFERROR(__xludf.DUMMYFUNCTION("""COMPUTED_VALUE"""),195.7)</f>
        <v>195.7</v>
      </c>
      <c r="C2229" s="1">
        <f ca="1">IFERROR(__xludf.DUMMYFUNCTION("""COMPUTED_VALUE"""),200.7)</f>
        <v>200.7</v>
      </c>
      <c r="D2229" s="1">
        <f ca="1">IFERROR(__xludf.DUMMYFUNCTION("""COMPUTED_VALUE"""),192.04)</f>
        <v>192.04</v>
      </c>
      <c r="E2229" s="1">
        <f ca="1">IFERROR(__xludf.DUMMYFUNCTION("""COMPUTED_VALUE"""),198.84)</f>
        <v>198.84</v>
      </c>
      <c r="F2229" s="1">
        <f ca="1">IFERROR(__xludf.DUMMYFUNCTION("""COMPUTED_VALUE"""),65033874)</f>
        <v>65033874</v>
      </c>
      <c r="G2229" s="5">
        <f t="shared" ca="1" si="102"/>
        <v>5.8338362502514413E-3</v>
      </c>
      <c r="H2229" s="14">
        <f t="shared" si="103"/>
        <v>2024</v>
      </c>
      <c r="I2229" s="5">
        <f t="shared" ca="1" si="104"/>
        <v>1.6044966785896859E-2</v>
      </c>
      <c r="J2229" s="16"/>
    </row>
    <row r="2230" spans="1:10" x14ac:dyDescent="0.2">
      <c r="A2230" s="3">
        <v>45513</v>
      </c>
      <c r="B2230" s="1">
        <f ca="1">IFERROR(__xludf.DUMMYFUNCTION("""COMPUTED_VALUE"""),197.05)</f>
        <v>197.05</v>
      </c>
      <c r="C2230" s="1">
        <f ca="1">IFERROR(__xludf.DUMMYFUNCTION("""COMPUTED_VALUE"""),200.88)</f>
        <v>200.88</v>
      </c>
      <c r="D2230" s="1">
        <f ca="1">IFERROR(__xludf.DUMMYFUNCTION("""COMPUTED_VALUE"""),195.11)</f>
        <v>195.11</v>
      </c>
      <c r="E2230" s="1">
        <f ca="1">IFERROR(__xludf.DUMMYFUNCTION("""COMPUTED_VALUE"""),200)</f>
        <v>200</v>
      </c>
      <c r="F2230" s="1">
        <f ca="1">IFERROR(__xludf.DUMMYFUNCTION("""COMPUTED_VALUE"""),58648274)</f>
        <v>58648274</v>
      </c>
      <c r="G2230" s="5">
        <f t="shared" ca="1" si="102"/>
        <v>-1.2549999999999955E-2</v>
      </c>
      <c r="H2230" s="14">
        <f t="shared" si="103"/>
        <v>2024</v>
      </c>
      <c r="I2230" s="5">
        <f t="shared" ca="1" si="104"/>
        <v>1.497081958893676E-2</v>
      </c>
      <c r="J2230" s="16"/>
    </row>
    <row r="2231" spans="1:10" x14ac:dyDescent="0.2">
      <c r="A2231" s="3">
        <v>45516</v>
      </c>
      <c r="B2231" s="1">
        <f ca="1">IFERROR(__xludf.DUMMYFUNCTION("""COMPUTED_VALUE"""),199.02)</f>
        <v>199.02</v>
      </c>
      <c r="C2231" s="1">
        <f ca="1">IFERROR(__xludf.DUMMYFUNCTION("""COMPUTED_VALUE"""),199.26)</f>
        <v>199.26</v>
      </c>
      <c r="D2231" s="1">
        <f ca="1">IFERROR(__xludf.DUMMYFUNCTION("""COMPUTED_VALUE"""),194.67)</f>
        <v>194.67</v>
      </c>
      <c r="E2231" s="1">
        <f ca="1">IFERROR(__xludf.DUMMYFUNCTION("""COMPUTED_VALUE"""),197.49)</f>
        <v>197.49</v>
      </c>
      <c r="F2231" s="1">
        <f ca="1">IFERROR(__xludf.DUMMYFUNCTION("""COMPUTED_VALUE"""),64044903)</f>
        <v>64044903</v>
      </c>
      <c r="G2231" s="5">
        <f t="shared" ca="1" si="102"/>
        <v>5.2357081371208682E-2</v>
      </c>
      <c r="H2231" s="14">
        <f t="shared" si="103"/>
        <v>2024</v>
      </c>
      <c r="I2231" s="5">
        <f t="shared" ca="1" si="104"/>
        <v>-7.6876695809466435E-3</v>
      </c>
      <c r="J2231" s="16"/>
    </row>
    <row r="2232" spans="1:10" x14ac:dyDescent="0.2">
      <c r="A2232" s="3">
        <v>45517</v>
      </c>
      <c r="B2232" s="1">
        <f ca="1">IFERROR(__xludf.DUMMYFUNCTION("""COMPUTED_VALUE"""),198.47)</f>
        <v>198.47</v>
      </c>
      <c r="C2232" s="1">
        <f ca="1">IFERROR(__xludf.DUMMYFUNCTION("""COMPUTED_VALUE"""),208.49)</f>
        <v>208.49</v>
      </c>
      <c r="D2232" s="1">
        <f ca="1">IFERROR(__xludf.DUMMYFUNCTION("""COMPUTED_VALUE"""),197.06)</f>
        <v>197.06</v>
      </c>
      <c r="E2232" s="1">
        <f ca="1">IFERROR(__xludf.DUMMYFUNCTION("""COMPUTED_VALUE"""),207.83)</f>
        <v>207.83</v>
      </c>
      <c r="F2232" s="1">
        <f ca="1">IFERROR(__xludf.DUMMYFUNCTION("""COMPUTED_VALUE"""),76247387)</f>
        <v>76247387</v>
      </c>
      <c r="G2232" s="5">
        <f t="shared" ca="1" si="102"/>
        <v>-3.1034980512919294E-2</v>
      </c>
      <c r="H2232" s="14">
        <f t="shared" si="103"/>
        <v>2024</v>
      </c>
      <c r="I2232" s="5">
        <f t="shared" ca="1" si="104"/>
        <v>4.716077996674567E-2</v>
      </c>
      <c r="J2232" s="16"/>
    </row>
    <row r="2233" spans="1:10" x14ac:dyDescent="0.2">
      <c r="A2233" s="3">
        <v>45518</v>
      </c>
      <c r="B2233" s="1">
        <f ca="1">IFERROR(__xludf.DUMMYFUNCTION("""COMPUTED_VALUE"""),207.39)</f>
        <v>207.39</v>
      </c>
      <c r="C2233" s="1">
        <f ca="1">IFERROR(__xludf.DUMMYFUNCTION("""COMPUTED_VALUE"""),208.44)</f>
        <v>208.44</v>
      </c>
      <c r="D2233" s="1">
        <f ca="1">IFERROR(__xludf.DUMMYFUNCTION("""COMPUTED_VALUE"""),198.75)</f>
        <v>198.75</v>
      </c>
      <c r="E2233" s="1">
        <f ca="1">IFERROR(__xludf.DUMMYFUNCTION("""COMPUTED_VALUE"""),201.38)</f>
        <v>201.38</v>
      </c>
      <c r="F2233" s="1">
        <f ca="1">IFERROR(__xludf.DUMMYFUNCTION("""COMPUTED_VALUE"""),70250014)</f>
        <v>70250014</v>
      </c>
      <c r="G2233" s="5">
        <f t="shared" ca="1" si="102"/>
        <v>6.3362796702750968E-2</v>
      </c>
      <c r="H2233" s="14">
        <f t="shared" si="103"/>
        <v>2024</v>
      </c>
      <c r="I2233" s="5">
        <f t="shared" ca="1" si="104"/>
        <v>-2.8979217898645025E-2</v>
      </c>
      <c r="J2233" s="16"/>
    </row>
    <row r="2234" spans="1:10" x14ac:dyDescent="0.2">
      <c r="A2234" s="3">
        <v>45519</v>
      </c>
      <c r="B2234" s="1">
        <f ca="1">IFERROR(__xludf.DUMMYFUNCTION("""COMPUTED_VALUE"""),205.02)</f>
        <v>205.02</v>
      </c>
      <c r="C2234" s="1">
        <f ca="1">IFERROR(__xludf.DUMMYFUNCTION("""COMPUTED_VALUE"""),215.88)</f>
        <v>215.88</v>
      </c>
      <c r="D2234" s="1">
        <f ca="1">IFERROR(__xludf.DUMMYFUNCTION("""COMPUTED_VALUE"""),204.82)</f>
        <v>204.82</v>
      </c>
      <c r="E2234" s="1">
        <f ca="1">IFERROR(__xludf.DUMMYFUNCTION("""COMPUTED_VALUE"""),214.14)</f>
        <v>214.14</v>
      </c>
      <c r="F2234" s="1">
        <f ca="1">IFERROR(__xludf.DUMMYFUNCTION("""COMPUTED_VALUE"""),89848530)</f>
        <v>89848530</v>
      </c>
      <c r="G2234" s="5">
        <f t="shared" ca="1" si="102"/>
        <v>9.2462874754834137E-3</v>
      </c>
      <c r="H2234" s="14">
        <f t="shared" si="103"/>
        <v>2024</v>
      </c>
      <c r="I2234" s="5">
        <f t="shared" ca="1" si="104"/>
        <v>4.4483465027802045E-2</v>
      </c>
      <c r="J2234" s="16"/>
    </row>
    <row r="2235" spans="1:10" x14ac:dyDescent="0.2">
      <c r="A2235" s="3">
        <v>45520</v>
      </c>
      <c r="B2235" s="1">
        <f ca="1">IFERROR(__xludf.DUMMYFUNCTION("""COMPUTED_VALUE"""),211.15)</f>
        <v>211.15</v>
      </c>
      <c r="C2235" s="1">
        <f ca="1">IFERROR(__xludf.DUMMYFUNCTION("""COMPUTED_VALUE"""),219.8)</f>
        <v>219.8</v>
      </c>
      <c r="D2235" s="1">
        <f ca="1">IFERROR(__xludf.DUMMYFUNCTION("""COMPUTED_VALUE"""),210.8)</f>
        <v>210.8</v>
      </c>
      <c r="E2235" s="1">
        <f ca="1">IFERROR(__xludf.DUMMYFUNCTION("""COMPUTED_VALUE"""),216.12)</f>
        <v>216.12</v>
      </c>
      <c r="F2235" s="1">
        <f ca="1">IFERROR(__xludf.DUMMYFUNCTION("""COMPUTED_VALUE"""),88765122)</f>
        <v>88765122</v>
      </c>
      <c r="G2235" s="5">
        <f t="shared" ca="1" si="102"/>
        <v>3.0538589672404193E-2</v>
      </c>
      <c r="H2235" s="14">
        <f t="shared" si="103"/>
        <v>2024</v>
      </c>
      <c r="I2235" s="5">
        <f t="shared" ca="1" si="104"/>
        <v>2.35377693582761E-2</v>
      </c>
      <c r="J2235" s="16"/>
    </row>
    <row r="2236" spans="1:10" x14ac:dyDescent="0.2">
      <c r="A2236" s="3">
        <v>45523</v>
      </c>
      <c r="B2236" s="1">
        <f ca="1">IFERROR(__xludf.DUMMYFUNCTION("""COMPUTED_VALUE"""),217.07)</f>
        <v>217.07</v>
      </c>
      <c r="C2236" s="1">
        <f ca="1">IFERROR(__xludf.DUMMYFUNCTION("""COMPUTED_VALUE"""),222.98)</f>
        <v>222.98</v>
      </c>
      <c r="D2236" s="1">
        <f ca="1">IFERROR(__xludf.DUMMYFUNCTION("""COMPUTED_VALUE"""),214.09)</f>
        <v>214.09</v>
      </c>
      <c r="E2236" s="1">
        <f ca="1">IFERROR(__xludf.DUMMYFUNCTION("""COMPUTED_VALUE"""),222.72)</f>
        <v>222.72</v>
      </c>
      <c r="F2236" s="1">
        <f ca="1">IFERROR(__xludf.DUMMYFUNCTION("""COMPUTED_VALUE"""),76435222)</f>
        <v>76435222</v>
      </c>
      <c r="G2236" s="5">
        <f t="shared" ca="1" si="102"/>
        <v>-7.2737068965517447E-3</v>
      </c>
      <c r="H2236" s="14">
        <f t="shared" si="103"/>
        <v>2024</v>
      </c>
      <c r="I2236" s="5">
        <f t="shared" ca="1" si="104"/>
        <v>2.6028470078776459E-2</v>
      </c>
      <c r="J2236" s="16"/>
    </row>
    <row r="2237" spans="1:10" x14ac:dyDescent="0.2">
      <c r="A2237" s="3">
        <v>45524</v>
      </c>
      <c r="B2237" s="1">
        <f ca="1">IFERROR(__xludf.DUMMYFUNCTION("""COMPUTED_VALUE"""),224.88)</f>
        <v>224.88</v>
      </c>
      <c r="C2237" s="1">
        <f ca="1">IFERROR(__xludf.DUMMYFUNCTION("""COMPUTED_VALUE"""),228.22)</f>
        <v>228.22</v>
      </c>
      <c r="D2237" s="1">
        <f ca="1">IFERROR(__xludf.DUMMYFUNCTION("""COMPUTED_VALUE"""),219.56)</f>
        <v>219.56</v>
      </c>
      <c r="E2237" s="1">
        <f ca="1">IFERROR(__xludf.DUMMYFUNCTION("""COMPUTED_VALUE"""),221.1)</f>
        <v>221.1</v>
      </c>
      <c r="F2237" s="1">
        <f ca="1">IFERROR(__xludf.DUMMYFUNCTION("""COMPUTED_VALUE"""),74001182)</f>
        <v>74001182</v>
      </c>
      <c r="G2237" s="5">
        <f t="shared" ca="1" si="102"/>
        <v>9.8145635459069014E-3</v>
      </c>
      <c r="H2237" s="14">
        <f t="shared" si="103"/>
        <v>2024</v>
      </c>
      <c r="I2237" s="5">
        <f t="shared" ca="1" si="104"/>
        <v>-1.6808964781216653E-2</v>
      </c>
      <c r="J2237" s="16"/>
    </row>
    <row r="2238" spans="1:10" x14ac:dyDescent="0.2">
      <c r="A2238" s="3">
        <v>45525</v>
      </c>
      <c r="B2238" s="1">
        <f ca="1">IFERROR(__xludf.DUMMYFUNCTION("""COMPUTED_VALUE"""),222.67)</f>
        <v>222.67</v>
      </c>
      <c r="C2238" s="1">
        <f ca="1">IFERROR(__xludf.DUMMYFUNCTION("""COMPUTED_VALUE"""),224.66)</f>
        <v>224.66</v>
      </c>
      <c r="D2238" s="1">
        <f ca="1">IFERROR(__xludf.DUMMYFUNCTION("""COMPUTED_VALUE"""),218.86)</f>
        <v>218.86</v>
      </c>
      <c r="E2238" s="1">
        <f ca="1">IFERROR(__xludf.DUMMYFUNCTION("""COMPUTED_VALUE"""),223.27)</f>
        <v>223.27</v>
      </c>
      <c r="F2238" s="1">
        <f ca="1">IFERROR(__xludf.DUMMYFUNCTION("""COMPUTED_VALUE"""),70145964)</f>
        <v>70145964</v>
      </c>
      <c r="G2238" s="5">
        <f t="shared" ca="1" si="102"/>
        <v>-5.6478702915752285E-2</v>
      </c>
      <c r="H2238" s="14">
        <f t="shared" si="103"/>
        <v>2024</v>
      </c>
      <c r="I2238" s="5">
        <f t="shared" ca="1" si="104"/>
        <v>2.6945704405623694E-3</v>
      </c>
      <c r="J2238" s="16"/>
    </row>
    <row r="2239" spans="1:10" x14ac:dyDescent="0.2">
      <c r="A2239" s="3">
        <v>45526</v>
      </c>
      <c r="B2239" s="1">
        <f ca="1">IFERROR(__xludf.DUMMYFUNCTION("""COMPUTED_VALUE"""),223.82)</f>
        <v>223.82</v>
      </c>
      <c r="C2239" s="1">
        <f ca="1">IFERROR(__xludf.DUMMYFUNCTION("""COMPUTED_VALUE"""),224.8)</f>
        <v>224.8</v>
      </c>
      <c r="D2239" s="1">
        <f ca="1">IFERROR(__xludf.DUMMYFUNCTION("""COMPUTED_VALUE"""),210.32)</f>
        <v>210.32</v>
      </c>
      <c r="E2239" s="1">
        <f ca="1">IFERROR(__xludf.DUMMYFUNCTION("""COMPUTED_VALUE"""),210.66)</f>
        <v>210.66</v>
      </c>
      <c r="F2239" s="1">
        <f ca="1">IFERROR(__xludf.DUMMYFUNCTION("""COMPUTED_VALUE"""),79514482)</f>
        <v>79514482</v>
      </c>
      <c r="G2239" s="5">
        <f t="shared" ca="1" si="102"/>
        <v>4.5855881515237812E-2</v>
      </c>
      <c r="H2239" s="14">
        <f t="shared" si="103"/>
        <v>2024</v>
      </c>
      <c r="I2239" s="5">
        <f t="shared" ca="1" si="104"/>
        <v>-5.8797247788401383E-2</v>
      </c>
      <c r="J2239" s="16"/>
    </row>
    <row r="2240" spans="1:10" x14ac:dyDescent="0.2">
      <c r="A2240" s="3">
        <v>45527</v>
      </c>
      <c r="B2240" s="1">
        <f ca="1">IFERROR(__xludf.DUMMYFUNCTION("""COMPUTED_VALUE"""),214.46)</f>
        <v>214.46</v>
      </c>
      <c r="C2240" s="1">
        <f ca="1">IFERROR(__xludf.DUMMYFUNCTION("""COMPUTED_VALUE"""),221.48)</f>
        <v>221.48</v>
      </c>
      <c r="D2240" s="1">
        <f ca="1">IFERROR(__xludf.DUMMYFUNCTION("""COMPUTED_VALUE"""),214.21)</f>
        <v>214.21</v>
      </c>
      <c r="E2240" s="1">
        <f ca="1">IFERROR(__xludf.DUMMYFUNCTION("""COMPUTED_VALUE"""),220.32)</f>
        <v>220.32</v>
      </c>
      <c r="F2240" s="1">
        <f ca="1">IFERROR(__xludf.DUMMYFUNCTION("""COMPUTED_VALUE"""),81525207)</f>
        <v>81525207</v>
      </c>
      <c r="G2240" s="5">
        <f t="shared" ca="1" si="102"/>
        <v>-3.2271241830065293E-2</v>
      </c>
      <c r="H2240" s="14">
        <f t="shared" si="103"/>
        <v>2024</v>
      </c>
      <c r="I2240" s="5">
        <f t="shared" ca="1" si="104"/>
        <v>2.7324442786533551E-2</v>
      </c>
      <c r="J2240" s="16"/>
    </row>
    <row r="2241" spans="1:10" x14ac:dyDescent="0.2">
      <c r="A2241" s="3">
        <v>45530</v>
      </c>
      <c r="B2241" s="1">
        <f ca="1">IFERROR(__xludf.DUMMYFUNCTION("""COMPUTED_VALUE"""),218.75)</f>
        <v>218.75</v>
      </c>
      <c r="C2241" s="1">
        <f ca="1">IFERROR(__xludf.DUMMYFUNCTION("""COMPUTED_VALUE"""),219.09)</f>
        <v>219.09</v>
      </c>
      <c r="D2241" s="1">
        <f ca="1">IFERROR(__xludf.DUMMYFUNCTION("""COMPUTED_VALUE"""),211.01)</f>
        <v>211.01</v>
      </c>
      <c r="E2241" s="1">
        <f ca="1">IFERROR(__xludf.DUMMYFUNCTION("""COMPUTED_VALUE"""),213.21)</f>
        <v>213.21</v>
      </c>
      <c r="F2241" s="1">
        <f ca="1">IFERROR(__xludf.DUMMYFUNCTION("""COMPUTED_VALUE"""),59301187)</f>
        <v>59301187</v>
      </c>
      <c r="G2241" s="5">
        <f t="shared" ca="1" si="102"/>
        <v>-1.8760846114159749E-2</v>
      </c>
      <c r="H2241" s="14">
        <f t="shared" si="103"/>
        <v>2024</v>
      </c>
      <c r="I2241" s="5">
        <f t="shared" ca="1" si="104"/>
        <v>-2.532571428571425E-2</v>
      </c>
      <c r="J2241" s="16"/>
    </row>
    <row r="2242" spans="1:10" x14ac:dyDescent="0.2">
      <c r="A2242" s="3">
        <v>45531</v>
      </c>
      <c r="B2242" s="1">
        <f ca="1">IFERROR(__xludf.DUMMYFUNCTION("""COMPUTED_VALUE"""),213.25)</f>
        <v>213.25</v>
      </c>
      <c r="C2242" s="1">
        <f ca="1">IFERROR(__xludf.DUMMYFUNCTION("""COMPUTED_VALUE"""),215.66)</f>
        <v>215.66</v>
      </c>
      <c r="D2242" s="1">
        <f ca="1">IFERROR(__xludf.DUMMYFUNCTION("""COMPUTED_VALUE"""),206.94)</f>
        <v>206.94</v>
      </c>
      <c r="E2242" s="1">
        <f ca="1">IFERROR(__xludf.DUMMYFUNCTION("""COMPUTED_VALUE"""),209.21)</f>
        <v>209.21</v>
      </c>
      <c r="F2242" s="1">
        <f ca="1">IFERROR(__xludf.DUMMYFUNCTION("""COMPUTED_VALUE"""),62821390)</f>
        <v>62821390</v>
      </c>
      <c r="G2242" s="5">
        <f t="shared" ca="1" si="102"/>
        <v>-1.6538406385928052E-2</v>
      </c>
      <c r="H2242" s="14">
        <f t="shared" si="103"/>
        <v>2024</v>
      </c>
      <c r="I2242" s="5">
        <f t="shared" ca="1" si="104"/>
        <v>-1.8944900351699847E-2</v>
      </c>
      <c r="J2242" s="16"/>
    </row>
    <row r="2243" spans="1:10" x14ac:dyDescent="0.2">
      <c r="A2243" s="3">
        <v>45532</v>
      </c>
      <c r="B2243" s="1">
        <f ca="1">IFERROR(__xludf.DUMMYFUNCTION("""COMPUTED_VALUE"""),209.72)</f>
        <v>209.72</v>
      </c>
      <c r="C2243" s="1">
        <f ca="1">IFERROR(__xludf.DUMMYFUNCTION("""COMPUTED_VALUE"""),211.84)</f>
        <v>211.84</v>
      </c>
      <c r="D2243" s="1">
        <f ca="1">IFERROR(__xludf.DUMMYFUNCTION("""COMPUTED_VALUE"""),202.59)</f>
        <v>202.59</v>
      </c>
      <c r="E2243" s="1">
        <f ca="1">IFERROR(__xludf.DUMMYFUNCTION("""COMPUTED_VALUE"""),205.75)</f>
        <v>205.75</v>
      </c>
      <c r="F2243" s="1">
        <f ca="1">IFERROR(__xludf.DUMMYFUNCTION("""COMPUTED_VALUE"""),64116350)</f>
        <v>64116350</v>
      </c>
      <c r="G2243" s="5">
        <f t="shared" ref="G2243:G2306" ca="1" si="105">(E2244-E2243)/E2243</f>
        <v>2.575941676792229E-3</v>
      </c>
      <c r="H2243" s="14">
        <f t="shared" ref="H2243:H2306" si="106">YEAR(A2243)</f>
        <v>2024</v>
      </c>
      <c r="I2243" s="5">
        <f t="shared" ref="I2243:I2306" ca="1" si="107">((E2243 - B2243) / B2243)</f>
        <v>-1.8930001907304973E-2</v>
      </c>
      <c r="J2243" s="16"/>
    </row>
    <row r="2244" spans="1:10" x14ac:dyDescent="0.2">
      <c r="A2244" s="3">
        <v>45533</v>
      </c>
      <c r="B2244" s="1">
        <f ca="1">IFERROR(__xludf.DUMMYFUNCTION("""COMPUTED_VALUE"""),209.8)</f>
        <v>209.8</v>
      </c>
      <c r="C2244" s="1">
        <f ca="1">IFERROR(__xludf.DUMMYFUNCTION("""COMPUTED_VALUE"""),214.89)</f>
        <v>214.89</v>
      </c>
      <c r="D2244" s="1">
        <f ca="1">IFERROR(__xludf.DUMMYFUNCTION("""COMPUTED_VALUE"""),205.97)</f>
        <v>205.97</v>
      </c>
      <c r="E2244" s="1">
        <f ca="1">IFERROR(__xludf.DUMMYFUNCTION("""COMPUTED_VALUE"""),206.28)</f>
        <v>206.28</v>
      </c>
      <c r="F2244" s="1">
        <f ca="1">IFERROR(__xludf.DUMMYFUNCTION("""COMPUTED_VALUE"""),62308818)</f>
        <v>62308818</v>
      </c>
      <c r="G2244" s="5">
        <f t="shared" ca="1" si="105"/>
        <v>3.7958115183246134E-2</v>
      </c>
      <c r="H2244" s="14">
        <f t="shared" si="106"/>
        <v>2024</v>
      </c>
      <c r="I2244" s="5">
        <f t="shared" ca="1" si="107"/>
        <v>-1.6777883698760772E-2</v>
      </c>
      <c r="J2244" s="16"/>
    </row>
    <row r="2245" spans="1:10" x14ac:dyDescent="0.2">
      <c r="A2245" s="3">
        <v>45534</v>
      </c>
      <c r="B2245" s="1">
        <f ca="1">IFERROR(__xludf.DUMMYFUNCTION("""COMPUTED_VALUE"""),208.63)</f>
        <v>208.63</v>
      </c>
      <c r="C2245" s="1">
        <f ca="1">IFERROR(__xludf.DUMMYFUNCTION("""COMPUTED_VALUE"""),214.57)</f>
        <v>214.57</v>
      </c>
      <c r="D2245" s="1">
        <f ca="1">IFERROR(__xludf.DUMMYFUNCTION("""COMPUTED_VALUE"""),207.03)</f>
        <v>207.03</v>
      </c>
      <c r="E2245" s="1">
        <f ca="1">IFERROR(__xludf.DUMMYFUNCTION("""COMPUTED_VALUE"""),214.11)</f>
        <v>214.11</v>
      </c>
      <c r="F2245" s="1">
        <f ca="1">IFERROR(__xludf.DUMMYFUNCTION("""COMPUTED_VALUE"""),63370608)</f>
        <v>63370608</v>
      </c>
      <c r="G2245" s="5">
        <f t="shared" ca="1" si="105"/>
        <v>-1.6393442622950907E-2</v>
      </c>
      <c r="H2245" s="14">
        <f t="shared" si="106"/>
        <v>2024</v>
      </c>
      <c r="I2245" s="5">
        <f t="shared" ca="1" si="107"/>
        <v>2.6266596366773802E-2</v>
      </c>
      <c r="J2245" s="16"/>
    </row>
    <row r="2246" spans="1:10" x14ac:dyDescent="0.2">
      <c r="A2246" s="3">
        <v>45538</v>
      </c>
      <c r="B2246" s="1">
        <f ca="1">IFERROR(__xludf.DUMMYFUNCTION("""COMPUTED_VALUE"""),215.26)</f>
        <v>215.26</v>
      </c>
      <c r="C2246" s="1">
        <f ca="1">IFERROR(__xludf.DUMMYFUNCTION("""COMPUTED_VALUE"""),219.9)</f>
        <v>219.9</v>
      </c>
      <c r="D2246" s="1">
        <f ca="1">IFERROR(__xludf.DUMMYFUNCTION("""COMPUTED_VALUE"""),209.64)</f>
        <v>209.64</v>
      </c>
      <c r="E2246" s="1">
        <f ca="1">IFERROR(__xludf.DUMMYFUNCTION("""COMPUTED_VALUE"""),210.6)</f>
        <v>210.6</v>
      </c>
      <c r="F2246" s="1">
        <f ca="1">IFERROR(__xludf.DUMMYFUNCTION("""COMPUTED_VALUE"""),76714222)</f>
        <v>76714222</v>
      </c>
      <c r="G2246" s="5">
        <f t="shared" ca="1" si="105"/>
        <v>4.1832858499525179E-2</v>
      </c>
      <c r="H2246" s="14">
        <f t="shared" si="106"/>
        <v>2024</v>
      </c>
      <c r="I2246" s="5">
        <f t="shared" ca="1" si="107"/>
        <v>-2.1648239338474387E-2</v>
      </c>
      <c r="J2246" s="16"/>
    </row>
    <row r="2247" spans="1:10" x14ac:dyDescent="0.2">
      <c r="A2247" s="3">
        <v>45539</v>
      </c>
      <c r="B2247" s="1">
        <f ca="1">IFERROR(__xludf.DUMMYFUNCTION("""COMPUTED_VALUE"""),210.59)</f>
        <v>210.59</v>
      </c>
      <c r="C2247" s="1">
        <f ca="1">IFERROR(__xludf.DUMMYFUNCTION("""COMPUTED_VALUE"""),222.22)</f>
        <v>222.22</v>
      </c>
      <c r="D2247" s="1">
        <f ca="1">IFERROR(__xludf.DUMMYFUNCTION("""COMPUTED_VALUE"""),210.57)</f>
        <v>210.57</v>
      </c>
      <c r="E2247" s="1">
        <f ca="1">IFERROR(__xludf.DUMMYFUNCTION("""COMPUTED_VALUE"""),219.41)</f>
        <v>219.41</v>
      </c>
      <c r="F2247" s="1">
        <f ca="1">IFERROR(__xludf.DUMMYFUNCTION("""COMPUTED_VALUE"""),80651767)</f>
        <v>80651767</v>
      </c>
      <c r="G2247" s="5">
        <f t="shared" ca="1" si="105"/>
        <v>4.904060890570161E-2</v>
      </c>
      <c r="H2247" s="14">
        <f t="shared" si="106"/>
        <v>2024</v>
      </c>
      <c r="I2247" s="5">
        <f t="shared" ca="1" si="107"/>
        <v>4.1882330594994979E-2</v>
      </c>
      <c r="J2247" s="16"/>
    </row>
    <row r="2248" spans="1:10" x14ac:dyDescent="0.2">
      <c r="A2248" s="3">
        <v>45540</v>
      </c>
      <c r="B2248" s="1">
        <f ca="1">IFERROR(__xludf.DUMMYFUNCTION("""COMPUTED_VALUE"""),223.49)</f>
        <v>223.49</v>
      </c>
      <c r="C2248" s="1">
        <f ca="1">IFERROR(__xludf.DUMMYFUNCTION("""COMPUTED_VALUE"""),235)</f>
        <v>235</v>
      </c>
      <c r="D2248" s="1">
        <f ca="1">IFERROR(__xludf.DUMMYFUNCTION("""COMPUTED_VALUE"""),222.25)</f>
        <v>222.25</v>
      </c>
      <c r="E2248" s="1">
        <f ca="1">IFERROR(__xludf.DUMMYFUNCTION("""COMPUTED_VALUE"""),230.17)</f>
        <v>230.17</v>
      </c>
      <c r="F2248" s="1">
        <f ca="1">IFERROR(__xludf.DUMMYFUNCTION("""COMPUTED_VALUE"""),119355013)</f>
        <v>119355013</v>
      </c>
      <c r="G2248" s="5">
        <f t="shared" ca="1" si="105"/>
        <v>-8.4459312681930743E-2</v>
      </c>
      <c r="H2248" s="14">
        <f t="shared" si="106"/>
        <v>2024</v>
      </c>
      <c r="I2248" s="5">
        <f t="shared" ca="1" si="107"/>
        <v>2.9889480513669419E-2</v>
      </c>
      <c r="J2248" s="16"/>
    </row>
    <row r="2249" spans="1:10" x14ac:dyDescent="0.2">
      <c r="A2249" s="3">
        <v>45541</v>
      </c>
      <c r="B2249" s="1">
        <f ca="1">IFERROR(__xludf.DUMMYFUNCTION("""COMPUTED_VALUE"""),232.6)</f>
        <v>232.6</v>
      </c>
      <c r="C2249" s="1">
        <f ca="1">IFERROR(__xludf.DUMMYFUNCTION("""COMPUTED_VALUE"""),233.6)</f>
        <v>233.6</v>
      </c>
      <c r="D2249" s="1">
        <f ca="1">IFERROR(__xludf.DUMMYFUNCTION("""COMPUTED_VALUE"""),210.51)</f>
        <v>210.51</v>
      </c>
      <c r="E2249" s="1">
        <f ca="1">IFERROR(__xludf.DUMMYFUNCTION("""COMPUTED_VALUE"""),210.73)</f>
        <v>210.73</v>
      </c>
      <c r="F2249" s="1">
        <f ca="1">IFERROR(__xludf.DUMMYFUNCTION("""COMPUTED_VALUE"""),112177004)</f>
        <v>112177004</v>
      </c>
      <c r="G2249" s="5">
        <f t="shared" ca="1" si="105"/>
        <v>2.6289564846011582E-2</v>
      </c>
      <c r="H2249" s="14">
        <f t="shared" si="106"/>
        <v>2024</v>
      </c>
      <c r="I2249" s="5">
        <f t="shared" ca="1" si="107"/>
        <v>-9.4024075666380075E-2</v>
      </c>
      <c r="J2249" s="16"/>
    </row>
    <row r="2250" spans="1:10" x14ac:dyDescent="0.2">
      <c r="A2250" s="3">
        <v>45544</v>
      </c>
      <c r="B2250" s="1">
        <f ca="1">IFERROR(__xludf.DUMMYFUNCTION("""COMPUTED_VALUE"""),216.2)</f>
        <v>216.2</v>
      </c>
      <c r="C2250" s="1">
        <f ca="1">IFERROR(__xludf.DUMMYFUNCTION("""COMPUTED_VALUE"""),219.87)</f>
        <v>219.87</v>
      </c>
      <c r="D2250" s="1">
        <f ca="1">IFERROR(__xludf.DUMMYFUNCTION("""COMPUTED_VALUE"""),213.67)</f>
        <v>213.67</v>
      </c>
      <c r="E2250" s="1">
        <f ca="1">IFERROR(__xludf.DUMMYFUNCTION("""COMPUTED_VALUE"""),216.27)</f>
        <v>216.27</v>
      </c>
      <c r="F2250" s="1">
        <f ca="1">IFERROR(__xludf.DUMMYFUNCTION("""COMPUTED_VALUE"""),67443518)</f>
        <v>67443518</v>
      </c>
      <c r="G2250" s="5">
        <f t="shared" ca="1" si="105"/>
        <v>4.5776113191843423E-2</v>
      </c>
      <c r="H2250" s="14">
        <f t="shared" si="106"/>
        <v>2024</v>
      </c>
      <c r="I2250" s="5">
        <f t="shared" ca="1" si="107"/>
        <v>3.2377428307133025E-4</v>
      </c>
      <c r="J2250" s="16"/>
    </row>
    <row r="2251" spans="1:10" x14ac:dyDescent="0.2">
      <c r="A2251" s="3">
        <v>45545</v>
      </c>
      <c r="B2251" s="1">
        <f ca="1">IFERROR(__xludf.DUMMYFUNCTION("""COMPUTED_VALUE"""),220.07)</f>
        <v>220.07</v>
      </c>
      <c r="C2251" s="1">
        <f ca="1">IFERROR(__xludf.DUMMYFUNCTION("""COMPUTED_VALUE"""),226.4)</f>
        <v>226.4</v>
      </c>
      <c r="D2251" s="1">
        <f ca="1">IFERROR(__xludf.DUMMYFUNCTION("""COMPUTED_VALUE"""),218.64)</f>
        <v>218.64</v>
      </c>
      <c r="E2251" s="1">
        <f ca="1">IFERROR(__xludf.DUMMYFUNCTION("""COMPUTED_VALUE"""),226.17)</f>
        <v>226.17</v>
      </c>
      <c r="F2251" s="1">
        <f ca="1">IFERROR(__xludf.DUMMYFUNCTION("""COMPUTED_VALUE"""),78891136)</f>
        <v>78891136</v>
      </c>
      <c r="G2251" s="5">
        <f t="shared" ca="1" si="105"/>
        <v>8.6660476632621844E-3</v>
      </c>
      <c r="H2251" s="14">
        <f t="shared" si="106"/>
        <v>2024</v>
      </c>
      <c r="I2251" s="5">
        <f t="shared" ca="1" si="107"/>
        <v>2.7718453219430155E-2</v>
      </c>
      <c r="J2251" s="16"/>
    </row>
    <row r="2252" spans="1:10" x14ac:dyDescent="0.2">
      <c r="A2252" s="3">
        <v>45546</v>
      </c>
      <c r="B2252" s="1">
        <f ca="1">IFERROR(__xludf.DUMMYFUNCTION("""COMPUTED_VALUE"""),224.55)</f>
        <v>224.55</v>
      </c>
      <c r="C2252" s="1">
        <f ca="1">IFERROR(__xludf.DUMMYFUNCTION("""COMPUTED_VALUE"""),228.47)</f>
        <v>228.47</v>
      </c>
      <c r="D2252" s="1">
        <f ca="1">IFERROR(__xludf.DUMMYFUNCTION("""COMPUTED_VALUE"""),216.8)</f>
        <v>216.8</v>
      </c>
      <c r="E2252" s="1">
        <f ca="1">IFERROR(__xludf.DUMMYFUNCTION("""COMPUTED_VALUE"""),228.13)</f>
        <v>228.13</v>
      </c>
      <c r="F2252" s="1">
        <f ca="1">IFERROR(__xludf.DUMMYFUNCTION("""COMPUTED_VALUE"""),83548633)</f>
        <v>83548633</v>
      </c>
      <c r="G2252" s="5">
        <f t="shared" ca="1" si="105"/>
        <v>7.3642221540350097E-3</v>
      </c>
      <c r="H2252" s="14">
        <f t="shared" si="106"/>
        <v>2024</v>
      </c>
      <c r="I2252" s="5">
        <f t="shared" ca="1" si="107"/>
        <v>1.5942997105321682E-2</v>
      </c>
      <c r="J2252" s="16"/>
    </row>
    <row r="2253" spans="1:10" x14ac:dyDescent="0.2">
      <c r="A2253" s="3">
        <v>45547</v>
      </c>
      <c r="B2253" s="1">
        <f ca="1">IFERROR(__xludf.DUMMYFUNCTION("""COMPUTED_VALUE"""),224.66)</f>
        <v>224.66</v>
      </c>
      <c r="C2253" s="1">
        <f ca="1">IFERROR(__xludf.DUMMYFUNCTION("""COMPUTED_VALUE"""),231.45)</f>
        <v>231.45</v>
      </c>
      <c r="D2253" s="1">
        <f ca="1">IFERROR(__xludf.DUMMYFUNCTION("""COMPUTED_VALUE"""),223.83)</f>
        <v>223.83</v>
      </c>
      <c r="E2253" s="1">
        <f ca="1">IFERROR(__xludf.DUMMYFUNCTION("""COMPUTED_VALUE"""),229.81)</f>
        <v>229.81</v>
      </c>
      <c r="F2253" s="1">
        <f ca="1">IFERROR(__xludf.DUMMYFUNCTION("""COMPUTED_VALUE"""),72020042)</f>
        <v>72020042</v>
      </c>
      <c r="G2253" s="5">
        <f t="shared" ca="1" si="105"/>
        <v>2.0886819546581514E-3</v>
      </c>
      <c r="H2253" s="14">
        <f t="shared" si="106"/>
        <v>2024</v>
      </c>
      <c r="I2253" s="5">
        <f t="shared" ca="1" si="107"/>
        <v>2.2923528888097594E-2</v>
      </c>
      <c r="J2253" s="16"/>
    </row>
    <row r="2254" spans="1:10" x14ac:dyDescent="0.2">
      <c r="A2254" s="3">
        <v>45548</v>
      </c>
      <c r="B2254" s="1">
        <f ca="1">IFERROR(__xludf.DUMMYFUNCTION("""COMPUTED_VALUE"""),228)</f>
        <v>228</v>
      </c>
      <c r="C2254" s="1">
        <f ca="1">IFERROR(__xludf.DUMMYFUNCTION("""COMPUTED_VALUE"""),232.67)</f>
        <v>232.67</v>
      </c>
      <c r="D2254" s="1">
        <f ca="1">IFERROR(__xludf.DUMMYFUNCTION("""COMPUTED_VALUE"""),226.32)</f>
        <v>226.32</v>
      </c>
      <c r="E2254" s="1">
        <f ca="1">IFERROR(__xludf.DUMMYFUNCTION("""COMPUTED_VALUE"""),230.29)</f>
        <v>230.29</v>
      </c>
      <c r="F2254" s="1">
        <f ca="1">IFERROR(__xludf.DUMMYFUNCTION("""COMPUTED_VALUE"""),59515114)</f>
        <v>59515114</v>
      </c>
      <c r="G2254" s="5">
        <f t="shared" ca="1" si="105"/>
        <v>-1.5241651830300885E-2</v>
      </c>
      <c r="H2254" s="14">
        <f t="shared" si="106"/>
        <v>2024</v>
      </c>
      <c r="I2254" s="5">
        <f t="shared" ca="1" si="107"/>
        <v>1.0043859649122772E-2</v>
      </c>
      <c r="J2254" s="16"/>
    </row>
    <row r="2255" spans="1:10" x14ac:dyDescent="0.2">
      <c r="A2255" s="3">
        <v>45551</v>
      </c>
      <c r="B2255" s="1">
        <f ca="1">IFERROR(__xludf.DUMMYFUNCTION("""COMPUTED_VALUE"""),229.3)</f>
        <v>229.3</v>
      </c>
      <c r="C2255" s="1">
        <f ca="1">IFERROR(__xludf.DUMMYFUNCTION("""COMPUTED_VALUE"""),229.96)</f>
        <v>229.96</v>
      </c>
      <c r="D2255" s="1">
        <f ca="1">IFERROR(__xludf.DUMMYFUNCTION("""COMPUTED_VALUE"""),223.53)</f>
        <v>223.53</v>
      </c>
      <c r="E2255" s="1">
        <f ca="1">IFERROR(__xludf.DUMMYFUNCTION("""COMPUTED_VALUE"""),226.78)</f>
        <v>226.78</v>
      </c>
      <c r="F2255" s="1">
        <f ca="1">IFERROR(__xludf.DUMMYFUNCTION("""COMPUTED_VALUE"""),54322995)</f>
        <v>54322995</v>
      </c>
      <c r="G2255" s="5">
        <f t="shared" ca="1" si="105"/>
        <v>4.8064203192521538E-3</v>
      </c>
      <c r="H2255" s="14">
        <f t="shared" si="106"/>
        <v>2024</v>
      </c>
      <c r="I2255" s="5">
        <f t="shared" ca="1" si="107"/>
        <v>-1.0989969472307065E-2</v>
      </c>
      <c r="J2255" s="16"/>
    </row>
    <row r="2256" spans="1:10" x14ac:dyDescent="0.2">
      <c r="A2256" s="3">
        <v>45552</v>
      </c>
      <c r="B2256" s="1">
        <f ca="1">IFERROR(__xludf.DUMMYFUNCTION("""COMPUTED_VALUE"""),229.45)</f>
        <v>229.45</v>
      </c>
      <c r="C2256" s="1">
        <f ca="1">IFERROR(__xludf.DUMMYFUNCTION("""COMPUTED_VALUE"""),234.57)</f>
        <v>234.57</v>
      </c>
      <c r="D2256" s="1">
        <f ca="1">IFERROR(__xludf.DUMMYFUNCTION("""COMPUTED_VALUE"""),226.55)</f>
        <v>226.55</v>
      </c>
      <c r="E2256" s="1">
        <f ca="1">IFERROR(__xludf.DUMMYFUNCTION("""COMPUTED_VALUE"""),227.87)</f>
        <v>227.87</v>
      </c>
      <c r="F2256" s="1">
        <f ca="1">IFERROR(__xludf.DUMMYFUNCTION("""COMPUTED_VALUE"""),66761636)</f>
        <v>66761636</v>
      </c>
      <c r="G2256" s="5">
        <f t="shared" ca="1" si="105"/>
        <v>-2.9402729626542149E-3</v>
      </c>
      <c r="H2256" s="14">
        <f t="shared" si="106"/>
        <v>2024</v>
      </c>
      <c r="I2256" s="5">
        <f t="shared" ca="1" si="107"/>
        <v>-6.8860318152102161E-3</v>
      </c>
      <c r="J2256" s="16"/>
    </row>
    <row r="2257" spans="1:10" x14ac:dyDescent="0.2">
      <c r="A2257" s="3">
        <v>45553</v>
      </c>
      <c r="B2257" s="1">
        <f ca="1">IFERROR(__xludf.DUMMYFUNCTION("""COMPUTED_VALUE"""),230.09)</f>
        <v>230.09</v>
      </c>
      <c r="C2257" s="1">
        <f ca="1">IFERROR(__xludf.DUMMYFUNCTION("""COMPUTED_VALUE"""),235.68)</f>
        <v>235.68</v>
      </c>
      <c r="D2257" s="1">
        <f ca="1">IFERROR(__xludf.DUMMYFUNCTION("""COMPUTED_VALUE"""),226.88)</f>
        <v>226.88</v>
      </c>
      <c r="E2257" s="1">
        <f ca="1">IFERROR(__xludf.DUMMYFUNCTION("""COMPUTED_VALUE"""),227.2)</f>
        <v>227.2</v>
      </c>
      <c r="F2257" s="1">
        <f ca="1">IFERROR(__xludf.DUMMYFUNCTION("""COMPUTED_VALUE"""),78010204)</f>
        <v>78010204</v>
      </c>
      <c r="G2257" s="5">
        <f t="shared" ca="1" si="105"/>
        <v>7.3591549295774647E-2</v>
      </c>
      <c r="H2257" s="14">
        <f t="shared" si="106"/>
        <v>2024</v>
      </c>
      <c r="I2257" s="5">
        <f t="shared" ca="1" si="107"/>
        <v>-1.2560302490329935E-2</v>
      </c>
      <c r="J2257" s="16"/>
    </row>
    <row r="2258" spans="1:10" x14ac:dyDescent="0.2">
      <c r="A2258" s="3">
        <v>45554</v>
      </c>
      <c r="B2258" s="1">
        <f ca="1">IFERROR(__xludf.DUMMYFUNCTION("""COMPUTED_VALUE"""),234)</f>
        <v>234</v>
      </c>
      <c r="C2258" s="1">
        <f ca="1">IFERROR(__xludf.DUMMYFUNCTION("""COMPUTED_VALUE"""),244.24)</f>
        <v>244.24</v>
      </c>
      <c r="D2258" s="1">
        <f ca="1">IFERROR(__xludf.DUMMYFUNCTION("""COMPUTED_VALUE"""),232.13)</f>
        <v>232.13</v>
      </c>
      <c r="E2258" s="1">
        <f ca="1">IFERROR(__xludf.DUMMYFUNCTION("""COMPUTED_VALUE"""),243.92)</f>
        <v>243.92</v>
      </c>
      <c r="F2258" s="1">
        <f ca="1">IFERROR(__xludf.DUMMYFUNCTION("""COMPUTED_VALUE"""),102694576)</f>
        <v>102694576</v>
      </c>
      <c r="G2258" s="5">
        <f t="shared" ca="1" si="105"/>
        <v>-2.3245326336503721E-2</v>
      </c>
      <c r="H2258" s="14">
        <f t="shared" si="106"/>
        <v>2024</v>
      </c>
      <c r="I2258" s="5">
        <f t="shared" ca="1" si="107"/>
        <v>4.2393162393162341E-2</v>
      </c>
      <c r="J2258" s="16"/>
    </row>
    <row r="2259" spans="1:10" x14ac:dyDescent="0.2">
      <c r="A2259" s="3">
        <v>45555</v>
      </c>
      <c r="B2259" s="1">
        <f ca="1">IFERROR(__xludf.DUMMYFUNCTION("""COMPUTED_VALUE"""),241.52)</f>
        <v>241.52</v>
      </c>
      <c r="C2259" s="1">
        <f ca="1">IFERROR(__xludf.DUMMYFUNCTION("""COMPUTED_VALUE"""),243.99)</f>
        <v>243.99</v>
      </c>
      <c r="D2259" s="1">
        <f ca="1">IFERROR(__xludf.DUMMYFUNCTION("""COMPUTED_VALUE"""),235.92)</f>
        <v>235.92</v>
      </c>
      <c r="E2259" s="1">
        <f ca="1">IFERROR(__xludf.DUMMYFUNCTION("""COMPUTED_VALUE"""),238.25)</f>
        <v>238.25</v>
      </c>
      <c r="F2259" s="1">
        <f ca="1">IFERROR(__xludf.DUMMYFUNCTION("""COMPUTED_VALUE"""),99879070)</f>
        <v>99879070</v>
      </c>
      <c r="G2259" s="5">
        <f t="shared" ca="1" si="105"/>
        <v>4.9317943336831059E-2</v>
      </c>
      <c r="H2259" s="14">
        <f t="shared" si="106"/>
        <v>2024</v>
      </c>
      <c r="I2259" s="5">
        <f t="shared" ca="1" si="107"/>
        <v>-1.3539251407750953E-2</v>
      </c>
      <c r="J2259" s="16"/>
    </row>
    <row r="2260" spans="1:10" x14ac:dyDescent="0.2">
      <c r="A2260" s="3">
        <v>45558</v>
      </c>
      <c r="B2260" s="1">
        <f ca="1">IFERROR(__xludf.DUMMYFUNCTION("""COMPUTED_VALUE"""),242.61)</f>
        <v>242.61</v>
      </c>
      <c r="C2260" s="1">
        <f ca="1">IFERROR(__xludf.DUMMYFUNCTION("""COMPUTED_VALUE"""),250)</f>
        <v>250</v>
      </c>
      <c r="D2260" s="1">
        <f ca="1">IFERROR(__xludf.DUMMYFUNCTION("""COMPUTED_VALUE"""),241.92)</f>
        <v>241.92</v>
      </c>
      <c r="E2260" s="1">
        <f ca="1">IFERROR(__xludf.DUMMYFUNCTION("""COMPUTED_VALUE"""),250)</f>
        <v>250</v>
      </c>
      <c r="F2260" s="1">
        <f ca="1">IFERROR(__xludf.DUMMYFUNCTION("""COMPUTED_VALUE"""),86927194)</f>
        <v>86927194</v>
      </c>
      <c r="G2260" s="5">
        <f t="shared" ca="1" si="105"/>
        <v>1.708000000000004E-2</v>
      </c>
      <c r="H2260" s="14">
        <f t="shared" si="106"/>
        <v>2024</v>
      </c>
      <c r="I2260" s="5">
        <f t="shared" ca="1" si="107"/>
        <v>3.0460409711058845E-2</v>
      </c>
      <c r="J2260" s="16"/>
    </row>
    <row r="2261" spans="1:10" x14ac:dyDescent="0.2">
      <c r="A2261" s="3">
        <v>45559</v>
      </c>
      <c r="B2261" s="1">
        <f ca="1">IFERROR(__xludf.DUMMYFUNCTION("""COMPUTED_VALUE"""),254.08)</f>
        <v>254.08</v>
      </c>
      <c r="C2261" s="1">
        <f ca="1">IFERROR(__xludf.DUMMYFUNCTION("""COMPUTED_VALUE"""),257.19)</f>
        <v>257.19</v>
      </c>
      <c r="D2261" s="1">
        <f ca="1">IFERROR(__xludf.DUMMYFUNCTION("""COMPUTED_VALUE"""),249.05)</f>
        <v>249.05</v>
      </c>
      <c r="E2261" s="1">
        <f ca="1">IFERROR(__xludf.DUMMYFUNCTION("""COMPUTED_VALUE"""),254.27)</f>
        <v>254.27</v>
      </c>
      <c r="F2261" s="1">
        <f ca="1">IFERROR(__xludf.DUMMYFUNCTION("""COMPUTED_VALUE"""),88490999)</f>
        <v>88490999</v>
      </c>
      <c r="G2261" s="5">
        <f t="shared" ca="1" si="105"/>
        <v>1.0815275101270191E-2</v>
      </c>
      <c r="H2261" s="14">
        <f t="shared" si="106"/>
        <v>2024</v>
      </c>
      <c r="I2261" s="5">
        <f t="shared" ca="1" si="107"/>
        <v>7.4779596977329074E-4</v>
      </c>
      <c r="J2261" s="16"/>
    </row>
    <row r="2262" spans="1:10" x14ac:dyDescent="0.2">
      <c r="A2262" s="3">
        <v>45560</v>
      </c>
      <c r="B2262" s="1">
        <f ca="1">IFERROR(__xludf.DUMMYFUNCTION("""COMPUTED_VALUE"""),252.54)</f>
        <v>252.54</v>
      </c>
      <c r="C2262" s="1">
        <f ca="1">IFERROR(__xludf.DUMMYFUNCTION("""COMPUTED_VALUE"""),257.05)</f>
        <v>257.05</v>
      </c>
      <c r="D2262" s="1">
        <f ca="1">IFERROR(__xludf.DUMMYFUNCTION("""COMPUTED_VALUE"""),252.28)</f>
        <v>252.28</v>
      </c>
      <c r="E2262" s="1">
        <f ca="1">IFERROR(__xludf.DUMMYFUNCTION("""COMPUTED_VALUE"""),257.02)</f>
        <v>257.02</v>
      </c>
      <c r="F2262" s="1">
        <f ca="1">IFERROR(__xludf.DUMMYFUNCTION("""COMPUTED_VALUE"""),65034318)</f>
        <v>65034318</v>
      </c>
      <c r="G2262" s="5">
        <f t="shared" ca="1" si="105"/>
        <v>-1.0894093844836913E-2</v>
      </c>
      <c r="H2262" s="14">
        <f t="shared" si="106"/>
        <v>2024</v>
      </c>
      <c r="I2262" s="5">
        <f t="shared" ca="1" si="107"/>
        <v>1.7739763997782491E-2</v>
      </c>
      <c r="J2262" s="16"/>
    </row>
    <row r="2263" spans="1:10" x14ac:dyDescent="0.2">
      <c r="A2263" s="3">
        <v>45561</v>
      </c>
      <c r="B2263" s="1">
        <f ca="1">IFERROR(__xludf.DUMMYFUNCTION("""COMPUTED_VALUE"""),260.6)</f>
        <v>260.60000000000002</v>
      </c>
      <c r="C2263" s="1">
        <f ca="1">IFERROR(__xludf.DUMMYFUNCTION("""COMPUTED_VALUE"""),261.75)</f>
        <v>261.75</v>
      </c>
      <c r="D2263" s="1">
        <f ca="1">IFERROR(__xludf.DUMMYFUNCTION("""COMPUTED_VALUE"""),251.53)</f>
        <v>251.53</v>
      </c>
      <c r="E2263" s="1">
        <f ca="1">IFERROR(__xludf.DUMMYFUNCTION("""COMPUTED_VALUE"""),254.22)</f>
        <v>254.22</v>
      </c>
      <c r="F2263" s="1">
        <f ca="1">IFERROR(__xludf.DUMMYFUNCTION("""COMPUTED_VALUE"""),67142193)</f>
        <v>67142193</v>
      </c>
      <c r="G2263" s="5">
        <f t="shared" ca="1" si="105"/>
        <v>2.4545669105499098E-2</v>
      </c>
      <c r="H2263" s="14">
        <f t="shared" si="106"/>
        <v>2024</v>
      </c>
      <c r="I2263" s="5">
        <f t="shared" ca="1" si="107"/>
        <v>-2.4481964696853504E-2</v>
      </c>
      <c r="J2263" s="16"/>
    </row>
    <row r="2264" spans="1:10" x14ac:dyDescent="0.2">
      <c r="A2264" s="3">
        <v>45562</v>
      </c>
      <c r="B2264" s="1">
        <f ca="1">IFERROR(__xludf.DUMMYFUNCTION("""COMPUTED_VALUE"""),257.38)</f>
        <v>257.38</v>
      </c>
      <c r="C2264" s="1">
        <f ca="1">IFERROR(__xludf.DUMMYFUNCTION("""COMPUTED_VALUE"""),260.7)</f>
        <v>260.7</v>
      </c>
      <c r="D2264" s="1">
        <f ca="1">IFERROR(__xludf.DUMMYFUNCTION("""COMPUTED_VALUE"""),254.12)</f>
        <v>254.12</v>
      </c>
      <c r="E2264" s="1">
        <f ca="1">IFERROR(__xludf.DUMMYFUNCTION("""COMPUTED_VALUE"""),260.46)</f>
        <v>260.45999999999998</v>
      </c>
      <c r="F2264" s="1">
        <f ca="1">IFERROR(__xludf.DUMMYFUNCTION("""COMPUTED_VALUE"""),70988067)</f>
        <v>70988067</v>
      </c>
      <c r="G2264" s="5">
        <f t="shared" ca="1" si="105"/>
        <v>4.492052522460324E-3</v>
      </c>
      <c r="H2264" s="14">
        <f t="shared" si="106"/>
        <v>2024</v>
      </c>
      <c r="I2264" s="5">
        <f t="shared" ca="1" si="107"/>
        <v>1.1966741782578227E-2</v>
      </c>
      <c r="J2264" s="16"/>
    </row>
    <row r="2265" spans="1:10" x14ac:dyDescent="0.2">
      <c r="A2265" s="3">
        <v>45565</v>
      </c>
      <c r="B2265" s="1">
        <f ca="1">IFERROR(__xludf.DUMMYFUNCTION("""COMPUTED_VALUE"""),259.04)</f>
        <v>259.04000000000002</v>
      </c>
      <c r="C2265" s="1">
        <f ca="1">IFERROR(__xludf.DUMMYFUNCTION("""COMPUTED_VALUE"""),264.86)</f>
        <v>264.86</v>
      </c>
      <c r="D2265" s="1">
        <f ca="1">IFERROR(__xludf.DUMMYFUNCTION("""COMPUTED_VALUE"""),255.77)</f>
        <v>255.77</v>
      </c>
      <c r="E2265" s="1">
        <f ca="1">IFERROR(__xludf.DUMMYFUNCTION("""COMPUTED_VALUE"""),261.63)</f>
        <v>261.63</v>
      </c>
      <c r="F2265" s="1">
        <f ca="1">IFERROR(__xludf.DUMMYFUNCTION("""COMPUTED_VALUE"""),80873381)</f>
        <v>80873381</v>
      </c>
      <c r="G2265" s="5">
        <f t="shared" ca="1" si="105"/>
        <v>-1.3798111837327575E-2</v>
      </c>
      <c r="H2265" s="14">
        <f t="shared" si="106"/>
        <v>2024</v>
      </c>
      <c r="I2265" s="5">
        <f t="shared" ca="1" si="107"/>
        <v>9.9984558369362823E-3</v>
      </c>
      <c r="J2265" s="16"/>
    </row>
    <row r="2266" spans="1:10" x14ac:dyDescent="0.2">
      <c r="A2266" s="3">
        <v>45566</v>
      </c>
      <c r="B2266" s="1">
        <f ca="1">IFERROR(__xludf.DUMMYFUNCTION("""COMPUTED_VALUE"""),262.67)</f>
        <v>262.67</v>
      </c>
      <c r="C2266" s="1">
        <f ca="1">IFERROR(__xludf.DUMMYFUNCTION("""COMPUTED_VALUE"""),263.98)</f>
        <v>263.98</v>
      </c>
      <c r="D2266" s="1">
        <f ca="1">IFERROR(__xludf.DUMMYFUNCTION("""COMPUTED_VALUE"""),248.53)</f>
        <v>248.53</v>
      </c>
      <c r="E2266" s="1">
        <f ca="1">IFERROR(__xludf.DUMMYFUNCTION("""COMPUTED_VALUE"""),258.02)</f>
        <v>258.02</v>
      </c>
      <c r="F2266" s="1">
        <f ca="1">IFERROR(__xludf.DUMMYFUNCTION("""COMPUTED_VALUE"""),87397613)</f>
        <v>87397613</v>
      </c>
      <c r="G2266" s="5">
        <f t="shared" ca="1" si="105"/>
        <v>-3.4881016975428156E-2</v>
      </c>
      <c r="H2266" s="14">
        <f t="shared" si="106"/>
        <v>2024</v>
      </c>
      <c r="I2266" s="5">
        <f t="shared" ca="1" si="107"/>
        <v>-1.7702821030190101E-2</v>
      </c>
      <c r="J2266" s="16"/>
    </row>
    <row r="2267" spans="1:10" x14ac:dyDescent="0.2">
      <c r="A2267" s="3">
        <v>45567</v>
      </c>
      <c r="B2267" s="1">
        <f ca="1">IFERROR(__xludf.DUMMYFUNCTION("""COMPUTED_VALUE"""),247.55)</f>
        <v>247.55</v>
      </c>
      <c r="C2267" s="1">
        <f ca="1">IFERROR(__xludf.DUMMYFUNCTION("""COMPUTED_VALUE"""),251.16)</f>
        <v>251.16</v>
      </c>
      <c r="D2267" s="1">
        <f ca="1">IFERROR(__xludf.DUMMYFUNCTION("""COMPUTED_VALUE"""),241.5)</f>
        <v>241.5</v>
      </c>
      <c r="E2267" s="1">
        <f ca="1">IFERROR(__xludf.DUMMYFUNCTION("""COMPUTED_VALUE"""),249.02)</f>
        <v>249.02</v>
      </c>
      <c r="F2267" s="1">
        <f ca="1">IFERROR(__xludf.DUMMYFUNCTION("""COMPUTED_VALUE"""),93983930)</f>
        <v>93983930</v>
      </c>
      <c r="G2267" s="5">
        <f t="shared" ca="1" si="105"/>
        <v>-3.357160067464466E-2</v>
      </c>
      <c r="H2267" s="14">
        <f t="shared" si="106"/>
        <v>2024</v>
      </c>
      <c r="I2267" s="5">
        <f t="shared" ca="1" si="107"/>
        <v>5.9381943041809685E-3</v>
      </c>
      <c r="J2267" s="16"/>
    </row>
    <row r="2268" spans="1:10" x14ac:dyDescent="0.2">
      <c r="A2268" s="3">
        <v>45568</v>
      </c>
      <c r="B2268" s="1">
        <f ca="1">IFERROR(__xludf.DUMMYFUNCTION("""COMPUTED_VALUE"""),244.48)</f>
        <v>244.48</v>
      </c>
      <c r="C2268" s="1">
        <f ca="1">IFERROR(__xludf.DUMMYFUNCTION("""COMPUTED_VALUE"""),249.79)</f>
        <v>249.79</v>
      </c>
      <c r="D2268" s="1">
        <f ca="1">IFERROR(__xludf.DUMMYFUNCTION("""COMPUTED_VALUE"""),237.81)</f>
        <v>237.81</v>
      </c>
      <c r="E2268" s="1">
        <f ca="1">IFERROR(__xludf.DUMMYFUNCTION("""COMPUTED_VALUE"""),240.66)</f>
        <v>240.66</v>
      </c>
      <c r="F2268" s="1">
        <f ca="1">IFERROR(__xludf.DUMMYFUNCTION("""COMPUTED_VALUE"""),80729240)</f>
        <v>80729240</v>
      </c>
      <c r="G2268" s="5">
        <f t="shared" ca="1" si="105"/>
        <v>3.9142358514086331E-2</v>
      </c>
      <c r="H2268" s="14">
        <f t="shared" si="106"/>
        <v>2024</v>
      </c>
      <c r="I2268" s="5">
        <f t="shared" ca="1" si="107"/>
        <v>-1.5624999999999972E-2</v>
      </c>
      <c r="J2268" s="16"/>
    </row>
    <row r="2269" spans="1:10" x14ac:dyDescent="0.2">
      <c r="A2269" s="3">
        <v>45569</v>
      </c>
      <c r="B2269" s="1">
        <f ca="1">IFERROR(__xludf.DUMMYFUNCTION("""COMPUTED_VALUE"""),246.69)</f>
        <v>246.69</v>
      </c>
      <c r="C2269" s="1">
        <f ca="1">IFERROR(__xludf.DUMMYFUNCTION("""COMPUTED_VALUE"""),250.96)</f>
        <v>250.96</v>
      </c>
      <c r="D2269" s="1">
        <f ca="1">IFERROR(__xludf.DUMMYFUNCTION("""COMPUTED_VALUE"""),244.58)</f>
        <v>244.58</v>
      </c>
      <c r="E2269" s="1">
        <f ca="1">IFERROR(__xludf.DUMMYFUNCTION("""COMPUTED_VALUE"""),250.08)</f>
        <v>250.08</v>
      </c>
      <c r="F2269" s="1">
        <f ca="1">IFERROR(__xludf.DUMMYFUNCTION("""COMPUTED_VALUE"""),86726285)</f>
        <v>86726285</v>
      </c>
      <c r="G2269" s="5">
        <f t="shared" ca="1" si="105"/>
        <v>-3.6988163787587972E-2</v>
      </c>
      <c r="H2269" s="14">
        <f t="shared" si="106"/>
        <v>2024</v>
      </c>
      <c r="I2269" s="5">
        <f t="shared" ca="1" si="107"/>
        <v>1.374194332968509E-2</v>
      </c>
      <c r="J2269" s="16"/>
    </row>
    <row r="2270" spans="1:10" x14ac:dyDescent="0.2">
      <c r="A2270" s="3">
        <v>45572</v>
      </c>
      <c r="B2270" s="1">
        <f ca="1">IFERROR(__xludf.DUMMYFUNCTION("""COMPUTED_VALUE"""),249)</f>
        <v>249</v>
      </c>
      <c r="C2270" s="1">
        <f ca="1">IFERROR(__xludf.DUMMYFUNCTION("""COMPUTED_VALUE"""),249.83)</f>
        <v>249.83</v>
      </c>
      <c r="D2270" s="1">
        <f ca="1">IFERROR(__xludf.DUMMYFUNCTION("""COMPUTED_VALUE"""),240.7)</f>
        <v>240.7</v>
      </c>
      <c r="E2270" s="1">
        <f ca="1">IFERROR(__xludf.DUMMYFUNCTION("""COMPUTED_VALUE"""),240.83)</f>
        <v>240.83</v>
      </c>
      <c r="F2270" s="1">
        <f ca="1">IFERROR(__xludf.DUMMYFUNCTION("""COMPUTED_VALUE"""),68113270)</f>
        <v>68113270</v>
      </c>
      <c r="G2270" s="5">
        <f t="shared" ca="1" si="105"/>
        <v>1.5238965245193652E-2</v>
      </c>
      <c r="H2270" s="14">
        <f t="shared" si="106"/>
        <v>2024</v>
      </c>
      <c r="I2270" s="5">
        <f t="shared" ca="1" si="107"/>
        <v>-3.2811244979919628E-2</v>
      </c>
      <c r="J2270" s="16"/>
    </row>
    <row r="2271" spans="1:10" x14ac:dyDescent="0.2">
      <c r="A2271" s="3">
        <v>45573</v>
      </c>
      <c r="B2271" s="1">
        <f ca="1">IFERROR(__xludf.DUMMYFUNCTION("""COMPUTED_VALUE"""),243.56)</f>
        <v>243.56</v>
      </c>
      <c r="C2271" s="1">
        <f ca="1">IFERROR(__xludf.DUMMYFUNCTION("""COMPUTED_VALUE"""),246.21)</f>
        <v>246.21</v>
      </c>
      <c r="D2271" s="1">
        <f ca="1">IFERROR(__xludf.DUMMYFUNCTION("""COMPUTED_VALUE"""),240.56)</f>
        <v>240.56</v>
      </c>
      <c r="E2271" s="1">
        <f ca="1">IFERROR(__xludf.DUMMYFUNCTION("""COMPUTED_VALUE"""),244.5)</f>
        <v>244.5</v>
      </c>
      <c r="F2271" s="1">
        <f ca="1">IFERROR(__xludf.DUMMYFUNCTION("""COMPUTED_VALUE"""),56303160)</f>
        <v>56303160</v>
      </c>
      <c r="G2271" s="5">
        <f t="shared" ca="1" si="105"/>
        <v>-1.4110429447852714E-2</v>
      </c>
      <c r="H2271" s="14">
        <f t="shared" si="106"/>
        <v>2024</v>
      </c>
      <c r="I2271" s="5">
        <f t="shared" ca="1" si="107"/>
        <v>3.8594186237477326E-3</v>
      </c>
      <c r="J2271" s="16"/>
    </row>
    <row r="2272" spans="1:10" x14ac:dyDescent="0.2">
      <c r="A2272" s="3">
        <v>45574</v>
      </c>
      <c r="B2272" s="1">
        <f ca="1">IFERROR(__xludf.DUMMYFUNCTION("""COMPUTED_VALUE"""),243.82)</f>
        <v>243.82</v>
      </c>
      <c r="C2272" s="1">
        <f ca="1">IFERROR(__xludf.DUMMYFUNCTION("""COMPUTED_VALUE"""),247.43)</f>
        <v>247.43</v>
      </c>
      <c r="D2272" s="1">
        <f ca="1">IFERROR(__xludf.DUMMYFUNCTION("""COMPUTED_VALUE"""),239.51)</f>
        <v>239.51</v>
      </c>
      <c r="E2272" s="1">
        <f ca="1">IFERROR(__xludf.DUMMYFUNCTION("""COMPUTED_VALUE"""),241.05)</f>
        <v>241.05</v>
      </c>
      <c r="F2272" s="1">
        <f ca="1">IFERROR(__xludf.DUMMYFUNCTION("""COMPUTED_VALUE"""),66289529)</f>
        <v>66289529</v>
      </c>
      <c r="G2272" s="5">
        <f t="shared" ca="1" si="105"/>
        <v>-9.4586185438705703E-3</v>
      </c>
      <c r="H2272" s="14">
        <f t="shared" si="106"/>
        <v>2024</v>
      </c>
      <c r="I2272" s="5">
        <f t="shared" ca="1" si="107"/>
        <v>-1.1360839963907727E-2</v>
      </c>
      <c r="J2272" s="16"/>
    </row>
    <row r="2273" spans="1:10" x14ac:dyDescent="0.2">
      <c r="A2273" s="3">
        <v>45575</v>
      </c>
      <c r="B2273" s="1">
        <f ca="1">IFERROR(__xludf.DUMMYFUNCTION("""COMPUTED_VALUE"""),241.81)</f>
        <v>241.81</v>
      </c>
      <c r="C2273" s="1">
        <f ca="1">IFERROR(__xludf.DUMMYFUNCTION("""COMPUTED_VALUE"""),242.79)</f>
        <v>242.79</v>
      </c>
      <c r="D2273" s="1">
        <f ca="1">IFERROR(__xludf.DUMMYFUNCTION("""COMPUTED_VALUE"""),232.34)</f>
        <v>232.34</v>
      </c>
      <c r="E2273" s="1">
        <f ca="1">IFERROR(__xludf.DUMMYFUNCTION("""COMPUTED_VALUE"""),238.77)</f>
        <v>238.77</v>
      </c>
      <c r="F2273" s="1">
        <f ca="1">IFERROR(__xludf.DUMMYFUNCTION("""COMPUTED_VALUE"""),83087063)</f>
        <v>83087063</v>
      </c>
      <c r="G2273" s="5">
        <f t="shared" ca="1" si="105"/>
        <v>-8.7825103656238218E-2</v>
      </c>
      <c r="H2273" s="14">
        <f t="shared" si="106"/>
        <v>2024</v>
      </c>
      <c r="I2273" s="5">
        <f t="shared" ca="1" si="107"/>
        <v>-1.2571853934907539E-2</v>
      </c>
      <c r="J2273" s="16"/>
    </row>
    <row r="2274" spans="1:10" x14ac:dyDescent="0.2">
      <c r="A2274" s="3">
        <v>45576</v>
      </c>
      <c r="B2274" s="1">
        <f ca="1">IFERROR(__xludf.DUMMYFUNCTION("""COMPUTED_VALUE"""),220.13)</f>
        <v>220.13</v>
      </c>
      <c r="C2274" s="1">
        <f ca="1">IFERROR(__xludf.DUMMYFUNCTION("""COMPUTED_VALUE"""),223.34)</f>
        <v>223.34</v>
      </c>
      <c r="D2274" s="1">
        <f ca="1">IFERROR(__xludf.DUMMYFUNCTION("""COMPUTED_VALUE"""),214.38)</f>
        <v>214.38</v>
      </c>
      <c r="E2274" s="1">
        <f ca="1">IFERROR(__xludf.DUMMYFUNCTION("""COMPUTED_VALUE"""),217.8)</f>
        <v>217.8</v>
      </c>
      <c r="F2274" s="1">
        <f ca="1">IFERROR(__xludf.DUMMYFUNCTION("""COMPUTED_VALUE"""),142628874)</f>
        <v>142628874</v>
      </c>
      <c r="G2274" s="5">
        <f t="shared" ca="1" si="105"/>
        <v>6.2442607897152669E-3</v>
      </c>
      <c r="H2274" s="14">
        <f t="shared" si="106"/>
        <v>2024</v>
      </c>
      <c r="I2274" s="5">
        <f t="shared" ca="1" si="107"/>
        <v>-1.0584654522327644E-2</v>
      </c>
      <c r="J2274" s="16"/>
    </row>
    <row r="2275" spans="1:10" x14ac:dyDescent="0.2">
      <c r="A2275" s="3">
        <v>45579</v>
      </c>
      <c r="B2275" s="1">
        <f ca="1">IFERROR(__xludf.DUMMYFUNCTION("""COMPUTED_VALUE"""),220.13)</f>
        <v>220.13</v>
      </c>
      <c r="C2275" s="1">
        <f ca="1">IFERROR(__xludf.DUMMYFUNCTION("""COMPUTED_VALUE"""),221.91)</f>
        <v>221.91</v>
      </c>
      <c r="D2275" s="1">
        <f ca="1">IFERROR(__xludf.DUMMYFUNCTION("""COMPUTED_VALUE"""),213.74)</f>
        <v>213.74</v>
      </c>
      <c r="E2275" s="1">
        <f ca="1">IFERROR(__xludf.DUMMYFUNCTION("""COMPUTED_VALUE"""),219.16)</f>
        <v>219.16</v>
      </c>
      <c r="F2275" s="1">
        <f ca="1">IFERROR(__xludf.DUMMYFUNCTION("""COMPUTED_VALUE"""),86291923)</f>
        <v>86291923</v>
      </c>
      <c r="G2275" s="5">
        <f t="shared" ca="1" si="105"/>
        <v>1.8707793392954764E-3</v>
      </c>
      <c r="H2275" s="14">
        <f t="shared" si="106"/>
        <v>2024</v>
      </c>
      <c r="I2275" s="5">
        <f t="shared" ca="1" si="107"/>
        <v>-4.4064870758188292E-3</v>
      </c>
      <c r="J2275" s="16"/>
    </row>
    <row r="2276" spans="1:10" x14ac:dyDescent="0.2">
      <c r="A2276" s="3">
        <v>45580</v>
      </c>
      <c r="B2276" s="1">
        <f ca="1">IFERROR(__xludf.DUMMYFUNCTION("""COMPUTED_VALUE"""),220.01)</f>
        <v>220.01</v>
      </c>
      <c r="C2276" s="1">
        <f ca="1">IFERROR(__xludf.DUMMYFUNCTION("""COMPUTED_VALUE"""),224.26)</f>
        <v>224.26</v>
      </c>
      <c r="D2276" s="1">
        <f ca="1">IFERROR(__xludf.DUMMYFUNCTION("""COMPUTED_VALUE"""),217.12)</f>
        <v>217.12</v>
      </c>
      <c r="E2276" s="1">
        <f ca="1">IFERROR(__xludf.DUMMYFUNCTION("""COMPUTED_VALUE"""),219.57)</f>
        <v>219.57</v>
      </c>
      <c r="F2276" s="1">
        <f ca="1">IFERROR(__xludf.DUMMYFUNCTION("""COMPUTED_VALUE"""),62988787)</f>
        <v>62988787</v>
      </c>
      <c r="G2276" s="5">
        <f t="shared" ca="1" si="105"/>
        <v>8.0156669854716915E-3</v>
      </c>
      <c r="H2276" s="14">
        <f t="shared" si="106"/>
        <v>2024</v>
      </c>
      <c r="I2276" s="5">
        <f t="shared" ca="1" si="107"/>
        <v>-1.9999090950411241E-3</v>
      </c>
      <c r="J2276" s="16"/>
    </row>
    <row r="2277" spans="1:10" x14ac:dyDescent="0.2">
      <c r="A2277" s="3">
        <v>45581</v>
      </c>
      <c r="B2277" s="1">
        <f ca="1">IFERROR(__xludf.DUMMYFUNCTION("""COMPUTED_VALUE"""),221.4)</f>
        <v>221.4</v>
      </c>
      <c r="C2277" s="1">
        <f ca="1">IFERROR(__xludf.DUMMYFUNCTION("""COMPUTED_VALUE"""),222.82)</f>
        <v>222.82</v>
      </c>
      <c r="D2277" s="1">
        <f ca="1">IFERROR(__xludf.DUMMYFUNCTION("""COMPUTED_VALUE"""),218.93)</f>
        <v>218.93</v>
      </c>
      <c r="E2277" s="1">
        <f ca="1">IFERROR(__xludf.DUMMYFUNCTION("""COMPUTED_VALUE"""),221.33)</f>
        <v>221.33</v>
      </c>
      <c r="F2277" s="1">
        <f ca="1">IFERROR(__xludf.DUMMYFUNCTION("""COMPUTED_VALUE"""),49632824)</f>
        <v>49632824</v>
      </c>
      <c r="G2277" s="5">
        <f t="shared" ca="1" si="105"/>
        <v>-1.9879817467131711E-3</v>
      </c>
      <c r="H2277" s="14">
        <f t="shared" si="106"/>
        <v>2024</v>
      </c>
      <c r="I2277" s="5">
        <f t="shared" ca="1" si="107"/>
        <v>-3.1616982836491951E-4</v>
      </c>
      <c r="J2277" s="16"/>
    </row>
    <row r="2278" spans="1:10" x14ac:dyDescent="0.2">
      <c r="A2278" s="3">
        <v>45582</v>
      </c>
      <c r="B2278" s="1">
        <f ca="1">IFERROR(__xludf.DUMMYFUNCTION("""COMPUTED_VALUE"""),221.59)</f>
        <v>221.59</v>
      </c>
      <c r="C2278" s="1">
        <f ca="1">IFERROR(__xludf.DUMMYFUNCTION("""COMPUTED_VALUE"""),222.08)</f>
        <v>222.08</v>
      </c>
      <c r="D2278" s="1">
        <f ca="1">IFERROR(__xludf.DUMMYFUNCTION("""COMPUTED_VALUE"""),217.9)</f>
        <v>217.9</v>
      </c>
      <c r="E2278" s="1">
        <f ca="1">IFERROR(__xludf.DUMMYFUNCTION("""COMPUTED_VALUE"""),220.89)</f>
        <v>220.89</v>
      </c>
      <c r="F2278" s="1">
        <f ca="1">IFERROR(__xludf.DUMMYFUNCTION("""COMPUTED_VALUE"""),50791784)</f>
        <v>50791784</v>
      </c>
      <c r="G2278" s="5">
        <f t="shared" ca="1" si="105"/>
        <v>-8.6015663905110115E-4</v>
      </c>
      <c r="H2278" s="14">
        <f t="shared" si="106"/>
        <v>2024</v>
      </c>
      <c r="I2278" s="5">
        <f t="shared" ca="1" si="107"/>
        <v>-3.1589873189224109E-3</v>
      </c>
      <c r="J2278" s="16"/>
    </row>
    <row r="2279" spans="1:10" x14ac:dyDescent="0.2">
      <c r="A2279" s="3">
        <v>45583</v>
      </c>
      <c r="B2279" s="1">
        <f ca="1">IFERROR(__xludf.DUMMYFUNCTION("""COMPUTED_VALUE"""),220.71)</f>
        <v>220.71</v>
      </c>
      <c r="C2279" s="1">
        <f ca="1">IFERROR(__xludf.DUMMYFUNCTION("""COMPUTED_VALUE"""),222.28)</f>
        <v>222.28</v>
      </c>
      <c r="D2279" s="1">
        <f ca="1">IFERROR(__xludf.DUMMYFUNCTION("""COMPUTED_VALUE"""),219.23)</f>
        <v>219.23</v>
      </c>
      <c r="E2279" s="1">
        <f ca="1">IFERROR(__xludf.DUMMYFUNCTION("""COMPUTED_VALUE"""),220.7)</f>
        <v>220.7</v>
      </c>
      <c r="F2279" s="1">
        <f ca="1">IFERROR(__xludf.DUMMYFUNCTION("""COMPUTED_VALUE"""),49611867)</f>
        <v>49611867</v>
      </c>
      <c r="G2279" s="5">
        <f t="shared" ca="1" si="105"/>
        <v>-8.3824195740824399E-3</v>
      </c>
      <c r="H2279" s="14">
        <f t="shared" si="106"/>
        <v>2024</v>
      </c>
      <c r="I2279" s="5">
        <f t="shared" ca="1" si="107"/>
        <v>-4.5308323139048194E-5</v>
      </c>
      <c r="J2279" s="16"/>
    </row>
    <row r="2280" spans="1:10" x14ac:dyDescent="0.2">
      <c r="A2280" s="3">
        <v>45586</v>
      </c>
      <c r="B2280" s="1">
        <f ca="1">IFERROR(__xludf.DUMMYFUNCTION("""COMPUTED_VALUE"""),218.9)</f>
        <v>218.9</v>
      </c>
      <c r="C2280" s="1">
        <f ca="1">IFERROR(__xludf.DUMMYFUNCTION("""COMPUTED_VALUE"""),220.48)</f>
        <v>220.48</v>
      </c>
      <c r="D2280" s="1">
        <f ca="1">IFERROR(__xludf.DUMMYFUNCTION("""COMPUTED_VALUE"""),215.73)</f>
        <v>215.73</v>
      </c>
      <c r="E2280" s="1">
        <f ca="1">IFERROR(__xludf.DUMMYFUNCTION("""COMPUTED_VALUE"""),218.85)</f>
        <v>218.85</v>
      </c>
      <c r="F2280" s="1">
        <f ca="1">IFERROR(__xludf.DUMMYFUNCTION("""COMPUTED_VALUE"""),47328988)</f>
        <v>47328988</v>
      </c>
      <c r="G2280" s="5">
        <f t="shared" ca="1" si="105"/>
        <v>-4.0210189627598609E-3</v>
      </c>
      <c r="H2280" s="14">
        <f t="shared" si="106"/>
        <v>2024</v>
      </c>
      <c r="I2280" s="5">
        <f t="shared" ca="1" si="107"/>
        <v>-2.2841480127917482E-4</v>
      </c>
      <c r="J2280" s="16"/>
    </row>
    <row r="2281" spans="1:10" x14ac:dyDescent="0.2">
      <c r="A2281" s="3">
        <v>45587</v>
      </c>
      <c r="B2281" s="1">
        <f ca="1">IFERROR(__xludf.DUMMYFUNCTION("""COMPUTED_VALUE"""),217.31)</f>
        <v>217.31</v>
      </c>
      <c r="C2281" s="1">
        <f ca="1">IFERROR(__xludf.DUMMYFUNCTION("""COMPUTED_VALUE"""),218.22)</f>
        <v>218.22</v>
      </c>
      <c r="D2281" s="1">
        <f ca="1">IFERROR(__xludf.DUMMYFUNCTION("""COMPUTED_VALUE"""),215.26)</f>
        <v>215.26</v>
      </c>
      <c r="E2281" s="1">
        <f ca="1">IFERROR(__xludf.DUMMYFUNCTION("""COMPUTED_VALUE"""),217.97)</f>
        <v>217.97</v>
      </c>
      <c r="F2281" s="1">
        <f ca="1">IFERROR(__xludf.DUMMYFUNCTION("""COMPUTED_VALUE"""),43268741)</f>
        <v>43268741</v>
      </c>
      <c r="G2281" s="5">
        <f t="shared" ca="1" si="105"/>
        <v>-1.9819241179978866E-2</v>
      </c>
      <c r="H2281" s="14">
        <f t="shared" si="106"/>
        <v>2024</v>
      </c>
      <c r="I2281" s="5">
        <f t="shared" ca="1" si="107"/>
        <v>3.037135888822404E-3</v>
      </c>
      <c r="J2281" s="16"/>
    </row>
    <row r="2282" spans="1:10" x14ac:dyDescent="0.2">
      <c r="A2282" s="3">
        <v>45588</v>
      </c>
      <c r="B2282" s="1">
        <f ca="1">IFERROR(__xludf.DUMMYFUNCTION("""COMPUTED_VALUE"""),217.13)</f>
        <v>217.13</v>
      </c>
      <c r="C2282" s="1">
        <f ca="1">IFERROR(__xludf.DUMMYFUNCTION("""COMPUTED_VALUE"""),218.72)</f>
        <v>218.72</v>
      </c>
      <c r="D2282" s="1">
        <f ca="1">IFERROR(__xludf.DUMMYFUNCTION("""COMPUTED_VALUE"""),212.11)</f>
        <v>212.11</v>
      </c>
      <c r="E2282" s="1">
        <f ca="1">IFERROR(__xludf.DUMMYFUNCTION("""COMPUTED_VALUE"""),213.65)</f>
        <v>213.65</v>
      </c>
      <c r="F2282" s="1">
        <f ca="1">IFERROR(__xludf.DUMMYFUNCTION("""COMPUTED_VALUE"""),80938892)</f>
        <v>80938892</v>
      </c>
      <c r="G2282" s="5">
        <f t="shared" ca="1" si="105"/>
        <v>0.21919026445120529</v>
      </c>
      <c r="H2282" s="14">
        <f t="shared" si="106"/>
        <v>2024</v>
      </c>
      <c r="I2282" s="5">
        <f t="shared" ca="1" si="107"/>
        <v>-1.6027264772256206E-2</v>
      </c>
      <c r="J2282" s="16"/>
    </row>
    <row r="2283" spans="1:10" x14ac:dyDescent="0.2">
      <c r="A2283" s="3">
        <v>45589</v>
      </c>
      <c r="B2283" s="1">
        <f ca="1">IFERROR(__xludf.DUMMYFUNCTION("""COMPUTED_VALUE"""),244.68)</f>
        <v>244.68</v>
      </c>
      <c r="C2283" s="1">
        <f ca="1">IFERROR(__xludf.DUMMYFUNCTION("""COMPUTED_VALUE"""),262.12)</f>
        <v>262.12</v>
      </c>
      <c r="D2283" s="1">
        <f ca="1">IFERROR(__xludf.DUMMYFUNCTION("""COMPUTED_VALUE"""),242.65)</f>
        <v>242.65</v>
      </c>
      <c r="E2283" s="1">
        <f ca="1">IFERROR(__xludf.DUMMYFUNCTION("""COMPUTED_VALUE"""),260.48)</f>
        <v>260.48</v>
      </c>
      <c r="F2283" s="1">
        <f ca="1">IFERROR(__xludf.DUMMYFUNCTION("""COMPUTED_VALUE"""),204491903)</f>
        <v>204491903</v>
      </c>
      <c r="G2283" s="5">
        <f t="shared" ca="1" si="105"/>
        <v>3.3438267813267732E-2</v>
      </c>
      <c r="H2283" s="14">
        <f t="shared" si="106"/>
        <v>2024</v>
      </c>
      <c r="I2283" s="5">
        <f t="shared" ca="1" si="107"/>
        <v>6.4574137649174482E-2</v>
      </c>
      <c r="J2283" s="16"/>
    </row>
    <row r="2284" spans="1:10" x14ac:dyDescent="0.2">
      <c r="A2284" s="3">
        <v>45590</v>
      </c>
      <c r="B2284" s="1">
        <f ca="1">IFERROR(__xludf.DUMMYFUNCTION("""COMPUTED_VALUE"""),256.01)</f>
        <v>256.01</v>
      </c>
      <c r="C2284" s="1">
        <f ca="1">IFERROR(__xludf.DUMMYFUNCTION("""COMPUTED_VALUE"""),269.49)</f>
        <v>269.49</v>
      </c>
      <c r="D2284" s="1">
        <f ca="1">IFERROR(__xludf.DUMMYFUNCTION("""COMPUTED_VALUE"""),255.32)</f>
        <v>255.32</v>
      </c>
      <c r="E2284" s="1">
        <f ca="1">IFERROR(__xludf.DUMMYFUNCTION("""COMPUTED_VALUE"""),269.19)</f>
        <v>269.19</v>
      </c>
      <c r="F2284" s="1">
        <f ca="1">IFERROR(__xludf.DUMMYFUNCTION("""COMPUTED_VALUE"""),161611931)</f>
        <v>161611931</v>
      </c>
      <c r="G2284" s="5">
        <f t="shared" ca="1" si="105"/>
        <v>-2.4815186299639684E-2</v>
      </c>
      <c r="H2284" s="14">
        <f t="shared" si="106"/>
        <v>2024</v>
      </c>
      <c r="I2284" s="5">
        <f t="shared" ca="1" si="107"/>
        <v>5.1482363970157444E-2</v>
      </c>
      <c r="J2284" s="16"/>
    </row>
    <row r="2285" spans="1:10" x14ac:dyDescent="0.2">
      <c r="A2285" s="3">
        <v>45593</v>
      </c>
      <c r="B2285" s="1">
        <f ca="1">IFERROR(__xludf.DUMMYFUNCTION("""COMPUTED_VALUE"""),270)</f>
        <v>270</v>
      </c>
      <c r="C2285" s="1">
        <f ca="1">IFERROR(__xludf.DUMMYFUNCTION("""COMPUTED_VALUE"""),273.54)</f>
        <v>273.54000000000002</v>
      </c>
      <c r="D2285" s="1">
        <f ca="1">IFERROR(__xludf.DUMMYFUNCTION("""COMPUTED_VALUE"""),262.24)</f>
        <v>262.24</v>
      </c>
      <c r="E2285" s="1">
        <f ca="1">IFERROR(__xludf.DUMMYFUNCTION("""COMPUTED_VALUE"""),262.51)</f>
        <v>262.51</v>
      </c>
      <c r="F2285" s="1">
        <f ca="1">IFERROR(__xludf.DUMMYFUNCTION("""COMPUTED_VALUE"""),107653603)</f>
        <v>107653603</v>
      </c>
      <c r="G2285" s="5">
        <f t="shared" ca="1" si="105"/>
        <v>-1.1390042284103497E-2</v>
      </c>
      <c r="H2285" s="14">
        <f t="shared" si="106"/>
        <v>2024</v>
      </c>
      <c r="I2285" s="5">
        <f t="shared" ca="1" si="107"/>
        <v>-2.7740740740740774E-2</v>
      </c>
      <c r="J2285" s="16"/>
    </row>
    <row r="2286" spans="1:10" x14ac:dyDescent="0.2">
      <c r="A2286" s="3">
        <v>45594</v>
      </c>
      <c r="B2286" s="1">
        <f ca="1">IFERROR(__xludf.DUMMYFUNCTION("""COMPUTED_VALUE"""),264.51)</f>
        <v>264.51</v>
      </c>
      <c r="C2286" s="1">
        <f ca="1">IFERROR(__xludf.DUMMYFUNCTION("""COMPUTED_VALUE"""),264.98)</f>
        <v>264.98</v>
      </c>
      <c r="D2286" s="1">
        <f ca="1">IFERROR(__xludf.DUMMYFUNCTION("""COMPUTED_VALUE"""),255.51)</f>
        <v>255.51</v>
      </c>
      <c r="E2286" s="1">
        <f ca="1">IFERROR(__xludf.DUMMYFUNCTION("""COMPUTED_VALUE"""),259.52)</f>
        <v>259.52</v>
      </c>
      <c r="F2286" s="1">
        <f ca="1">IFERROR(__xludf.DUMMYFUNCTION("""COMPUTED_VALUE"""),80521751)</f>
        <v>80521751</v>
      </c>
      <c r="G2286" s="5">
        <f t="shared" ca="1" si="105"/>
        <v>-7.5909371146731294E-3</v>
      </c>
      <c r="H2286" s="14">
        <f t="shared" si="106"/>
        <v>2024</v>
      </c>
      <c r="I2286" s="5">
        <f t="shared" ca="1" si="107"/>
        <v>-1.8865071263846393E-2</v>
      </c>
      <c r="J2286" s="16"/>
    </row>
    <row r="2287" spans="1:10" x14ac:dyDescent="0.2">
      <c r="A2287" s="3">
        <v>45595</v>
      </c>
      <c r="B2287" s="1">
        <f ca="1">IFERROR(__xludf.DUMMYFUNCTION("""COMPUTED_VALUE"""),258.04)</f>
        <v>258.04000000000002</v>
      </c>
      <c r="C2287" s="1">
        <f ca="1">IFERROR(__xludf.DUMMYFUNCTION("""COMPUTED_VALUE"""),263.35)</f>
        <v>263.35000000000002</v>
      </c>
      <c r="D2287" s="1">
        <f ca="1">IFERROR(__xludf.DUMMYFUNCTION("""COMPUTED_VALUE"""),255.82)</f>
        <v>255.82</v>
      </c>
      <c r="E2287" s="1">
        <f ca="1">IFERROR(__xludf.DUMMYFUNCTION("""COMPUTED_VALUE"""),257.55)</f>
        <v>257.55</v>
      </c>
      <c r="F2287" s="1">
        <f ca="1">IFERROR(__xludf.DUMMYFUNCTION("""COMPUTED_VALUE"""),53993576)</f>
        <v>53993576</v>
      </c>
      <c r="G2287" s="5">
        <f t="shared" ca="1" si="105"/>
        <v>-2.9897107357794668E-2</v>
      </c>
      <c r="H2287" s="14">
        <f t="shared" si="106"/>
        <v>2024</v>
      </c>
      <c r="I2287" s="5">
        <f t="shared" ca="1" si="107"/>
        <v>-1.898930398387882E-3</v>
      </c>
      <c r="J2287" s="16"/>
    </row>
    <row r="2288" spans="1:10" x14ac:dyDescent="0.2">
      <c r="A2288" s="3">
        <v>45596</v>
      </c>
      <c r="B2288" s="1">
        <f ca="1">IFERROR(__xludf.DUMMYFUNCTION("""COMPUTED_VALUE"""),257.99)</f>
        <v>257.99</v>
      </c>
      <c r="C2288" s="1">
        <f ca="1">IFERROR(__xludf.DUMMYFUNCTION("""COMPUTED_VALUE"""),259.75)</f>
        <v>259.75</v>
      </c>
      <c r="D2288" s="1">
        <f ca="1">IFERROR(__xludf.DUMMYFUNCTION("""COMPUTED_VALUE"""),249.25)</f>
        <v>249.25</v>
      </c>
      <c r="E2288" s="1">
        <f ca="1">IFERROR(__xludf.DUMMYFUNCTION("""COMPUTED_VALUE"""),249.85)</f>
        <v>249.85</v>
      </c>
      <c r="F2288" s="1">
        <f ca="1">IFERROR(__xludf.DUMMYFUNCTION("""COMPUTED_VALUE"""),66575292)</f>
        <v>66575292</v>
      </c>
      <c r="G2288" s="5">
        <f t="shared" ca="1" si="105"/>
        <v>-3.4820892535521496E-3</v>
      </c>
      <c r="H2288" s="14">
        <f t="shared" si="106"/>
        <v>2024</v>
      </c>
      <c r="I2288" s="5">
        <f t="shared" ca="1" si="107"/>
        <v>-3.1551610527539881E-2</v>
      </c>
      <c r="J2288" s="16"/>
    </row>
    <row r="2289" spans="1:10" x14ac:dyDescent="0.2">
      <c r="A2289" s="3">
        <v>45597</v>
      </c>
      <c r="B2289" s="1">
        <f ca="1">IFERROR(__xludf.DUMMYFUNCTION("""COMPUTED_VALUE"""),252.04)</f>
        <v>252.04</v>
      </c>
      <c r="C2289" s="1">
        <f ca="1">IFERROR(__xludf.DUMMYFUNCTION("""COMPUTED_VALUE"""),254)</f>
        <v>254</v>
      </c>
      <c r="D2289" s="1">
        <f ca="1">IFERROR(__xludf.DUMMYFUNCTION("""COMPUTED_VALUE"""),246.63)</f>
        <v>246.63</v>
      </c>
      <c r="E2289" s="1">
        <f ca="1">IFERROR(__xludf.DUMMYFUNCTION("""COMPUTED_VALUE"""),248.98)</f>
        <v>248.98</v>
      </c>
      <c r="F2289" s="1">
        <f ca="1">IFERROR(__xludf.DUMMYFUNCTION("""COMPUTED_VALUE"""),57544757)</f>
        <v>57544757</v>
      </c>
      <c r="G2289" s="5">
        <f t="shared" ca="1" si="105"/>
        <v>-2.4660615310466649E-2</v>
      </c>
      <c r="H2289" s="14">
        <f t="shared" si="106"/>
        <v>2024</v>
      </c>
      <c r="I2289" s="5">
        <f t="shared" ca="1" si="107"/>
        <v>-1.2140930011109358E-2</v>
      </c>
      <c r="J2289" s="16"/>
    </row>
    <row r="2290" spans="1:10" x14ac:dyDescent="0.2">
      <c r="A2290" s="3">
        <v>45600</v>
      </c>
      <c r="B2290" s="1">
        <f ca="1">IFERROR(__xludf.DUMMYFUNCTION("""COMPUTED_VALUE"""),244.56)</f>
        <v>244.56</v>
      </c>
      <c r="C2290" s="1">
        <f ca="1">IFERROR(__xludf.DUMMYFUNCTION("""COMPUTED_VALUE"""),248.9)</f>
        <v>248.9</v>
      </c>
      <c r="D2290" s="1">
        <f ca="1">IFERROR(__xludf.DUMMYFUNCTION("""COMPUTED_VALUE"""),238.88)</f>
        <v>238.88</v>
      </c>
      <c r="E2290" s="1">
        <f ca="1">IFERROR(__xludf.DUMMYFUNCTION("""COMPUTED_VALUE"""),242.84)</f>
        <v>242.84</v>
      </c>
      <c r="F2290" s="1">
        <f ca="1">IFERROR(__xludf.DUMMYFUNCTION("""COMPUTED_VALUE"""),68802354)</f>
        <v>68802354</v>
      </c>
      <c r="G2290" s="5">
        <f t="shared" ca="1" si="105"/>
        <v>3.5414264536320184E-2</v>
      </c>
      <c r="H2290" s="14">
        <f t="shared" si="106"/>
        <v>2024</v>
      </c>
      <c r="I2290" s="5">
        <f t="shared" ca="1" si="107"/>
        <v>-7.0330389270526613E-3</v>
      </c>
      <c r="J2290" s="16"/>
    </row>
    <row r="2291" spans="1:10" x14ac:dyDescent="0.2">
      <c r="A2291" s="3">
        <v>45601</v>
      </c>
      <c r="B2291" s="1">
        <f ca="1">IFERROR(__xludf.DUMMYFUNCTION("""COMPUTED_VALUE"""),247.34)</f>
        <v>247.34</v>
      </c>
      <c r="C2291" s="1">
        <f ca="1">IFERROR(__xludf.DUMMYFUNCTION("""COMPUTED_VALUE"""),255.28)</f>
        <v>255.28</v>
      </c>
      <c r="D2291" s="1">
        <f ca="1">IFERROR(__xludf.DUMMYFUNCTION("""COMPUTED_VALUE"""),246.21)</f>
        <v>246.21</v>
      </c>
      <c r="E2291" s="1">
        <f ca="1">IFERROR(__xludf.DUMMYFUNCTION("""COMPUTED_VALUE"""),251.44)</f>
        <v>251.44</v>
      </c>
      <c r="F2291" s="1">
        <f ca="1">IFERROR(__xludf.DUMMYFUNCTION("""COMPUTED_VALUE"""),69282505)</f>
        <v>69282505</v>
      </c>
      <c r="G2291" s="5">
        <f t="shared" ca="1" si="105"/>
        <v>0.14751034043907085</v>
      </c>
      <c r="H2291" s="14">
        <f t="shared" si="106"/>
        <v>2024</v>
      </c>
      <c r="I2291" s="5">
        <f t="shared" ca="1" si="107"/>
        <v>1.6576372604511985E-2</v>
      </c>
      <c r="J2291" s="16"/>
    </row>
    <row r="2292" spans="1:10" x14ac:dyDescent="0.2">
      <c r="A2292" s="3">
        <v>45602</v>
      </c>
      <c r="B2292" s="1">
        <f ca="1">IFERROR(__xludf.DUMMYFUNCTION("""COMPUTED_VALUE"""),284.67)</f>
        <v>284.67</v>
      </c>
      <c r="C2292" s="1">
        <f ca="1">IFERROR(__xludf.DUMMYFUNCTION("""COMPUTED_VALUE"""),289.59)</f>
        <v>289.58999999999997</v>
      </c>
      <c r="D2292" s="1">
        <f ca="1">IFERROR(__xludf.DUMMYFUNCTION("""COMPUTED_VALUE"""),275.62)</f>
        <v>275.62</v>
      </c>
      <c r="E2292" s="1">
        <f ca="1">IFERROR(__xludf.DUMMYFUNCTION("""COMPUTED_VALUE"""),288.53)</f>
        <v>288.52999999999997</v>
      </c>
      <c r="F2292" s="1">
        <f ca="1">IFERROR(__xludf.DUMMYFUNCTION("""COMPUTED_VALUE"""),165228710)</f>
        <v>165228710</v>
      </c>
      <c r="G2292" s="5">
        <f t="shared" ca="1" si="105"/>
        <v>2.9043773611063157E-2</v>
      </c>
      <c r="H2292" s="14">
        <f t="shared" si="106"/>
        <v>2024</v>
      </c>
      <c r="I2292" s="5">
        <f t="shared" ca="1" si="107"/>
        <v>1.3559560192503449E-2</v>
      </c>
      <c r="J2292" s="16"/>
    </row>
    <row r="2293" spans="1:10" x14ac:dyDescent="0.2">
      <c r="A2293" s="3">
        <v>45603</v>
      </c>
      <c r="B2293" s="1">
        <f ca="1">IFERROR(__xludf.DUMMYFUNCTION("""COMPUTED_VALUE"""),288.89)</f>
        <v>288.89</v>
      </c>
      <c r="C2293" s="1">
        <f ca="1">IFERROR(__xludf.DUMMYFUNCTION("""COMPUTED_VALUE"""),299.75)</f>
        <v>299.75</v>
      </c>
      <c r="D2293" s="1">
        <f ca="1">IFERROR(__xludf.DUMMYFUNCTION("""COMPUTED_VALUE"""),285.52)</f>
        <v>285.52</v>
      </c>
      <c r="E2293" s="1">
        <f ca="1">IFERROR(__xludf.DUMMYFUNCTION("""COMPUTED_VALUE"""),296.91)</f>
        <v>296.91000000000003</v>
      </c>
      <c r="F2293" s="1">
        <f ca="1">IFERROR(__xludf.DUMMYFUNCTION("""COMPUTED_VALUE"""),117309232)</f>
        <v>117309232</v>
      </c>
      <c r="G2293" s="5">
        <f t="shared" ca="1" si="105"/>
        <v>8.1876662961840291E-2</v>
      </c>
      <c r="H2293" s="14">
        <f t="shared" si="106"/>
        <v>2024</v>
      </c>
      <c r="I2293" s="5">
        <f t="shared" ca="1" si="107"/>
        <v>2.7761431686801341E-2</v>
      </c>
      <c r="J2293" s="16"/>
    </row>
    <row r="2294" spans="1:10" x14ac:dyDescent="0.2">
      <c r="A2294" s="3">
        <v>45604</v>
      </c>
      <c r="B2294" s="1">
        <f ca="1">IFERROR(__xludf.DUMMYFUNCTION("""COMPUTED_VALUE"""),299.14)</f>
        <v>299.14</v>
      </c>
      <c r="C2294" s="1">
        <f ca="1">IFERROR(__xludf.DUMMYFUNCTION("""COMPUTED_VALUE"""),328.71)</f>
        <v>328.71</v>
      </c>
      <c r="D2294" s="1">
        <f ca="1">IFERROR(__xludf.DUMMYFUNCTION("""COMPUTED_VALUE"""),297.66)</f>
        <v>297.66000000000003</v>
      </c>
      <c r="E2294" s="1">
        <f ca="1">IFERROR(__xludf.DUMMYFUNCTION("""COMPUTED_VALUE"""),321.22)</f>
        <v>321.22000000000003</v>
      </c>
      <c r="F2294" s="1">
        <f ca="1">IFERROR(__xludf.DUMMYFUNCTION("""COMPUTED_VALUE"""),204782763)</f>
        <v>204782763</v>
      </c>
      <c r="G2294" s="5">
        <f t="shared" ca="1" si="105"/>
        <v>8.9595915571882109E-2</v>
      </c>
      <c r="H2294" s="14">
        <f t="shared" si="106"/>
        <v>2024</v>
      </c>
      <c r="I2294" s="5">
        <f t="shared" ca="1" si="107"/>
        <v>7.3811593233937434E-2</v>
      </c>
      <c r="J2294" s="16"/>
    </row>
    <row r="2295" spans="1:10" x14ac:dyDescent="0.2">
      <c r="A2295" s="3">
        <v>45607</v>
      </c>
      <c r="B2295" s="1">
        <f ca="1">IFERROR(__xludf.DUMMYFUNCTION("""COMPUTED_VALUE"""),346.3)</f>
        <v>346.3</v>
      </c>
      <c r="C2295" s="1">
        <f ca="1">IFERROR(__xludf.DUMMYFUNCTION("""COMPUTED_VALUE"""),358.64)</f>
        <v>358.64</v>
      </c>
      <c r="D2295" s="1">
        <f ca="1">IFERROR(__xludf.DUMMYFUNCTION("""COMPUTED_VALUE"""),336)</f>
        <v>336</v>
      </c>
      <c r="E2295" s="1">
        <f ca="1">IFERROR(__xludf.DUMMYFUNCTION("""COMPUTED_VALUE"""),350)</f>
        <v>350</v>
      </c>
      <c r="F2295" s="1">
        <f ca="1">IFERROR(__xludf.DUMMYFUNCTION("""COMPUTED_VALUE"""),210521625)</f>
        <v>210521625</v>
      </c>
      <c r="G2295" s="5">
        <f t="shared" ca="1" si="105"/>
        <v>-6.1457142857142828E-2</v>
      </c>
      <c r="H2295" s="14">
        <f t="shared" si="106"/>
        <v>2024</v>
      </c>
      <c r="I2295" s="5">
        <f t="shared" ca="1" si="107"/>
        <v>1.0684377707190265E-2</v>
      </c>
      <c r="J2295" s="16"/>
    </row>
    <row r="2296" spans="1:10" x14ac:dyDescent="0.2">
      <c r="A2296" s="3">
        <v>45608</v>
      </c>
      <c r="B2296" s="1">
        <f ca="1">IFERROR(__xludf.DUMMYFUNCTION("""COMPUTED_VALUE"""),342.74)</f>
        <v>342.74</v>
      </c>
      <c r="C2296" s="1">
        <f ca="1">IFERROR(__xludf.DUMMYFUNCTION("""COMPUTED_VALUE"""),345.84)</f>
        <v>345.84</v>
      </c>
      <c r="D2296" s="1">
        <f ca="1">IFERROR(__xludf.DUMMYFUNCTION("""COMPUTED_VALUE"""),323.31)</f>
        <v>323.31</v>
      </c>
      <c r="E2296" s="1">
        <f ca="1">IFERROR(__xludf.DUMMYFUNCTION("""COMPUTED_VALUE"""),328.49)</f>
        <v>328.49</v>
      </c>
      <c r="F2296" s="1">
        <f ca="1">IFERROR(__xludf.DUMMYFUNCTION("""COMPUTED_VALUE"""),155726016)</f>
        <v>155726016</v>
      </c>
      <c r="G2296" s="5">
        <f t="shared" ca="1" si="105"/>
        <v>5.3274072270084322E-3</v>
      </c>
      <c r="H2296" s="14">
        <f t="shared" si="106"/>
        <v>2024</v>
      </c>
      <c r="I2296" s="5">
        <f t="shared" ca="1" si="107"/>
        <v>-4.1576705374336227E-2</v>
      </c>
      <c r="J2296" s="16"/>
    </row>
    <row r="2297" spans="1:10" x14ac:dyDescent="0.2">
      <c r="A2297" s="3">
        <v>45609</v>
      </c>
      <c r="B2297" s="1">
        <f ca="1">IFERROR(__xludf.DUMMYFUNCTION("""COMPUTED_VALUE"""),335.85)</f>
        <v>335.85</v>
      </c>
      <c r="C2297" s="1">
        <f ca="1">IFERROR(__xludf.DUMMYFUNCTION("""COMPUTED_VALUE"""),344.6)</f>
        <v>344.6</v>
      </c>
      <c r="D2297" s="1">
        <f ca="1">IFERROR(__xludf.DUMMYFUNCTION("""COMPUTED_VALUE"""),322.5)</f>
        <v>322.5</v>
      </c>
      <c r="E2297" s="1">
        <f ca="1">IFERROR(__xludf.DUMMYFUNCTION("""COMPUTED_VALUE"""),330.24)</f>
        <v>330.24</v>
      </c>
      <c r="F2297" s="1">
        <f ca="1">IFERROR(__xludf.DUMMYFUNCTION("""COMPUTED_VALUE"""),125405599)</f>
        <v>125405599</v>
      </c>
      <c r="G2297" s="5">
        <f t="shared" ca="1" si="105"/>
        <v>-5.7715600775193804E-2</v>
      </c>
      <c r="H2297" s="14">
        <f t="shared" si="106"/>
        <v>2024</v>
      </c>
      <c r="I2297" s="5">
        <f t="shared" ca="1" si="107"/>
        <v>-1.670388566324256E-2</v>
      </c>
      <c r="J2297" s="16"/>
    </row>
    <row r="2298" spans="1:10" x14ac:dyDescent="0.2">
      <c r="A2298" s="3">
        <v>45610</v>
      </c>
      <c r="B2298" s="1">
        <f ca="1">IFERROR(__xludf.DUMMYFUNCTION("""COMPUTED_VALUE"""),327.69)</f>
        <v>327.69</v>
      </c>
      <c r="C2298" s="1">
        <f ca="1">IFERROR(__xludf.DUMMYFUNCTION("""COMPUTED_VALUE"""),329.98)</f>
        <v>329.98</v>
      </c>
      <c r="D2298" s="1">
        <f ca="1">IFERROR(__xludf.DUMMYFUNCTION("""COMPUTED_VALUE"""),310.37)</f>
        <v>310.37</v>
      </c>
      <c r="E2298" s="1">
        <f ca="1">IFERROR(__xludf.DUMMYFUNCTION("""COMPUTED_VALUE"""),311.18)</f>
        <v>311.18</v>
      </c>
      <c r="F2298" s="1">
        <f ca="1">IFERROR(__xludf.DUMMYFUNCTION("""COMPUTED_VALUE"""),120726109)</f>
        <v>120726109</v>
      </c>
      <c r="G2298" s="5">
        <f t="shared" ca="1" si="105"/>
        <v>3.065749726846205E-2</v>
      </c>
      <c r="H2298" s="14">
        <f t="shared" si="106"/>
        <v>2024</v>
      </c>
      <c r="I2298" s="5">
        <f t="shared" ca="1" si="107"/>
        <v>-5.0382983917727095E-2</v>
      </c>
      <c r="J2298" s="16"/>
    </row>
    <row r="2299" spans="1:10" x14ac:dyDescent="0.2">
      <c r="A2299" s="3">
        <v>45611</v>
      </c>
      <c r="B2299" s="1">
        <f ca="1">IFERROR(__xludf.DUMMYFUNCTION("""COMPUTED_VALUE"""),310.57)</f>
        <v>310.57</v>
      </c>
      <c r="C2299" s="1">
        <f ca="1">IFERROR(__xludf.DUMMYFUNCTION("""COMPUTED_VALUE"""),324.68)</f>
        <v>324.68</v>
      </c>
      <c r="D2299" s="1">
        <f ca="1">IFERROR(__xludf.DUMMYFUNCTION("""COMPUTED_VALUE"""),309.22)</f>
        <v>309.22000000000003</v>
      </c>
      <c r="E2299" s="1">
        <f ca="1">IFERROR(__xludf.DUMMYFUNCTION("""COMPUTED_VALUE"""),320.72)</f>
        <v>320.72000000000003</v>
      </c>
      <c r="F2299" s="1">
        <f ca="1">IFERROR(__xludf.DUMMYFUNCTION("""COMPUTED_VALUE"""),114440286)</f>
        <v>114440286</v>
      </c>
      <c r="G2299" s="5">
        <f t="shared" ca="1" si="105"/>
        <v>5.6186081317036604E-2</v>
      </c>
      <c r="H2299" s="14">
        <f t="shared" si="106"/>
        <v>2024</v>
      </c>
      <c r="I2299" s="5">
        <f t="shared" ca="1" si="107"/>
        <v>3.2681843062755692E-2</v>
      </c>
      <c r="J2299" s="16"/>
    </row>
    <row r="2300" spans="1:10" x14ac:dyDescent="0.2">
      <c r="A2300" s="3">
        <v>45614</v>
      </c>
      <c r="B2300" s="1">
        <f ca="1">IFERROR(__xludf.DUMMYFUNCTION("""COMPUTED_VALUE"""),340.73)</f>
        <v>340.73</v>
      </c>
      <c r="C2300" s="1">
        <f ca="1">IFERROR(__xludf.DUMMYFUNCTION("""COMPUTED_VALUE"""),348.55)</f>
        <v>348.55</v>
      </c>
      <c r="D2300" s="1">
        <f ca="1">IFERROR(__xludf.DUMMYFUNCTION("""COMPUTED_VALUE"""),330.01)</f>
        <v>330.01</v>
      </c>
      <c r="E2300" s="1">
        <f ca="1">IFERROR(__xludf.DUMMYFUNCTION("""COMPUTED_VALUE"""),338.74)</f>
        <v>338.74</v>
      </c>
      <c r="F2300" s="1">
        <f ca="1">IFERROR(__xludf.DUMMYFUNCTION("""COMPUTED_VALUE"""),126547455)</f>
        <v>126547455</v>
      </c>
      <c r="G2300" s="5">
        <f t="shared" ca="1" si="105"/>
        <v>2.1432367007144095E-2</v>
      </c>
      <c r="H2300" s="14">
        <f t="shared" si="106"/>
        <v>2024</v>
      </c>
      <c r="I2300" s="5">
        <f t="shared" ca="1" si="107"/>
        <v>-5.840401490916588E-3</v>
      </c>
      <c r="J2300" s="16"/>
    </row>
    <row r="2301" spans="1:10" x14ac:dyDescent="0.2">
      <c r="A2301" s="3">
        <v>45615</v>
      </c>
      <c r="B2301" s="1">
        <f ca="1">IFERROR(__xludf.DUMMYFUNCTION("""COMPUTED_VALUE"""),335.76)</f>
        <v>335.76</v>
      </c>
      <c r="C2301" s="1">
        <f ca="1">IFERROR(__xludf.DUMMYFUNCTION("""COMPUTED_VALUE"""),347.38)</f>
        <v>347.38</v>
      </c>
      <c r="D2301" s="1">
        <f ca="1">IFERROR(__xludf.DUMMYFUNCTION("""COMPUTED_VALUE"""),332.75)</f>
        <v>332.75</v>
      </c>
      <c r="E2301" s="1">
        <f ca="1">IFERROR(__xludf.DUMMYFUNCTION("""COMPUTED_VALUE"""),346)</f>
        <v>346</v>
      </c>
      <c r="F2301" s="1">
        <f ca="1">IFERROR(__xludf.DUMMYFUNCTION("""COMPUTED_VALUE"""),88852452)</f>
        <v>88852452</v>
      </c>
      <c r="G2301" s="5">
        <f t="shared" ca="1" si="105"/>
        <v>-1.1473988439306438E-2</v>
      </c>
      <c r="H2301" s="14">
        <f t="shared" si="106"/>
        <v>2024</v>
      </c>
      <c r="I2301" s="5">
        <f t="shared" ca="1" si="107"/>
        <v>3.0497974743864693E-2</v>
      </c>
      <c r="J2301" s="16"/>
    </row>
    <row r="2302" spans="1:10" x14ac:dyDescent="0.2">
      <c r="A2302" s="3">
        <v>45616</v>
      </c>
      <c r="B2302" s="1">
        <f ca="1">IFERROR(__xludf.DUMMYFUNCTION("""COMPUTED_VALUE"""),345)</f>
        <v>345</v>
      </c>
      <c r="C2302" s="1">
        <f ca="1">IFERROR(__xludf.DUMMYFUNCTION("""COMPUTED_VALUE"""),346.6)</f>
        <v>346.6</v>
      </c>
      <c r="D2302" s="1">
        <f ca="1">IFERROR(__xludf.DUMMYFUNCTION("""COMPUTED_VALUE"""),334.3)</f>
        <v>334.3</v>
      </c>
      <c r="E2302" s="1">
        <f ca="1">IFERROR(__xludf.DUMMYFUNCTION("""COMPUTED_VALUE"""),342.03)</f>
        <v>342.03</v>
      </c>
      <c r="F2302" s="1">
        <f ca="1">IFERROR(__xludf.DUMMYFUNCTION("""COMPUTED_VALUE"""),66340650)</f>
        <v>66340650</v>
      </c>
      <c r="G2302" s="5">
        <f t="shared" ca="1" si="105"/>
        <v>-6.9876911382042118E-3</v>
      </c>
      <c r="H2302" s="14">
        <f t="shared" si="106"/>
        <v>2024</v>
      </c>
      <c r="I2302" s="5">
        <f t="shared" ca="1" si="107"/>
        <v>-8.6086956521739914E-3</v>
      </c>
      <c r="J2302" s="16"/>
    </row>
    <row r="2303" spans="1:10" x14ac:dyDescent="0.2">
      <c r="A2303" s="3">
        <v>45617</v>
      </c>
      <c r="B2303" s="1">
        <f ca="1">IFERROR(__xludf.DUMMYFUNCTION("""COMPUTED_VALUE"""),343.81)</f>
        <v>343.81</v>
      </c>
      <c r="C2303" s="1">
        <f ca="1">IFERROR(__xludf.DUMMYFUNCTION("""COMPUTED_VALUE"""),347.99)</f>
        <v>347.99</v>
      </c>
      <c r="D2303" s="1">
        <f ca="1">IFERROR(__xludf.DUMMYFUNCTION("""COMPUTED_VALUE"""),335.28)</f>
        <v>335.28</v>
      </c>
      <c r="E2303" s="1">
        <f ca="1">IFERROR(__xludf.DUMMYFUNCTION("""COMPUTED_VALUE"""),339.64)</f>
        <v>339.64</v>
      </c>
      <c r="F2303" s="1">
        <f ca="1">IFERROR(__xludf.DUMMYFUNCTION("""COMPUTED_VALUE"""),58011719)</f>
        <v>58011719</v>
      </c>
      <c r="G2303" s="5">
        <f t="shared" ca="1" si="105"/>
        <v>3.8040277941349711E-2</v>
      </c>
      <c r="H2303" s="14">
        <f t="shared" si="106"/>
        <v>2024</v>
      </c>
      <c r="I2303" s="5">
        <f t="shared" ca="1" si="107"/>
        <v>-1.2128792065384997E-2</v>
      </c>
      <c r="J2303" s="16"/>
    </row>
    <row r="2304" spans="1:10" x14ac:dyDescent="0.2">
      <c r="A2304" s="3">
        <v>45618</v>
      </c>
      <c r="B2304" s="1">
        <f ca="1">IFERROR(__xludf.DUMMYFUNCTION("""COMPUTED_VALUE"""),341.09)</f>
        <v>341.09</v>
      </c>
      <c r="C2304" s="1">
        <f ca="1">IFERROR(__xludf.DUMMYFUNCTION("""COMPUTED_VALUE"""),361.53)</f>
        <v>361.53</v>
      </c>
      <c r="D2304" s="1">
        <f ca="1">IFERROR(__xludf.DUMMYFUNCTION("""COMPUTED_VALUE"""),337.7)</f>
        <v>337.7</v>
      </c>
      <c r="E2304" s="1">
        <f ca="1">IFERROR(__xludf.DUMMYFUNCTION("""COMPUTED_VALUE"""),352.56)</f>
        <v>352.56</v>
      </c>
      <c r="F2304" s="1">
        <f ca="1">IFERROR(__xludf.DUMMYFUNCTION("""COMPUTED_VALUE"""),89140722)</f>
        <v>89140722</v>
      </c>
      <c r="G2304" s="5">
        <f t="shared" ca="1" si="105"/>
        <v>-3.962446108463815E-2</v>
      </c>
      <c r="H2304" s="14">
        <f t="shared" si="106"/>
        <v>2024</v>
      </c>
      <c r="I2304" s="5">
        <f t="shared" ca="1" si="107"/>
        <v>3.3627488346184377E-2</v>
      </c>
      <c r="J2304" s="16"/>
    </row>
    <row r="2305" spans="1:10" x14ac:dyDescent="0.2">
      <c r="A2305" s="3">
        <v>45621</v>
      </c>
      <c r="B2305" s="1">
        <f ca="1">IFERROR(__xludf.DUMMYFUNCTION("""COMPUTED_VALUE"""),360.14)</f>
        <v>360.14</v>
      </c>
      <c r="C2305" s="1">
        <f ca="1">IFERROR(__xludf.DUMMYFUNCTION("""COMPUTED_VALUE"""),361.93)</f>
        <v>361.93</v>
      </c>
      <c r="D2305" s="1">
        <f ca="1">IFERROR(__xludf.DUMMYFUNCTION("""COMPUTED_VALUE"""),338.2)</f>
        <v>338.2</v>
      </c>
      <c r="E2305" s="1">
        <f ca="1">IFERROR(__xludf.DUMMYFUNCTION("""COMPUTED_VALUE"""),338.59)</f>
        <v>338.59</v>
      </c>
      <c r="F2305" s="1">
        <f ca="1">IFERROR(__xludf.DUMMYFUNCTION("""COMPUTED_VALUE"""),95890899)</f>
        <v>95890899</v>
      </c>
      <c r="G2305" s="5">
        <f t="shared" ca="1" si="105"/>
        <v>-1.0632328184528687E-3</v>
      </c>
      <c r="H2305" s="14">
        <f t="shared" si="106"/>
        <v>2024</v>
      </c>
      <c r="I2305" s="5">
        <f t="shared" ca="1" si="107"/>
        <v>-5.9837840839673494E-2</v>
      </c>
      <c r="J2305" s="16"/>
    </row>
    <row r="2306" spans="1:10" x14ac:dyDescent="0.2">
      <c r="A2306" s="3">
        <v>45622</v>
      </c>
      <c r="B2306" s="1">
        <f ca="1">IFERROR(__xludf.DUMMYFUNCTION("""COMPUTED_VALUE"""),341)</f>
        <v>341</v>
      </c>
      <c r="C2306" s="1">
        <f ca="1">IFERROR(__xludf.DUMMYFUNCTION("""COMPUTED_VALUE"""),346.96)</f>
        <v>346.96</v>
      </c>
      <c r="D2306" s="1">
        <f ca="1">IFERROR(__xludf.DUMMYFUNCTION("""COMPUTED_VALUE"""),335.66)</f>
        <v>335.66</v>
      </c>
      <c r="E2306" s="1">
        <f ca="1">IFERROR(__xludf.DUMMYFUNCTION("""COMPUTED_VALUE"""),338.23)</f>
        <v>338.23</v>
      </c>
      <c r="F2306" s="1">
        <f ca="1">IFERROR(__xludf.DUMMYFUNCTION("""COMPUTED_VALUE"""),62295857)</f>
        <v>62295857</v>
      </c>
      <c r="G2306" s="5">
        <f t="shared" ca="1" si="105"/>
        <v>-1.5788073204624165E-2</v>
      </c>
      <c r="H2306" s="14">
        <f t="shared" si="106"/>
        <v>2024</v>
      </c>
      <c r="I2306" s="5">
        <f t="shared" ca="1" si="107"/>
        <v>-8.1231671554251664E-3</v>
      </c>
      <c r="J2306" s="16"/>
    </row>
    <row r="2307" spans="1:10" x14ac:dyDescent="0.2">
      <c r="A2307" s="3">
        <v>45623</v>
      </c>
      <c r="B2307" s="1">
        <f ca="1">IFERROR(__xludf.DUMMYFUNCTION("""COMPUTED_VALUE"""),341.8)</f>
        <v>341.8</v>
      </c>
      <c r="C2307" s="1">
        <f ca="1">IFERROR(__xludf.DUMMYFUNCTION("""COMPUTED_VALUE"""),342.55)</f>
        <v>342.55</v>
      </c>
      <c r="D2307" s="1">
        <f ca="1">IFERROR(__xludf.DUMMYFUNCTION("""COMPUTED_VALUE"""),326.59)</f>
        <v>326.58999999999997</v>
      </c>
      <c r="E2307" s="1">
        <f ca="1">IFERROR(__xludf.DUMMYFUNCTION("""COMPUTED_VALUE"""),332.89)</f>
        <v>332.89</v>
      </c>
      <c r="F2307" s="1">
        <f ca="1">IFERROR(__xludf.DUMMYFUNCTION("""COMPUTED_VALUE"""),57896439)</f>
        <v>57896439</v>
      </c>
      <c r="G2307" s="5">
        <f t="shared" ref="G2307:G2370" ca="1" si="108">(E2308-E2307)/E2307</f>
        <v>3.6859022499925016E-2</v>
      </c>
      <c r="H2307" s="14">
        <f t="shared" ref="H2307:H2370" si="109">YEAR(A2307)</f>
        <v>2024</v>
      </c>
      <c r="I2307" s="5">
        <f t="shared" ref="I2307:I2370" ca="1" si="110">((E2307 - B2307) / B2307)</f>
        <v>-2.6067875950848522E-2</v>
      </c>
      <c r="J2307" s="16"/>
    </row>
    <row r="2308" spans="1:10" x14ac:dyDescent="0.2">
      <c r="A2308" s="3">
        <v>45625</v>
      </c>
      <c r="B2308" s="1">
        <f ca="1">IFERROR(__xludf.DUMMYFUNCTION("""COMPUTED_VALUE"""),336.08)</f>
        <v>336.08</v>
      </c>
      <c r="C2308" s="1">
        <f ca="1">IFERROR(__xludf.DUMMYFUNCTION("""COMPUTED_VALUE"""),345.45)</f>
        <v>345.45</v>
      </c>
      <c r="D2308" s="1">
        <f ca="1">IFERROR(__xludf.DUMMYFUNCTION("""COMPUTED_VALUE"""),334.65)</f>
        <v>334.65</v>
      </c>
      <c r="E2308" s="1">
        <f ca="1">IFERROR(__xludf.DUMMYFUNCTION("""COMPUTED_VALUE"""),345.16)</f>
        <v>345.16</v>
      </c>
      <c r="F2308" s="1">
        <f ca="1">IFERROR(__xludf.DUMMYFUNCTION("""COMPUTED_VALUE"""),37167621)</f>
        <v>37167621</v>
      </c>
      <c r="G2308" s="5">
        <f t="shared" ca="1" si="108"/>
        <v>3.4563680611889989E-2</v>
      </c>
      <c r="H2308" s="14">
        <f t="shared" si="109"/>
        <v>2024</v>
      </c>
      <c r="I2308" s="5">
        <f t="shared" ca="1" si="110"/>
        <v>2.701737681504416E-2</v>
      </c>
      <c r="J2308" s="16"/>
    </row>
    <row r="2309" spans="1:10" x14ac:dyDescent="0.2">
      <c r="A2309" s="3">
        <v>45628</v>
      </c>
      <c r="B2309" s="1">
        <f ca="1">IFERROR(__xludf.DUMMYFUNCTION("""COMPUTED_VALUE"""),352.38)</f>
        <v>352.38</v>
      </c>
      <c r="C2309" s="1">
        <f ca="1">IFERROR(__xludf.DUMMYFUNCTION("""COMPUTED_VALUE"""),360)</f>
        <v>360</v>
      </c>
      <c r="D2309" s="1">
        <f ca="1">IFERROR(__xludf.DUMMYFUNCTION("""COMPUTED_VALUE"""),351.15)</f>
        <v>351.15</v>
      </c>
      <c r="E2309" s="1">
        <f ca="1">IFERROR(__xludf.DUMMYFUNCTION("""COMPUTED_VALUE"""),357.09)</f>
        <v>357.09</v>
      </c>
      <c r="F2309" s="1">
        <f ca="1">IFERROR(__xludf.DUMMYFUNCTION("""COMPUTED_VALUE"""),77986478)</f>
        <v>77986478</v>
      </c>
      <c r="G2309" s="5">
        <f t="shared" ca="1" si="108"/>
        <v>-1.5878349995799266E-2</v>
      </c>
      <c r="H2309" s="14">
        <f t="shared" si="109"/>
        <v>2024</v>
      </c>
      <c r="I2309" s="5">
        <f t="shared" ca="1" si="110"/>
        <v>1.3366252341222486E-2</v>
      </c>
      <c r="J2309" s="16"/>
    </row>
    <row r="2310" spans="1:10" x14ac:dyDescent="0.2">
      <c r="A2310" s="3">
        <v>45629</v>
      </c>
      <c r="B2310" s="1">
        <f ca="1">IFERROR(__xludf.DUMMYFUNCTION("""COMPUTED_VALUE"""),351.8)</f>
        <v>351.8</v>
      </c>
      <c r="C2310" s="1">
        <f ca="1">IFERROR(__xludf.DUMMYFUNCTION("""COMPUTED_VALUE"""),355.69)</f>
        <v>355.69</v>
      </c>
      <c r="D2310" s="1">
        <f ca="1">IFERROR(__xludf.DUMMYFUNCTION("""COMPUTED_VALUE"""),348.2)</f>
        <v>348.2</v>
      </c>
      <c r="E2310" s="1">
        <f ca="1">IFERROR(__xludf.DUMMYFUNCTION("""COMPUTED_VALUE"""),351.42)</f>
        <v>351.42</v>
      </c>
      <c r="F2310" s="1">
        <f ca="1">IFERROR(__xludf.DUMMYFUNCTION("""COMPUTED_VALUE"""),58267196)</f>
        <v>58267196</v>
      </c>
      <c r="G2310" s="5">
        <f t="shared" ca="1" si="108"/>
        <v>1.8524842069318738E-2</v>
      </c>
      <c r="H2310" s="14">
        <f t="shared" si="109"/>
        <v>2024</v>
      </c>
      <c r="I2310" s="5">
        <f t="shared" ca="1" si="110"/>
        <v>-1.0801591813530285E-3</v>
      </c>
      <c r="J2310" s="16"/>
    </row>
    <row r="2311" spans="1:10" x14ac:dyDescent="0.2">
      <c r="A2311" s="3">
        <v>45630</v>
      </c>
      <c r="B2311" s="1">
        <f ca="1">IFERROR(__xludf.DUMMYFUNCTION("""COMPUTED_VALUE"""),353)</f>
        <v>353</v>
      </c>
      <c r="C2311" s="1">
        <f ca="1">IFERROR(__xludf.DUMMYFUNCTION("""COMPUTED_VALUE"""),358.1)</f>
        <v>358.1</v>
      </c>
      <c r="D2311" s="1">
        <f ca="1">IFERROR(__xludf.DUMMYFUNCTION("""COMPUTED_VALUE"""),348.6)</f>
        <v>348.6</v>
      </c>
      <c r="E2311" s="1">
        <f ca="1">IFERROR(__xludf.DUMMYFUNCTION("""COMPUTED_VALUE"""),357.93)</f>
        <v>357.93</v>
      </c>
      <c r="F2311" s="1">
        <f ca="1">IFERROR(__xludf.DUMMYFUNCTION("""COMPUTED_VALUE"""),50810874)</f>
        <v>50810874</v>
      </c>
      <c r="G2311" s="5">
        <f t="shared" ca="1" si="108"/>
        <v>3.2296817813538964E-2</v>
      </c>
      <c r="H2311" s="14">
        <f t="shared" si="109"/>
        <v>2024</v>
      </c>
      <c r="I2311" s="5">
        <f t="shared" ca="1" si="110"/>
        <v>1.3966005665722399E-2</v>
      </c>
      <c r="J2311" s="16"/>
    </row>
    <row r="2312" spans="1:10" x14ac:dyDescent="0.2">
      <c r="A2312" s="3">
        <v>45631</v>
      </c>
      <c r="B2312" s="1">
        <f ca="1">IFERROR(__xludf.DUMMYFUNCTION("""COMPUTED_VALUE"""),359.87)</f>
        <v>359.87</v>
      </c>
      <c r="C2312" s="1">
        <f ca="1">IFERROR(__xludf.DUMMYFUNCTION("""COMPUTED_VALUE"""),375.43)</f>
        <v>375.43</v>
      </c>
      <c r="D2312" s="1">
        <f ca="1">IFERROR(__xludf.DUMMYFUNCTION("""COMPUTED_VALUE"""),359.5)</f>
        <v>359.5</v>
      </c>
      <c r="E2312" s="1">
        <f ca="1">IFERROR(__xludf.DUMMYFUNCTION("""COMPUTED_VALUE"""),369.49)</f>
        <v>369.49</v>
      </c>
      <c r="F2312" s="1">
        <f ca="1">IFERROR(__xludf.DUMMYFUNCTION("""COMPUTED_VALUE"""),81403569)</f>
        <v>81403569</v>
      </c>
      <c r="G2312" s="5">
        <f t="shared" ca="1" si="108"/>
        <v>5.3397926872175205E-2</v>
      </c>
      <c r="H2312" s="14">
        <f t="shared" si="109"/>
        <v>2024</v>
      </c>
      <c r="I2312" s="5">
        <f t="shared" ca="1" si="110"/>
        <v>2.6731875399449812E-2</v>
      </c>
      <c r="J2312" s="16"/>
    </row>
    <row r="2313" spans="1:10" x14ac:dyDescent="0.2">
      <c r="A2313" s="3">
        <v>45632</v>
      </c>
      <c r="B2313" s="1">
        <f ca="1">IFERROR(__xludf.DUMMYFUNCTION("""COMPUTED_VALUE"""),377.42)</f>
        <v>377.42</v>
      </c>
      <c r="C2313" s="1">
        <f ca="1">IFERROR(__xludf.DUMMYFUNCTION("""COMPUTED_VALUE"""),389.49)</f>
        <v>389.49</v>
      </c>
      <c r="D2313" s="1">
        <f ca="1">IFERROR(__xludf.DUMMYFUNCTION("""COMPUTED_VALUE"""),370.8)</f>
        <v>370.8</v>
      </c>
      <c r="E2313" s="1">
        <f ca="1">IFERROR(__xludf.DUMMYFUNCTION("""COMPUTED_VALUE"""),389.22)</f>
        <v>389.22</v>
      </c>
      <c r="F2313" s="1">
        <f ca="1">IFERROR(__xludf.DUMMYFUNCTION("""COMPUTED_VALUE"""),81455834)</f>
        <v>81455834</v>
      </c>
      <c r="G2313" s="5">
        <f t="shared" ca="1" si="108"/>
        <v>1.4644673963311061E-3</v>
      </c>
      <c r="H2313" s="14">
        <f t="shared" si="109"/>
        <v>2024</v>
      </c>
      <c r="I2313" s="5">
        <f t="shared" ca="1" si="110"/>
        <v>3.1264903820677259E-2</v>
      </c>
      <c r="J2313" s="16"/>
    </row>
    <row r="2314" spans="1:10" x14ac:dyDescent="0.2">
      <c r="A2314" s="3">
        <v>45635</v>
      </c>
      <c r="B2314" s="1">
        <f ca="1">IFERROR(__xludf.DUMMYFUNCTION("""COMPUTED_VALUE"""),397.61)</f>
        <v>397.61</v>
      </c>
      <c r="C2314" s="1">
        <f ca="1">IFERROR(__xludf.DUMMYFUNCTION("""COMPUTED_VALUE"""),404.8)</f>
        <v>404.8</v>
      </c>
      <c r="D2314" s="1">
        <f ca="1">IFERROR(__xludf.DUMMYFUNCTION("""COMPUTED_VALUE"""),378.01)</f>
        <v>378.01</v>
      </c>
      <c r="E2314" s="1">
        <f ca="1">IFERROR(__xludf.DUMMYFUNCTION("""COMPUTED_VALUE"""),389.79)</f>
        <v>389.79</v>
      </c>
      <c r="F2314" s="1">
        <f ca="1">IFERROR(__xludf.DUMMYFUNCTION("""COMPUTED_VALUE"""),96359173)</f>
        <v>96359173</v>
      </c>
      <c r="G2314" s="5">
        <f t="shared" ca="1" si="108"/>
        <v>2.8733420559788572E-2</v>
      </c>
      <c r="H2314" s="14">
        <f t="shared" si="109"/>
        <v>2024</v>
      </c>
      <c r="I2314" s="5">
        <f t="shared" ca="1" si="110"/>
        <v>-1.9667513392520292E-2</v>
      </c>
      <c r="J2314" s="16"/>
    </row>
    <row r="2315" spans="1:10" x14ac:dyDescent="0.2">
      <c r="A2315" s="3">
        <v>45636</v>
      </c>
      <c r="B2315" s="1">
        <f ca="1">IFERROR(__xludf.DUMMYFUNCTION("""COMPUTED_VALUE"""),392.68)</f>
        <v>392.68</v>
      </c>
      <c r="C2315" s="1">
        <f ca="1">IFERROR(__xludf.DUMMYFUNCTION("""COMPUTED_VALUE"""),409.73)</f>
        <v>409.73</v>
      </c>
      <c r="D2315" s="1">
        <f ca="1">IFERROR(__xludf.DUMMYFUNCTION("""COMPUTED_VALUE"""),390.85)</f>
        <v>390.85</v>
      </c>
      <c r="E2315" s="1">
        <f ca="1">IFERROR(__xludf.DUMMYFUNCTION("""COMPUTED_VALUE"""),400.99)</f>
        <v>400.99</v>
      </c>
      <c r="F2315" s="1">
        <f ca="1">IFERROR(__xludf.DUMMYFUNCTION("""COMPUTED_VALUE"""),97563578)</f>
        <v>97563578</v>
      </c>
      <c r="G2315" s="5">
        <f t="shared" ca="1" si="108"/>
        <v>5.9303224519314628E-2</v>
      </c>
      <c r="H2315" s="14">
        <f t="shared" si="109"/>
        <v>2024</v>
      </c>
      <c r="I2315" s="5">
        <f t="shared" ca="1" si="110"/>
        <v>2.1162269532443725E-2</v>
      </c>
      <c r="J2315" s="16"/>
    </row>
    <row r="2316" spans="1:10" x14ac:dyDescent="0.2">
      <c r="A2316" s="3">
        <v>45637</v>
      </c>
      <c r="B2316" s="1">
        <f ca="1">IFERROR(__xludf.DUMMYFUNCTION("""COMPUTED_VALUE"""),409.7)</f>
        <v>409.7</v>
      </c>
      <c r="C2316" s="1">
        <f ca="1">IFERROR(__xludf.DUMMYFUNCTION("""COMPUTED_VALUE"""),424.88)</f>
        <v>424.88</v>
      </c>
      <c r="D2316" s="1">
        <f ca="1">IFERROR(__xludf.DUMMYFUNCTION("""COMPUTED_VALUE"""),402.38)</f>
        <v>402.38</v>
      </c>
      <c r="E2316" s="1">
        <f ca="1">IFERROR(__xludf.DUMMYFUNCTION("""COMPUTED_VALUE"""),424.77)</f>
        <v>424.77</v>
      </c>
      <c r="F2316" s="1">
        <f ca="1">IFERROR(__xludf.DUMMYFUNCTION("""COMPUTED_VALUE"""),104287559)</f>
        <v>104287559</v>
      </c>
      <c r="G2316" s="5">
        <f t="shared" ca="1" si="108"/>
        <v>-1.5702615533111943E-2</v>
      </c>
      <c r="H2316" s="14">
        <f t="shared" si="109"/>
        <v>2024</v>
      </c>
      <c r="I2316" s="5">
        <f t="shared" ca="1" si="110"/>
        <v>3.6783011959970698E-2</v>
      </c>
      <c r="J2316" s="16"/>
    </row>
    <row r="2317" spans="1:10" x14ac:dyDescent="0.2">
      <c r="A2317" s="3">
        <v>45638</v>
      </c>
      <c r="B2317" s="1">
        <f ca="1">IFERROR(__xludf.DUMMYFUNCTION("""COMPUTED_VALUE"""),424.84)</f>
        <v>424.84</v>
      </c>
      <c r="C2317" s="1">
        <f ca="1">IFERROR(__xludf.DUMMYFUNCTION("""COMPUTED_VALUE"""),429.3)</f>
        <v>429.3</v>
      </c>
      <c r="D2317" s="1">
        <f ca="1">IFERROR(__xludf.DUMMYFUNCTION("""COMPUTED_VALUE"""),415)</f>
        <v>415</v>
      </c>
      <c r="E2317" s="1">
        <f ca="1">IFERROR(__xludf.DUMMYFUNCTION("""COMPUTED_VALUE"""),418.1)</f>
        <v>418.1</v>
      </c>
      <c r="F2317" s="1">
        <f ca="1">IFERROR(__xludf.DUMMYFUNCTION("""COMPUTED_VALUE"""),87752225)</f>
        <v>87752225</v>
      </c>
      <c r="G2317" s="5">
        <f t="shared" ca="1" si="108"/>
        <v>4.3362831858407065E-2</v>
      </c>
      <c r="H2317" s="14">
        <f t="shared" si="109"/>
        <v>2024</v>
      </c>
      <c r="I2317" s="5">
        <f t="shared" ca="1" si="110"/>
        <v>-1.5864796158553698E-2</v>
      </c>
      <c r="J2317" s="16"/>
    </row>
    <row r="2318" spans="1:10" x14ac:dyDescent="0.2">
      <c r="A2318" s="3">
        <v>45639</v>
      </c>
      <c r="B2318" s="1">
        <f ca="1">IFERROR(__xludf.DUMMYFUNCTION("""COMPUTED_VALUE"""),420)</f>
        <v>420</v>
      </c>
      <c r="C2318" s="1">
        <f ca="1">IFERROR(__xludf.DUMMYFUNCTION("""COMPUTED_VALUE"""),436.3)</f>
        <v>436.3</v>
      </c>
      <c r="D2318" s="1">
        <f ca="1">IFERROR(__xludf.DUMMYFUNCTION("""COMPUTED_VALUE"""),415.71)</f>
        <v>415.71</v>
      </c>
      <c r="E2318" s="1">
        <f ca="1">IFERROR(__xludf.DUMMYFUNCTION("""COMPUTED_VALUE"""),436.23)</f>
        <v>436.23</v>
      </c>
      <c r="F2318" s="1">
        <f ca="1">IFERROR(__xludf.DUMMYFUNCTION("""COMPUTED_VALUE"""),89000158)</f>
        <v>89000158</v>
      </c>
      <c r="G2318" s="5">
        <f t="shared" ca="1" si="108"/>
        <v>6.1412557595763619E-2</v>
      </c>
      <c r="H2318" s="14">
        <f t="shared" si="109"/>
        <v>2024</v>
      </c>
      <c r="I2318" s="5">
        <f t="shared" ca="1" si="110"/>
        <v>3.8642857142857187E-2</v>
      </c>
      <c r="J2318" s="16"/>
    </row>
    <row r="2319" spans="1:10" x14ac:dyDescent="0.2">
      <c r="A2319" s="3">
        <v>45642</v>
      </c>
      <c r="B2319" s="1">
        <f ca="1">IFERROR(__xludf.DUMMYFUNCTION("""COMPUTED_VALUE"""),441.09)</f>
        <v>441.09</v>
      </c>
      <c r="C2319" s="1">
        <f ca="1">IFERROR(__xludf.DUMMYFUNCTION("""COMPUTED_VALUE"""),463.19)</f>
        <v>463.19</v>
      </c>
      <c r="D2319" s="1">
        <f ca="1">IFERROR(__xludf.DUMMYFUNCTION("""COMPUTED_VALUE"""),436.15)</f>
        <v>436.15</v>
      </c>
      <c r="E2319" s="1">
        <f ca="1">IFERROR(__xludf.DUMMYFUNCTION("""COMPUTED_VALUE"""),463.02)</f>
        <v>463.02</v>
      </c>
      <c r="F2319" s="1">
        <f ca="1">IFERROR(__xludf.DUMMYFUNCTION("""COMPUTED_VALUE"""),114083811)</f>
        <v>114083811</v>
      </c>
      <c r="G2319" s="5">
        <f t="shared" ca="1" si="108"/>
        <v>3.6369919225951432E-2</v>
      </c>
      <c r="H2319" s="14">
        <f t="shared" si="109"/>
        <v>2024</v>
      </c>
      <c r="I2319" s="5">
        <f t="shared" ca="1" si="110"/>
        <v>4.97177446779569E-2</v>
      </c>
      <c r="J2319" s="16"/>
    </row>
    <row r="2320" spans="1:10" x14ac:dyDescent="0.2">
      <c r="A2320" s="3">
        <v>45643</v>
      </c>
      <c r="B2320" s="1">
        <f ca="1">IFERROR(__xludf.DUMMYFUNCTION("""COMPUTED_VALUE"""),475.9)</f>
        <v>475.9</v>
      </c>
      <c r="C2320" s="1">
        <f ca="1">IFERROR(__xludf.DUMMYFUNCTION("""COMPUTED_VALUE"""),483.99)</f>
        <v>483.99</v>
      </c>
      <c r="D2320" s="1">
        <f ca="1">IFERROR(__xludf.DUMMYFUNCTION("""COMPUTED_VALUE"""),457.51)</f>
        <v>457.51</v>
      </c>
      <c r="E2320" s="1">
        <f ca="1">IFERROR(__xludf.DUMMYFUNCTION("""COMPUTED_VALUE"""),479.86)</f>
        <v>479.86</v>
      </c>
      <c r="F2320" s="1">
        <f ca="1">IFERROR(__xludf.DUMMYFUNCTION("""COMPUTED_VALUE"""),131222978)</f>
        <v>131222978</v>
      </c>
      <c r="G2320" s="5">
        <f t="shared" ca="1" si="108"/>
        <v>-8.2794981869712028E-2</v>
      </c>
      <c r="H2320" s="14">
        <f t="shared" si="109"/>
        <v>2024</v>
      </c>
      <c r="I2320" s="5">
        <f t="shared" ca="1" si="110"/>
        <v>8.3210758562724026E-3</v>
      </c>
      <c r="J2320" s="16"/>
    </row>
    <row r="2321" spans="1:10" x14ac:dyDescent="0.2">
      <c r="A2321" s="3">
        <v>45644</v>
      </c>
      <c r="B2321" s="1">
        <f ca="1">IFERROR(__xludf.DUMMYFUNCTION("""COMPUTED_VALUE"""),466.5)</f>
        <v>466.5</v>
      </c>
      <c r="C2321" s="1">
        <f ca="1">IFERROR(__xludf.DUMMYFUNCTION("""COMPUTED_VALUE"""),488.54)</f>
        <v>488.54</v>
      </c>
      <c r="D2321" s="1">
        <f ca="1">IFERROR(__xludf.DUMMYFUNCTION("""COMPUTED_VALUE"""),427.01)</f>
        <v>427.01</v>
      </c>
      <c r="E2321" s="1">
        <f ca="1">IFERROR(__xludf.DUMMYFUNCTION("""COMPUTED_VALUE"""),440.13)</f>
        <v>440.13</v>
      </c>
      <c r="F2321" s="1">
        <f ca="1">IFERROR(__xludf.DUMMYFUNCTION("""COMPUTED_VALUE"""),149340788)</f>
        <v>149340788</v>
      </c>
      <c r="G2321" s="5">
        <f t="shared" ca="1" si="108"/>
        <v>-8.997341694499306E-3</v>
      </c>
      <c r="H2321" s="14">
        <f t="shared" si="109"/>
        <v>2024</v>
      </c>
      <c r="I2321" s="5">
        <f t="shared" ca="1" si="110"/>
        <v>-5.6527331189710622E-2</v>
      </c>
      <c r="J2321" s="16"/>
    </row>
    <row r="2322" spans="1:10" x14ac:dyDescent="0.2">
      <c r="A2322" s="3">
        <v>45645</v>
      </c>
      <c r="B2322" s="1">
        <f ca="1">IFERROR(__xludf.DUMMYFUNCTION("""COMPUTED_VALUE"""),451.88)</f>
        <v>451.88</v>
      </c>
      <c r="C2322" s="1">
        <f ca="1">IFERROR(__xludf.DUMMYFUNCTION("""COMPUTED_VALUE"""),456.36)</f>
        <v>456.36</v>
      </c>
      <c r="D2322" s="1">
        <f ca="1">IFERROR(__xludf.DUMMYFUNCTION("""COMPUTED_VALUE"""),420.02)</f>
        <v>420.02</v>
      </c>
      <c r="E2322" s="1">
        <f ca="1">IFERROR(__xludf.DUMMYFUNCTION("""COMPUTED_VALUE"""),436.17)</f>
        <v>436.17</v>
      </c>
      <c r="F2322" s="1">
        <f ca="1">IFERROR(__xludf.DUMMYFUNCTION("""COMPUTED_VALUE"""),118566146)</f>
        <v>118566146</v>
      </c>
      <c r="G2322" s="5">
        <f t="shared" ca="1" si="108"/>
        <v>-3.4642455923149261E-2</v>
      </c>
      <c r="H2322" s="14">
        <f t="shared" si="109"/>
        <v>2024</v>
      </c>
      <c r="I2322" s="5">
        <f t="shared" ca="1" si="110"/>
        <v>-3.476586704434801E-2</v>
      </c>
      <c r="J2322" s="16"/>
    </row>
    <row r="2323" spans="1:10" x14ac:dyDescent="0.2">
      <c r="A2323" s="3">
        <v>45646</v>
      </c>
      <c r="B2323" s="1">
        <f ca="1">IFERROR(__xludf.DUMMYFUNCTION("""COMPUTED_VALUE"""),425.51)</f>
        <v>425.51</v>
      </c>
      <c r="C2323" s="1">
        <f ca="1">IFERROR(__xludf.DUMMYFUNCTION("""COMPUTED_VALUE"""),447.08)</f>
        <v>447.08</v>
      </c>
      <c r="D2323" s="1">
        <f ca="1">IFERROR(__xludf.DUMMYFUNCTION("""COMPUTED_VALUE"""),417.64)</f>
        <v>417.64</v>
      </c>
      <c r="E2323" s="1">
        <f ca="1">IFERROR(__xludf.DUMMYFUNCTION("""COMPUTED_VALUE"""),421.06)</f>
        <v>421.06</v>
      </c>
      <c r="F2323" s="1">
        <f ca="1">IFERROR(__xludf.DUMMYFUNCTION("""COMPUTED_VALUE"""),132216176)</f>
        <v>132216176</v>
      </c>
      <c r="G2323" s="5">
        <f t="shared" ca="1" si="108"/>
        <v>2.2657103500688787E-2</v>
      </c>
      <c r="H2323" s="14">
        <f t="shared" si="109"/>
        <v>2024</v>
      </c>
      <c r="I2323" s="5">
        <f t="shared" ca="1" si="110"/>
        <v>-1.0458038588987306E-2</v>
      </c>
      <c r="J2323" s="16"/>
    </row>
    <row r="2324" spans="1:10" x14ac:dyDescent="0.2">
      <c r="A2324" s="3">
        <v>45649</v>
      </c>
      <c r="B2324" s="1">
        <f ca="1">IFERROR(__xludf.DUMMYFUNCTION("""COMPUTED_VALUE"""),431)</f>
        <v>431</v>
      </c>
      <c r="C2324" s="1">
        <f ca="1">IFERROR(__xludf.DUMMYFUNCTION("""COMPUTED_VALUE"""),434.51)</f>
        <v>434.51</v>
      </c>
      <c r="D2324" s="1">
        <f ca="1">IFERROR(__xludf.DUMMYFUNCTION("""COMPUTED_VALUE"""),415.41)</f>
        <v>415.41</v>
      </c>
      <c r="E2324" s="1">
        <f ca="1">IFERROR(__xludf.DUMMYFUNCTION("""COMPUTED_VALUE"""),430.6)</f>
        <v>430.6</v>
      </c>
      <c r="F2324" s="1">
        <f ca="1">IFERROR(__xludf.DUMMYFUNCTION("""COMPUTED_VALUE"""),72698055)</f>
        <v>72698055</v>
      </c>
      <c r="G2324" s="5">
        <f t="shared" ca="1" si="108"/>
        <v>7.3571760334416966E-2</v>
      </c>
      <c r="H2324" s="14">
        <f t="shared" si="109"/>
        <v>2024</v>
      </c>
      <c r="I2324" s="5">
        <f t="shared" ca="1" si="110"/>
        <v>-9.2807424593962238E-4</v>
      </c>
      <c r="J2324" s="16"/>
    </row>
    <row r="2325" spans="1:10" x14ac:dyDescent="0.2">
      <c r="A2325" s="3">
        <v>45650</v>
      </c>
      <c r="B2325" s="1">
        <f ca="1">IFERROR(__xludf.DUMMYFUNCTION("""COMPUTED_VALUE"""),435.9)</f>
        <v>435.9</v>
      </c>
      <c r="C2325" s="1">
        <f ca="1">IFERROR(__xludf.DUMMYFUNCTION("""COMPUTED_VALUE"""),462.78)</f>
        <v>462.78</v>
      </c>
      <c r="D2325" s="1">
        <f ca="1">IFERROR(__xludf.DUMMYFUNCTION("""COMPUTED_VALUE"""),435.14)</f>
        <v>435.14</v>
      </c>
      <c r="E2325" s="1">
        <f ca="1">IFERROR(__xludf.DUMMYFUNCTION("""COMPUTED_VALUE"""),462.28)</f>
        <v>462.28</v>
      </c>
      <c r="F2325" s="1">
        <f ca="1">IFERROR(__xludf.DUMMYFUNCTION("""COMPUTED_VALUE"""),59551750)</f>
        <v>59551750</v>
      </c>
      <c r="G2325" s="5">
        <f t="shared" ca="1" si="108"/>
        <v>-1.7630007787488054E-2</v>
      </c>
      <c r="H2325" s="14">
        <f t="shared" si="109"/>
        <v>2024</v>
      </c>
      <c r="I2325" s="5">
        <f t="shared" ca="1" si="110"/>
        <v>6.051846753842624E-2</v>
      </c>
      <c r="J2325" s="16"/>
    </row>
    <row r="2326" spans="1:10" x14ac:dyDescent="0.2">
      <c r="A2326" s="3">
        <v>45652</v>
      </c>
      <c r="B2326" s="1">
        <f ca="1">IFERROR(__xludf.DUMMYFUNCTION("""COMPUTED_VALUE"""),465.16)</f>
        <v>465.16</v>
      </c>
      <c r="C2326" s="1">
        <f ca="1">IFERROR(__xludf.DUMMYFUNCTION("""COMPUTED_VALUE"""),465.33)</f>
        <v>465.33</v>
      </c>
      <c r="D2326" s="1">
        <f ca="1">IFERROR(__xludf.DUMMYFUNCTION("""COMPUTED_VALUE"""),451.02)</f>
        <v>451.02</v>
      </c>
      <c r="E2326" s="1">
        <f ca="1">IFERROR(__xludf.DUMMYFUNCTION("""COMPUTED_VALUE"""),454.13)</f>
        <v>454.13</v>
      </c>
      <c r="F2326" s="1">
        <f ca="1">IFERROR(__xludf.DUMMYFUNCTION("""COMPUTED_VALUE"""),76651210)</f>
        <v>76651210</v>
      </c>
      <c r="G2326" s="5">
        <f t="shared" ca="1" si="108"/>
        <v>-4.9479224010745754E-2</v>
      </c>
      <c r="H2326" s="14">
        <f t="shared" si="109"/>
        <v>2024</v>
      </c>
      <c r="I2326" s="5">
        <f t="shared" ca="1" si="110"/>
        <v>-2.3712271046521689E-2</v>
      </c>
      <c r="J2326" s="16"/>
    </row>
    <row r="2327" spans="1:10" x14ac:dyDescent="0.2">
      <c r="A2327" s="3">
        <v>45653</v>
      </c>
      <c r="B2327" s="1">
        <f ca="1">IFERROR(__xludf.DUMMYFUNCTION("""COMPUTED_VALUE"""),449.52)</f>
        <v>449.52</v>
      </c>
      <c r="C2327" s="1">
        <f ca="1">IFERROR(__xludf.DUMMYFUNCTION("""COMPUTED_VALUE"""),450)</f>
        <v>450</v>
      </c>
      <c r="D2327" s="1">
        <f ca="1">IFERROR(__xludf.DUMMYFUNCTION("""COMPUTED_VALUE"""),426.5)</f>
        <v>426.5</v>
      </c>
      <c r="E2327" s="1">
        <f ca="1">IFERROR(__xludf.DUMMYFUNCTION("""COMPUTED_VALUE"""),431.66)</f>
        <v>431.66</v>
      </c>
      <c r="F2327" s="1">
        <f ca="1">IFERROR(__xludf.DUMMYFUNCTION("""COMPUTED_VALUE"""),82666821)</f>
        <v>82666821</v>
      </c>
      <c r="G2327" s="5">
        <f t="shared" ca="1" si="108"/>
        <v>-3.3012092850854838E-2</v>
      </c>
      <c r="H2327" s="14">
        <f t="shared" si="109"/>
        <v>2024</v>
      </c>
      <c r="I2327" s="5">
        <f t="shared" ca="1" si="110"/>
        <v>-3.9731268909058454E-2</v>
      </c>
      <c r="J2327" s="16"/>
    </row>
    <row r="2328" spans="1:10" x14ac:dyDescent="0.2">
      <c r="A2328" s="3">
        <v>45656</v>
      </c>
      <c r="B2328" s="1">
        <f ca="1">IFERROR(__xludf.DUMMYFUNCTION("""COMPUTED_VALUE"""),419.4)</f>
        <v>419.4</v>
      </c>
      <c r="C2328" s="1">
        <f ca="1">IFERROR(__xludf.DUMMYFUNCTION("""COMPUTED_VALUE"""),427)</f>
        <v>427</v>
      </c>
      <c r="D2328" s="1">
        <f ca="1">IFERROR(__xludf.DUMMYFUNCTION("""COMPUTED_VALUE"""),415.75)</f>
        <v>415.75</v>
      </c>
      <c r="E2328" s="1">
        <f ca="1">IFERROR(__xludf.DUMMYFUNCTION("""COMPUTED_VALUE"""),417.41)</f>
        <v>417.41</v>
      </c>
      <c r="F2328" s="1">
        <f ca="1">IFERROR(__xludf.DUMMYFUNCTION("""COMPUTED_VALUE"""),64941012)</f>
        <v>64941012</v>
      </c>
      <c r="G2328" s="5">
        <f t="shared" ca="1" si="108"/>
        <v>-3.2510002156153538E-2</v>
      </c>
      <c r="H2328" s="14">
        <f t="shared" si="109"/>
        <v>2024</v>
      </c>
      <c r="I2328" s="5">
        <f t="shared" ca="1" si="110"/>
        <v>-4.7448736289936871E-3</v>
      </c>
      <c r="J2328" s="16"/>
    </row>
    <row r="2329" spans="1:10" x14ac:dyDescent="0.2">
      <c r="A2329" s="3">
        <v>45657</v>
      </c>
      <c r="B2329" s="1">
        <f ca="1">IFERROR(__xludf.DUMMYFUNCTION("""COMPUTED_VALUE"""),423.79)</f>
        <v>423.79</v>
      </c>
      <c r="C2329" s="1">
        <f ca="1">IFERROR(__xludf.DUMMYFUNCTION("""COMPUTED_VALUE"""),427.93)</f>
        <v>427.93</v>
      </c>
      <c r="D2329" s="1">
        <f ca="1">IFERROR(__xludf.DUMMYFUNCTION("""COMPUTED_VALUE"""),402.54)</f>
        <v>402.54</v>
      </c>
      <c r="E2329" s="1">
        <f ca="1">IFERROR(__xludf.DUMMYFUNCTION("""COMPUTED_VALUE"""),403.84)</f>
        <v>403.84</v>
      </c>
      <c r="F2329" s="1">
        <f ca="1">IFERROR(__xludf.DUMMYFUNCTION("""COMPUTED_VALUE"""),76825121)</f>
        <v>76825121</v>
      </c>
      <c r="G2329" s="5">
        <f t="shared" ca="1" si="108"/>
        <v>-6.081616481774961E-2</v>
      </c>
      <c r="H2329" s="14">
        <f t="shared" si="109"/>
        <v>2024</v>
      </c>
      <c r="I2329" s="5">
        <f t="shared" ca="1" si="110"/>
        <v>-4.7075202340782094E-2</v>
      </c>
      <c r="J2329" s="16"/>
    </row>
    <row r="2330" spans="1:10" x14ac:dyDescent="0.2">
      <c r="A2330" s="3">
        <v>45659</v>
      </c>
      <c r="B2330" s="1">
        <f ca="1">IFERROR(__xludf.DUMMYFUNCTION("""COMPUTED_VALUE"""),390.1)</f>
        <v>390.1</v>
      </c>
      <c r="C2330" s="1">
        <f ca="1">IFERROR(__xludf.DUMMYFUNCTION("""COMPUTED_VALUE"""),392.73)</f>
        <v>392.73</v>
      </c>
      <c r="D2330" s="1">
        <f ca="1">IFERROR(__xludf.DUMMYFUNCTION("""COMPUTED_VALUE"""),373.04)</f>
        <v>373.04</v>
      </c>
      <c r="E2330" s="1">
        <f ca="1">IFERROR(__xludf.DUMMYFUNCTION("""COMPUTED_VALUE"""),379.28)</f>
        <v>379.28</v>
      </c>
      <c r="F2330" s="1">
        <f ca="1">IFERROR(__xludf.DUMMYFUNCTION("""COMPUTED_VALUE"""),109710749)</f>
        <v>109710749</v>
      </c>
      <c r="G2330" s="5">
        <f t="shared" ca="1" si="108"/>
        <v>8.2155663362159959E-2</v>
      </c>
      <c r="H2330" s="14">
        <f t="shared" si="109"/>
        <v>2025</v>
      </c>
      <c r="I2330" s="5">
        <f t="shared" ca="1" si="110"/>
        <v>-2.7736477826198536E-2</v>
      </c>
      <c r="J2330" s="16"/>
    </row>
    <row r="2331" spans="1:10" x14ac:dyDescent="0.2">
      <c r="A2331" s="3">
        <v>45660</v>
      </c>
      <c r="B2331" s="1">
        <f ca="1">IFERROR(__xludf.DUMMYFUNCTION("""COMPUTED_VALUE"""),381.48)</f>
        <v>381.48</v>
      </c>
      <c r="C2331" s="1">
        <f ca="1">IFERROR(__xludf.DUMMYFUNCTION("""COMPUTED_VALUE"""),411.88)</f>
        <v>411.88</v>
      </c>
      <c r="D2331" s="1">
        <f ca="1">IFERROR(__xludf.DUMMYFUNCTION("""COMPUTED_VALUE"""),379.45)</f>
        <v>379.45</v>
      </c>
      <c r="E2331" s="1">
        <f ca="1">IFERROR(__xludf.DUMMYFUNCTION("""COMPUTED_VALUE"""),410.44)</f>
        <v>410.44</v>
      </c>
      <c r="F2331" s="1">
        <f ca="1">IFERROR(__xludf.DUMMYFUNCTION("""COMPUTED_VALUE"""),95423329)</f>
        <v>95423329</v>
      </c>
      <c r="G2331" s="5">
        <f t="shared" ca="1" si="108"/>
        <v>1.4862099210603587E-3</v>
      </c>
      <c r="H2331" s="14">
        <f t="shared" si="109"/>
        <v>2025</v>
      </c>
      <c r="I2331" s="5">
        <f t="shared" ca="1" si="110"/>
        <v>7.5914857921778281E-2</v>
      </c>
      <c r="J2331" s="16"/>
    </row>
    <row r="2332" spans="1:10" x14ac:dyDescent="0.2">
      <c r="A2332" s="3">
        <v>45663</v>
      </c>
      <c r="B2332" s="1">
        <f ca="1">IFERROR(__xludf.DUMMYFUNCTION("""COMPUTED_VALUE"""),423.2)</f>
        <v>423.2</v>
      </c>
      <c r="C2332" s="1">
        <f ca="1">IFERROR(__xludf.DUMMYFUNCTION("""COMPUTED_VALUE"""),426.43)</f>
        <v>426.43</v>
      </c>
      <c r="D2332" s="1">
        <f ca="1">IFERROR(__xludf.DUMMYFUNCTION("""COMPUTED_VALUE"""),401.7)</f>
        <v>401.7</v>
      </c>
      <c r="E2332" s="1">
        <f ca="1">IFERROR(__xludf.DUMMYFUNCTION("""COMPUTED_VALUE"""),411.05)</f>
        <v>411.05</v>
      </c>
      <c r="F2332" s="1">
        <f ca="1">IFERROR(__xludf.DUMMYFUNCTION("""COMPUTED_VALUE"""),85516534)</f>
        <v>85516534</v>
      </c>
      <c r="G2332" s="5">
        <f t="shared" ca="1" si="108"/>
        <v>-4.060333292786765E-2</v>
      </c>
      <c r="H2332" s="14">
        <f t="shared" si="109"/>
        <v>2025</v>
      </c>
      <c r="I2332" s="5">
        <f t="shared" ca="1" si="110"/>
        <v>-2.8709829867674806E-2</v>
      </c>
      <c r="J2332" s="16"/>
    </row>
    <row r="2333" spans="1:10" x14ac:dyDescent="0.2">
      <c r="A2333" s="3">
        <v>45664</v>
      </c>
      <c r="B2333" s="1">
        <f ca="1">IFERROR(__xludf.DUMMYFUNCTION("""COMPUTED_VALUE"""),405.83)</f>
        <v>405.83</v>
      </c>
      <c r="C2333" s="1">
        <f ca="1">IFERROR(__xludf.DUMMYFUNCTION("""COMPUTED_VALUE"""),414.33)</f>
        <v>414.33</v>
      </c>
      <c r="D2333" s="1">
        <f ca="1">IFERROR(__xludf.DUMMYFUNCTION("""COMPUTED_VALUE"""),390)</f>
        <v>390</v>
      </c>
      <c r="E2333" s="1">
        <f ca="1">IFERROR(__xludf.DUMMYFUNCTION("""COMPUTED_VALUE"""),394.36)</f>
        <v>394.36</v>
      </c>
      <c r="F2333" s="1">
        <f ca="1">IFERROR(__xludf.DUMMYFUNCTION("""COMPUTED_VALUE"""),75699525)</f>
        <v>75699525</v>
      </c>
      <c r="G2333" s="5">
        <f t="shared" ca="1" si="108"/>
        <v>1.4707373973019172E-3</v>
      </c>
      <c r="H2333" s="14">
        <f t="shared" si="109"/>
        <v>2025</v>
      </c>
      <c r="I2333" s="5">
        <f t="shared" ca="1" si="110"/>
        <v>-2.826306581573558E-2</v>
      </c>
      <c r="J2333" s="16"/>
    </row>
    <row r="2334" spans="1:10" x14ac:dyDescent="0.2">
      <c r="A2334" s="3">
        <v>45665</v>
      </c>
      <c r="B2334" s="1">
        <f ca="1">IFERROR(__xludf.DUMMYFUNCTION("""COMPUTED_VALUE"""),392.95)</f>
        <v>392.95</v>
      </c>
      <c r="C2334" s="1">
        <f ca="1">IFERROR(__xludf.DUMMYFUNCTION("""COMPUTED_VALUE"""),402.5)</f>
        <v>402.5</v>
      </c>
      <c r="D2334" s="1">
        <f ca="1">IFERROR(__xludf.DUMMYFUNCTION("""COMPUTED_VALUE"""),387.4)</f>
        <v>387.4</v>
      </c>
      <c r="E2334" s="1">
        <f ca="1">IFERROR(__xludf.DUMMYFUNCTION("""COMPUTED_VALUE"""),394.94)</f>
        <v>394.94</v>
      </c>
      <c r="F2334" s="1">
        <f ca="1">IFERROR(__xludf.DUMMYFUNCTION("""COMPUTED_VALUE"""),73038805)</f>
        <v>73038805</v>
      </c>
      <c r="G2334" s="5">
        <f t="shared" ca="1" si="108"/>
        <v>-5.0640603635992466E-4</v>
      </c>
      <c r="H2334" s="14">
        <f t="shared" si="109"/>
        <v>2025</v>
      </c>
      <c r="I2334" s="5">
        <f t="shared" ca="1" si="110"/>
        <v>5.0642575391271387E-3</v>
      </c>
      <c r="J2334" s="16"/>
    </row>
    <row r="2335" spans="1:10" x14ac:dyDescent="0.2">
      <c r="A2335" s="3">
        <v>45667</v>
      </c>
      <c r="B2335" s="1">
        <f ca="1">IFERROR(__xludf.DUMMYFUNCTION("""COMPUTED_VALUE"""),391.4)</f>
        <v>391.4</v>
      </c>
      <c r="C2335" s="1">
        <f ca="1">IFERROR(__xludf.DUMMYFUNCTION("""COMPUTED_VALUE"""),399.28)</f>
        <v>399.28</v>
      </c>
      <c r="D2335" s="1">
        <f ca="1">IFERROR(__xludf.DUMMYFUNCTION("""COMPUTED_VALUE"""),377.29)</f>
        <v>377.29</v>
      </c>
      <c r="E2335" s="1">
        <f ca="1">IFERROR(__xludf.DUMMYFUNCTION("""COMPUTED_VALUE"""),394.74)</f>
        <v>394.74</v>
      </c>
      <c r="F2335" s="1">
        <f ca="1">IFERROR(__xludf.DUMMYFUNCTION("""COMPUTED_VALUE"""),62287333)</f>
        <v>62287333</v>
      </c>
      <c r="G2335" s="5">
        <f t="shared" ca="1" si="108"/>
        <v>2.1710492982722786E-2</v>
      </c>
      <c r="H2335" s="14">
        <f t="shared" si="109"/>
        <v>2025</v>
      </c>
      <c r="I2335" s="5">
        <f t="shared" ca="1" si="110"/>
        <v>8.5334695963209806E-3</v>
      </c>
      <c r="J2335" s="16"/>
    </row>
    <row r="2336" spans="1:10" x14ac:dyDescent="0.2">
      <c r="A2336" s="3">
        <v>45670</v>
      </c>
      <c r="B2336" s="1">
        <f ca="1">IFERROR(__xludf.DUMMYFUNCTION("""COMPUTED_VALUE"""),383.21)</f>
        <v>383.21</v>
      </c>
      <c r="C2336" s="1">
        <f ca="1">IFERROR(__xludf.DUMMYFUNCTION("""COMPUTED_VALUE"""),403.79)</f>
        <v>403.79</v>
      </c>
      <c r="D2336" s="1">
        <f ca="1">IFERROR(__xludf.DUMMYFUNCTION("""COMPUTED_VALUE"""),380.07)</f>
        <v>380.07</v>
      </c>
      <c r="E2336" s="1">
        <f ca="1">IFERROR(__xludf.DUMMYFUNCTION("""COMPUTED_VALUE"""),403.31)</f>
        <v>403.31</v>
      </c>
      <c r="F2336" s="1">
        <f ca="1">IFERROR(__xludf.DUMMYFUNCTION("""COMPUTED_VALUE"""),67580494)</f>
        <v>67580494</v>
      </c>
      <c r="G2336" s="5">
        <f t="shared" ca="1" si="108"/>
        <v>-1.723240187448858E-2</v>
      </c>
      <c r="H2336" s="14">
        <f t="shared" si="109"/>
        <v>2025</v>
      </c>
      <c r="I2336" s="5">
        <f t="shared" ca="1" si="110"/>
        <v>5.2451658359646207E-2</v>
      </c>
      <c r="J2336" s="16"/>
    </row>
    <row r="2337" spans="1:10" x14ac:dyDescent="0.2">
      <c r="A2337" s="3">
        <v>45671</v>
      </c>
      <c r="B2337" s="1">
        <f ca="1">IFERROR(__xludf.DUMMYFUNCTION("""COMPUTED_VALUE"""),414.34)</f>
        <v>414.34</v>
      </c>
      <c r="C2337" s="1">
        <f ca="1">IFERROR(__xludf.DUMMYFUNCTION("""COMPUTED_VALUE"""),422.64)</f>
        <v>422.64</v>
      </c>
      <c r="D2337" s="1">
        <f ca="1">IFERROR(__xludf.DUMMYFUNCTION("""COMPUTED_VALUE"""),394.54)</f>
        <v>394.54</v>
      </c>
      <c r="E2337" s="1">
        <f ca="1">IFERROR(__xludf.DUMMYFUNCTION("""COMPUTED_VALUE"""),396.36)</f>
        <v>396.36</v>
      </c>
      <c r="F2337" s="1">
        <f ca="1">IFERROR(__xludf.DUMMYFUNCTION("""COMPUTED_VALUE"""),84565022)</f>
        <v>84565022</v>
      </c>
      <c r="G2337" s="5">
        <f t="shared" ca="1" si="108"/>
        <v>8.0381471389645812E-2</v>
      </c>
      <c r="H2337" s="14">
        <f t="shared" si="109"/>
        <v>2025</v>
      </c>
      <c r="I2337" s="5">
        <f t="shared" ca="1" si="110"/>
        <v>-4.3394313848530104E-2</v>
      </c>
      <c r="J2337" s="16"/>
    </row>
    <row r="2338" spans="1:10" x14ac:dyDescent="0.2">
      <c r="A2338" s="3">
        <v>45672</v>
      </c>
      <c r="B2338" s="1">
        <f ca="1">IFERROR(__xludf.DUMMYFUNCTION("""COMPUTED_VALUE"""),409.9)</f>
        <v>409.9</v>
      </c>
      <c r="C2338" s="1">
        <f ca="1">IFERROR(__xludf.DUMMYFUNCTION("""COMPUTED_VALUE"""),429.8)</f>
        <v>429.8</v>
      </c>
      <c r="D2338" s="1">
        <f ca="1">IFERROR(__xludf.DUMMYFUNCTION("""COMPUTED_VALUE"""),405.66)</f>
        <v>405.66</v>
      </c>
      <c r="E2338" s="1">
        <f ca="1">IFERROR(__xludf.DUMMYFUNCTION("""COMPUTED_VALUE"""),428.22)</f>
        <v>428.22</v>
      </c>
      <c r="F2338" s="1">
        <f ca="1">IFERROR(__xludf.DUMMYFUNCTION("""COMPUTED_VALUE"""),81375460)</f>
        <v>81375460</v>
      </c>
      <c r="G2338" s="5">
        <f t="shared" ca="1" si="108"/>
        <v>-3.3627574611181245E-2</v>
      </c>
      <c r="H2338" s="14">
        <f t="shared" si="109"/>
        <v>2025</v>
      </c>
      <c r="I2338" s="5">
        <f t="shared" ca="1" si="110"/>
        <v>4.4693827762869114E-2</v>
      </c>
      <c r="J2338" s="16"/>
    </row>
    <row r="2339" spans="1:10" x14ac:dyDescent="0.2">
      <c r="A2339" s="3">
        <v>45673</v>
      </c>
      <c r="B2339" s="1">
        <f ca="1">IFERROR(__xludf.DUMMYFUNCTION("""COMPUTED_VALUE"""),423.49)</f>
        <v>423.49</v>
      </c>
      <c r="C2339" s="1">
        <f ca="1">IFERROR(__xludf.DUMMYFUNCTION("""COMPUTED_VALUE"""),424)</f>
        <v>424</v>
      </c>
      <c r="D2339" s="1">
        <f ca="1">IFERROR(__xludf.DUMMYFUNCTION("""COMPUTED_VALUE"""),409.13)</f>
        <v>409.13</v>
      </c>
      <c r="E2339" s="1">
        <f ca="1">IFERROR(__xludf.DUMMYFUNCTION("""COMPUTED_VALUE"""),413.82)</f>
        <v>413.82</v>
      </c>
      <c r="F2339" s="1">
        <f ca="1">IFERROR(__xludf.DUMMYFUNCTION("""COMPUTED_VALUE"""),68335151)</f>
        <v>68335151</v>
      </c>
      <c r="G2339" s="5">
        <f t="shared" ca="1" si="108"/>
        <v>3.0641341646126353E-2</v>
      </c>
      <c r="H2339" s="14">
        <f t="shared" si="109"/>
        <v>2025</v>
      </c>
      <c r="I2339" s="5">
        <f t="shared" ca="1" si="110"/>
        <v>-2.2834069281447062E-2</v>
      </c>
      <c r="J2339" s="16"/>
    </row>
    <row r="2340" spans="1:10" x14ac:dyDescent="0.2">
      <c r="A2340" s="3">
        <v>45674</v>
      </c>
      <c r="B2340" s="1">
        <f ca="1">IFERROR(__xludf.DUMMYFUNCTION("""COMPUTED_VALUE"""),421.5)</f>
        <v>421.5</v>
      </c>
      <c r="C2340" s="1">
        <f ca="1">IFERROR(__xludf.DUMMYFUNCTION("""COMPUTED_VALUE"""),439.74)</f>
        <v>439.74</v>
      </c>
      <c r="D2340" s="1">
        <f ca="1">IFERROR(__xludf.DUMMYFUNCTION("""COMPUTED_VALUE"""),419.75)</f>
        <v>419.75</v>
      </c>
      <c r="E2340" s="1">
        <f ca="1">IFERROR(__xludf.DUMMYFUNCTION("""COMPUTED_VALUE"""),426.5)</f>
        <v>426.5</v>
      </c>
      <c r="F2340" s="1">
        <f ca="1">IFERROR(__xludf.DUMMYFUNCTION("""COMPUTED_VALUE"""),94991429)</f>
        <v>94991429</v>
      </c>
      <c r="G2340" s="5">
        <f t="shared" ca="1" si="108"/>
        <v>-5.697538100820649E-3</v>
      </c>
      <c r="H2340" s="14">
        <f t="shared" si="109"/>
        <v>2025</v>
      </c>
      <c r="I2340" s="5">
        <f t="shared" ca="1" si="110"/>
        <v>1.1862396204033215E-2</v>
      </c>
      <c r="J2340" s="16"/>
    </row>
    <row r="2341" spans="1:10" x14ac:dyDescent="0.2">
      <c r="A2341" s="3">
        <v>45678</v>
      </c>
      <c r="B2341" s="1">
        <f ca="1">IFERROR(__xludf.DUMMYFUNCTION("""COMPUTED_VALUE"""),432.64)</f>
        <v>432.64</v>
      </c>
      <c r="C2341" s="1">
        <f ca="1">IFERROR(__xludf.DUMMYFUNCTION("""COMPUTED_VALUE"""),433.2)</f>
        <v>433.2</v>
      </c>
      <c r="D2341" s="1">
        <f ca="1">IFERROR(__xludf.DUMMYFUNCTION("""COMPUTED_VALUE"""),406.31)</f>
        <v>406.31</v>
      </c>
      <c r="E2341" s="1">
        <f ca="1">IFERROR(__xludf.DUMMYFUNCTION("""COMPUTED_VALUE"""),424.07)</f>
        <v>424.07</v>
      </c>
      <c r="F2341" s="1">
        <f ca="1">IFERROR(__xludf.DUMMYFUNCTION("""COMPUTED_VALUE"""),87320894)</f>
        <v>87320894</v>
      </c>
      <c r="G2341" s="5">
        <f t="shared" ca="1" si="108"/>
        <v>-2.1128587261536963E-2</v>
      </c>
      <c r="H2341" s="14">
        <f t="shared" si="109"/>
        <v>2025</v>
      </c>
      <c r="I2341" s="5">
        <f t="shared" ca="1" si="110"/>
        <v>-1.980861686390531E-2</v>
      </c>
      <c r="J2341" s="16"/>
    </row>
    <row r="2342" spans="1:10" x14ac:dyDescent="0.2">
      <c r="A2342" s="3">
        <v>45679</v>
      </c>
      <c r="B2342" s="1">
        <f ca="1">IFERROR(__xludf.DUMMYFUNCTION("""COMPUTED_VALUE"""),416.81)</f>
        <v>416.81</v>
      </c>
      <c r="C2342" s="1">
        <f ca="1">IFERROR(__xludf.DUMMYFUNCTION("""COMPUTED_VALUE"""),428)</f>
        <v>428</v>
      </c>
      <c r="D2342" s="1">
        <f ca="1">IFERROR(__xludf.DUMMYFUNCTION("""COMPUTED_VALUE"""),414.59)</f>
        <v>414.59</v>
      </c>
      <c r="E2342" s="1">
        <f ca="1">IFERROR(__xludf.DUMMYFUNCTION("""COMPUTED_VALUE"""),415.11)</f>
        <v>415.11</v>
      </c>
      <c r="F2342" s="1">
        <f ca="1">IFERROR(__xludf.DUMMYFUNCTION("""COMPUTED_VALUE"""),60963342)</f>
        <v>60963342</v>
      </c>
      <c r="G2342" s="5">
        <f t="shared" ca="1" si="108"/>
        <v>-6.5765700657657439E-3</v>
      </c>
      <c r="H2342" s="14">
        <f t="shared" si="109"/>
        <v>2025</v>
      </c>
      <c r="I2342" s="5">
        <f t="shared" ca="1" si="110"/>
        <v>-4.0785969626448227E-3</v>
      </c>
      <c r="J2342" s="16"/>
    </row>
    <row r="2343" spans="1:10" x14ac:dyDescent="0.2">
      <c r="A2343" s="3">
        <v>45680</v>
      </c>
      <c r="B2343" s="1">
        <f ca="1">IFERROR(__xludf.DUMMYFUNCTION("""COMPUTED_VALUE"""),416.06)</f>
        <v>416.06</v>
      </c>
      <c r="C2343" s="1">
        <f ca="1">IFERROR(__xludf.DUMMYFUNCTION("""COMPUTED_VALUE"""),420.73)</f>
        <v>420.73</v>
      </c>
      <c r="D2343" s="1">
        <f ca="1">IFERROR(__xludf.DUMMYFUNCTION("""COMPUTED_VALUE"""),408.95)</f>
        <v>408.95</v>
      </c>
      <c r="E2343" s="1">
        <f ca="1">IFERROR(__xludf.DUMMYFUNCTION("""COMPUTED_VALUE"""),412.38)</f>
        <v>412.38</v>
      </c>
      <c r="F2343" s="1">
        <f ca="1">IFERROR(__xludf.DUMMYFUNCTION("""COMPUTED_VALUE"""),50690592)</f>
        <v>50690592</v>
      </c>
      <c r="G2343" s="5">
        <f t="shared" ca="1" si="108"/>
        <v>-1.4064697609001434E-2</v>
      </c>
      <c r="H2343" s="14">
        <f t="shared" si="109"/>
        <v>2025</v>
      </c>
      <c r="I2343" s="5">
        <f t="shared" ca="1" si="110"/>
        <v>-8.8448781425756063E-3</v>
      </c>
      <c r="J2343" s="16"/>
    </row>
    <row r="2344" spans="1:10" x14ac:dyDescent="0.2">
      <c r="A2344" s="3">
        <v>45681</v>
      </c>
      <c r="B2344" s="1">
        <f ca="1">IFERROR(__xludf.DUMMYFUNCTION("""COMPUTED_VALUE"""),414.45)</f>
        <v>414.45</v>
      </c>
      <c r="C2344" s="1">
        <f ca="1">IFERROR(__xludf.DUMMYFUNCTION("""COMPUTED_VALUE"""),418.88)</f>
        <v>418.88</v>
      </c>
      <c r="D2344" s="1">
        <f ca="1">IFERROR(__xludf.DUMMYFUNCTION("""COMPUTED_VALUE"""),405.78)</f>
        <v>405.78</v>
      </c>
      <c r="E2344" s="1">
        <f ca="1">IFERROR(__xludf.DUMMYFUNCTION("""COMPUTED_VALUE"""),406.58)</f>
        <v>406.58</v>
      </c>
      <c r="F2344" s="1">
        <f ca="1">IFERROR(__xludf.DUMMYFUNCTION("""COMPUTED_VALUE"""),56427149)</f>
        <v>56427149</v>
      </c>
      <c r="G2344" s="5">
        <f t="shared" ca="1" si="108"/>
        <v>-2.3193467460278439E-2</v>
      </c>
      <c r="H2344" s="14">
        <f t="shared" si="109"/>
        <v>2025</v>
      </c>
      <c r="I2344" s="5">
        <f t="shared" ca="1" si="110"/>
        <v>-1.8989021594884799E-2</v>
      </c>
      <c r="J2344" s="16"/>
    </row>
    <row r="2345" spans="1:10" x14ac:dyDescent="0.2">
      <c r="A2345" s="3">
        <v>45684</v>
      </c>
      <c r="B2345" s="1">
        <f ca="1">IFERROR(__xludf.DUMMYFUNCTION("""COMPUTED_VALUE"""),394.8)</f>
        <v>394.8</v>
      </c>
      <c r="C2345" s="1">
        <f ca="1">IFERROR(__xludf.DUMMYFUNCTION("""COMPUTED_VALUE"""),406.69)</f>
        <v>406.69</v>
      </c>
      <c r="D2345" s="1">
        <f ca="1">IFERROR(__xludf.DUMMYFUNCTION("""COMPUTED_VALUE"""),389)</f>
        <v>389</v>
      </c>
      <c r="E2345" s="1">
        <f ca="1">IFERROR(__xludf.DUMMYFUNCTION("""COMPUTED_VALUE"""),397.15)</f>
        <v>397.15</v>
      </c>
      <c r="F2345" s="1">
        <f ca="1">IFERROR(__xludf.DUMMYFUNCTION("""COMPUTED_VALUE"""),58125510)</f>
        <v>58125510</v>
      </c>
      <c r="G2345" s="5">
        <f t="shared" ca="1" si="108"/>
        <v>2.3668639053254382E-3</v>
      </c>
      <c r="H2345" s="14">
        <f t="shared" si="109"/>
        <v>2025</v>
      </c>
      <c r="I2345" s="5">
        <f t="shared" ca="1" si="110"/>
        <v>5.9523809523808662E-3</v>
      </c>
      <c r="J2345" s="16"/>
    </row>
    <row r="2346" spans="1:10" x14ac:dyDescent="0.2">
      <c r="A2346" s="3">
        <v>45685</v>
      </c>
      <c r="B2346" s="1">
        <f ca="1">IFERROR(__xludf.DUMMYFUNCTION("""COMPUTED_VALUE"""),396.91)</f>
        <v>396.91</v>
      </c>
      <c r="C2346" s="1">
        <f ca="1">IFERROR(__xludf.DUMMYFUNCTION("""COMPUTED_VALUE"""),400.59)</f>
        <v>400.59</v>
      </c>
      <c r="D2346" s="1">
        <f ca="1">IFERROR(__xludf.DUMMYFUNCTION("""COMPUTED_VALUE"""),386.5)</f>
        <v>386.5</v>
      </c>
      <c r="E2346" s="1">
        <f ca="1">IFERROR(__xludf.DUMMYFUNCTION("""COMPUTED_VALUE"""),398.09)</f>
        <v>398.09</v>
      </c>
      <c r="F2346" s="1">
        <f ca="1">IFERROR(__xludf.DUMMYFUNCTION("""COMPUTED_VALUE"""),48910676)</f>
        <v>48910676</v>
      </c>
      <c r="G2346" s="5">
        <f t="shared" ca="1" si="108"/>
        <v>-2.2582833027707184E-2</v>
      </c>
      <c r="H2346" s="14">
        <f t="shared" si="109"/>
        <v>2025</v>
      </c>
      <c r="I2346" s="5">
        <f t="shared" ca="1" si="110"/>
        <v>2.9729661636137914E-3</v>
      </c>
      <c r="J2346" s="16"/>
    </row>
    <row r="2347" spans="1:10" x14ac:dyDescent="0.2">
      <c r="A2347" s="3">
        <v>45686</v>
      </c>
      <c r="B2347" s="1">
        <f ca="1">IFERROR(__xludf.DUMMYFUNCTION("""COMPUTED_VALUE"""),395.21)</f>
        <v>395.21</v>
      </c>
      <c r="C2347" s="1">
        <f ca="1">IFERROR(__xludf.DUMMYFUNCTION("""COMPUTED_VALUE"""),398.59)</f>
        <v>398.59</v>
      </c>
      <c r="D2347" s="1">
        <f ca="1">IFERROR(__xludf.DUMMYFUNCTION("""COMPUTED_VALUE"""),384.48)</f>
        <v>384.48</v>
      </c>
      <c r="E2347" s="1">
        <f ca="1">IFERROR(__xludf.DUMMYFUNCTION("""COMPUTED_VALUE"""),389.1)</f>
        <v>389.1</v>
      </c>
      <c r="F2347" s="1">
        <f ca="1">IFERROR(__xludf.DUMMYFUNCTION("""COMPUTED_VALUE"""),68033648)</f>
        <v>68033648</v>
      </c>
      <c r="G2347" s="5">
        <f t="shared" ca="1" si="108"/>
        <v>2.8732973528655743E-2</v>
      </c>
      <c r="H2347" s="14">
        <f t="shared" si="109"/>
        <v>2025</v>
      </c>
      <c r="I2347" s="5">
        <f t="shared" ca="1" si="110"/>
        <v>-1.5460135118038402E-2</v>
      </c>
      <c r="J2347" s="16"/>
    </row>
    <row r="2348" spans="1:10" x14ac:dyDescent="0.2">
      <c r="A2348" s="3">
        <v>45687</v>
      </c>
      <c r="B2348" s="1">
        <f ca="1">IFERROR(__xludf.DUMMYFUNCTION("""COMPUTED_VALUE"""),410.78)</f>
        <v>410.78</v>
      </c>
      <c r="C2348" s="1">
        <f ca="1">IFERROR(__xludf.DUMMYFUNCTION("""COMPUTED_VALUE"""),412.5)</f>
        <v>412.5</v>
      </c>
      <c r="D2348" s="1">
        <f ca="1">IFERROR(__xludf.DUMMYFUNCTION("""COMPUTED_VALUE"""),384.41)</f>
        <v>384.41</v>
      </c>
      <c r="E2348" s="1">
        <f ca="1">IFERROR(__xludf.DUMMYFUNCTION("""COMPUTED_VALUE"""),400.28)</f>
        <v>400.28</v>
      </c>
      <c r="F2348" s="1">
        <f ca="1">IFERROR(__xludf.DUMMYFUNCTION("""COMPUTED_VALUE"""),98092879)</f>
        <v>98092879</v>
      </c>
      <c r="G2348" s="5">
        <f t="shared" ca="1" si="108"/>
        <v>1.0792445288298317E-2</v>
      </c>
      <c r="H2348" s="14">
        <f t="shared" si="109"/>
        <v>2025</v>
      </c>
      <c r="I2348" s="5">
        <f t="shared" ca="1" si="110"/>
        <v>-2.5561127610886608E-2</v>
      </c>
      <c r="J2348" s="16"/>
    </row>
    <row r="2349" spans="1:10" x14ac:dyDescent="0.2">
      <c r="A2349" s="3">
        <v>45688</v>
      </c>
      <c r="B2349" s="1">
        <f ca="1">IFERROR(__xludf.DUMMYFUNCTION("""COMPUTED_VALUE"""),401.53)</f>
        <v>401.53</v>
      </c>
      <c r="C2349" s="1">
        <f ca="1">IFERROR(__xludf.DUMMYFUNCTION("""COMPUTED_VALUE"""),419.99)</f>
        <v>419.99</v>
      </c>
      <c r="D2349" s="1">
        <f ca="1">IFERROR(__xludf.DUMMYFUNCTION("""COMPUTED_VALUE"""),401.34)</f>
        <v>401.34</v>
      </c>
      <c r="E2349" s="1">
        <f ca="1">IFERROR(__xludf.DUMMYFUNCTION("""COMPUTED_VALUE"""),404.6)</f>
        <v>404.6</v>
      </c>
      <c r="F2349" s="1">
        <f ca="1">IFERROR(__xludf.DUMMYFUNCTION("""COMPUTED_VALUE"""),83568219)</f>
        <v>83568219</v>
      </c>
      <c r="G2349" s="5">
        <f t="shared" ca="1" si="108"/>
        <v>-5.1705388037568002E-2</v>
      </c>
      <c r="H2349" s="14">
        <f t="shared" si="109"/>
        <v>2025</v>
      </c>
      <c r="I2349" s="5">
        <f t="shared" ca="1" si="110"/>
        <v>7.6457549871741847E-3</v>
      </c>
      <c r="J2349" s="16"/>
    </row>
    <row r="2350" spans="1:10" x14ac:dyDescent="0.2">
      <c r="A2350" s="3">
        <v>45691</v>
      </c>
      <c r="B2350" s="1">
        <f ca="1">IFERROR(__xludf.DUMMYFUNCTION("""COMPUTED_VALUE"""),386.68)</f>
        <v>386.68</v>
      </c>
      <c r="C2350" s="1">
        <f ca="1">IFERROR(__xludf.DUMMYFUNCTION("""COMPUTED_VALUE"""),389.17)</f>
        <v>389.17</v>
      </c>
      <c r="D2350" s="1">
        <f ca="1">IFERROR(__xludf.DUMMYFUNCTION("""COMPUTED_VALUE"""),374.36)</f>
        <v>374.36</v>
      </c>
      <c r="E2350" s="1">
        <f ca="1">IFERROR(__xludf.DUMMYFUNCTION("""COMPUTED_VALUE"""),383.68)</f>
        <v>383.68</v>
      </c>
      <c r="F2350" s="1">
        <f ca="1">IFERROR(__xludf.DUMMYFUNCTION("""COMPUTED_VALUE"""),93732122)</f>
        <v>93732122</v>
      </c>
      <c r="G2350" s="5">
        <f t="shared" ca="1" si="108"/>
        <v>2.22320683903252E-2</v>
      </c>
      <c r="H2350" s="14">
        <f t="shared" si="109"/>
        <v>2025</v>
      </c>
      <c r="I2350" s="5">
        <f t="shared" ca="1" si="110"/>
        <v>-7.758353160235854E-3</v>
      </c>
      <c r="J2350" s="16"/>
    </row>
    <row r="2351" spans="1:10" x14ac:dyDescent="0.2">
      <c r="A2351" s="3">
        <v>45692</v>
      </c>
      <c r="B2351" s="1">
        <f ca="1">IFERROR(__xludf.DUMMYFUNCTION("""COMPUTED_VALUE"""),382.63)</f>
        <v>382.63</v>
      </c>
      <c r="C2351" s="1">
        <f ca="1">IFERROR(__xludf.DUMMYFUNCTION("""COMPUTED_VALUE"""),394)</f>
        <v>394</v>
      </c>
      <c r="D2351" s="1">
        <f ca="1">IFERROR(__xludf.DUMMYFUNCTION("""COMPUTED_VALUE"""),381.4)</f>
        <v>381.4</v>
      </c>
      <c r="E2351" s="1">
        <f ca="1">IFERROR(__xludf.DUMMYFUNCTION("""COMPUTED_VALUE"""),392.21)</f>
        <v>392.21</v>
      </c>
      <c r="F2351" s="1">
        <f ca="1">IFERROR(__xludf.DUMMYFUNCTION("""COMPUTED_VALUE"""),57072235)</f>
        <v>57072235</v>
      </c>
      <c r="G2351" s="5">
        <f t="shared" ca="1" si="108"/>
        <v>-3.5797149486244524E-2</v>
      </c>
      <c r="H2351" s="14">
        <f t="shared" si="109"/>
        <v>2025</v>
      </c>
      <c r="I2351" s="5">
        <f t="shared" ca="1" si="110"/>
        <v>2.5037242244465893E-2</v>
      </c>
      <c r="J2351" s="16"/>
    </row>
    <row r="2352" spans="1:10" x14ac:dyDescent="0.2">
      <c r="A2352" s="3">
        <v>45693</v>
      </c>
      <c r="B2352" s="1">
        <f ca="1">IFERROR(__xludf.DUMMYFUNCTION("""COMPUTED_VALUE"""),387.51)</f>
        <v>387.51</v>
      </c>
      <c r="C2352" s="1">
        <f ca="1">IFERROR(__xludf.DUMMYFUNCTION("""COMPUTED_VALUE"""),388.39)</f>
        <v>388.39</v>
      </c>
      <c r="D2352" s="1">
        <f ca="1">IFERROR(__xludf.DUMMYFUNCTION("""COMPUTED_VALUE"""),375.53)</f>
        <v>375.53</v>
      </c>
      <c r="E2352" s="1">
        <f ca="1">IFERROR(__xludf.DUMMYFUNCTION("""COMPUTED_VALUE"""),378.17)</f>
        <v>378.17</v>
      </c>
      <c r="F2352" s="1">
        <f ca="1">IFERROR(__xludf.DUMMYFUNCTION("""COMPUTED_VALUE"""),57614721)</f>
        <v>57614721</v>
      </c>
      <c r="G2352" s="5">
        <f t="shared" ca="1" si="108"/>
        <v>-1.0180606605494942E-2</v>
      </c>
      <c r="H2352" s="14">
        <f t="shared" si="109"/>
        <v>2025</v>
      </c>
      <c r="I2352" s="5">
        <f t="shared" ca="1" si="110"/>
        <v>-2.4102603803772743E-2</v>
      </c>
      <c r="J2352" s="16"/>
    </row>
    <row r="2353" spans="1:10" x14ac:dyDescent="0.2">
      <c r="A2353" s="3">
        <v>45694</v>
      </c>
      <c r="B2353" s="1">
        <f ca="1">IFERROR(__xludf.DUMMYFUNCTION("""COMPUTED_VALUE"""),373.03)</f>
        <v>373.03</v>
      </c>
      <c r="C2353" s="1">
        <f ca="1">IFERROR(__xludf.DUMMYFUNCTION("""COMPUTED_VALUE"""),375.4)</f>
        <v>375.4</v>
      </c>
      <c r="D2353" s="1">
        <f ca="1">IFERROR(__xludf.DUMMYFUNCTION("""COMPUTED_VALUE"""),363.18)</f>
        <v>363.18</v>
      </c>
      <c r="E2353" s="1">
        <f ca="1">IFERROR(__xludf.DUMMYFUNCTION("""COMPUTED_VALUE"""),374.32)</f>
        <v>374.32</v>
      </c>
      <c r="F2353" s="1">
        <f ca="1">IFERROR(__xludf.DUMMYFUNCTION("""COMPUTED_VALUE"""),77918230)</f>
        <v>77918230</v>
      </c>
      <c r="G2353" s="5">
        <f t="shared" ca="1" si="108"/>
        <v>-3.3928189784141881E-2</v>
      </c>
      <c r="H2353" s="14">
        <f t="shared" si="109"/>
        <v>2025</v>
      </c>
      <c r="I2353" s="5">
        <f t="shared" ca="1" si="110"/>
        <v>3.4581669034662644E-3</v>
      </c>
      <c r="J2353" s="16"/>
    </row>
    <row r="2354" spans="1:10" x14ac:dyDescent="0.2">
      <c r="A2354" s="3">
        <v>45695</v>
      </c>
      <c r="B2354" s="1">
        <f ca="1">IFERROR(__xludf.DUMMYFUNCTION("""COMPUTED_VALUE"""),370.19)</f>
        <v>370.19</v>
      </c>
      <c r="C2354" s="1">
        <f ca="1">IFERROR(__xludf.DUMMYFUNCTION("""COMPUTED_VALUE"""),380.55)</f>
        <v>380.55</v>
      </c>
      <c r="D2354" s="1">
        <f ca="1">IFERROR(__xludf.DUMMYFUNCTION("""COMPUTED_VALUE"""),360.34)</f>
        <v>360.34</v>
      </c>
      <c r="E2354" s="1">
        <f ca="1">IFERROR(__xludf.DUMMYFUNCTION("""COMPUTED_VALUE"""),361.62)</f>
        <v>361.62</v>
      </c>
      <c r="F2354" s="1">
        <f ca="1">IFERROR(__xludf.DUMMYFUNCTION("""COMPUTED_VALUE"""),70298258)</f>
        <v>70298258</v>
      </c>
      <c r="G2354" s="5">
        <f t="shared" ca="1" si="108"/>
        <v>-3.0114484818317532E-2</v>
      </c>
      <c r="H2354" s="14">
        <f t="shared" si="109"/>
        <v>2025</v>
      </c>
      <c r="I2354" s="5">
        <f t="shared" ca="1" si="110"/>
        <v>-2.3150274183527358E-2</v>
      </c>
      <c r="J2354" s="16"/>
    </row>
    <row r="2355" spans="1:10" x14ac:dyDescent="0.2">
      <c r="A2355" s="3">
        <v>45698</v>
      </c>
      <c r="B2355" s="1">
        <f ca="1">IFERROR(__xludf.DUMMYFUNCTION("""COMPUTED_VALUE"""),356.21)</f>
        <v>356.21</v>
      </c>
      <c r="C2355" s="1">
        <f ca="1">IFERROR(__xludf.DUMMYFUNCTION("""COMPUTED_VALUE"""),362.7)</f>
        <v>362.7</v>
      </c>
      <c r="D2355" s="1">
        <f ca="1">IFERROR(__xludf.DUMMYFUNCTION("""COMPUTED_VALUE"""),350.51)</f>
        <v>350.51</v>
      </c>
      <c r="E2355" s="1">
        <f ca="1">IFERROR(__xludf.DUMMYFUNCTION("""COMPUTED_VALUE"""),350.73)</f>
        <v>350.73</v>
      </c>
      <c r="F2355" s="1">
        <f ca="1">IFERROR(__xludf.DUMMYFUNCTION("""COMPUTED_VALUE"""),77514903)</f>
        <v>77514903</v>
      </c>
      <c r="G2355" s="5">
        <f t="shared" ca="1" si="108"/>
        <v>-6.3382088786245877E-2</v>
      </c>
      <c r="H2355" s="14">
        <f t="shared" si="109"/>
        <v>2025</v>
      </c>
      <c r="I2355" s="5">
        <f t="shared" ca="1" si="110"/>
        <v>-1.5384183487268638E-2</v>
      </c>
      <c r="J2355" s="16"/>
    </row>
    <row r="2356" spans="1:10" x14ac:dyDescent="0.2">
      <c r="A2356" s="3">
        <v>45699</v>
      </c>
      <c r="B2356" s="1">
        <f ca="1">IFERROR(__xludf.DUMMYFUNCTION("""COMPUTED_VALUE"""),345.8)</f>
        <v>345.8</v>
      </c>
      <c r="C2356" s="1">
        <f ca="1">IFERROR(__xludf.DUMMYFUNCTION("""COMPUTED_VALUE"""),349.37)</f>
        <v>349.37</v>
      </c>
      <c r="D2356" s="1">
        <f ca="1">IFERROR(__xludf.DUMMYFUNCTION("""COMPUTED_VALUE"""),325.1)</f>
        <v>325.10000000000002</v>
      </c>
      <c r="E2356" s="1">
        <f ca="1">IFERROR(__xludf.DUMMYFUNCTION("""COMPUTED_VALUE"""),328.5)</f>
        <v>328.5</v>
      </c>
      <c r="F2356" s="1">
        <f ca="1">IFERROR(__xludf.DUMMYFUNCTION("""COMPUTED_VALUE"""),118543400)</f>
        <v>118543400</v>
      </c>
      <c r="G2356" s="5">
        <f t="shared" ca="1" si="108"/>
        <v>2.4383561643835587E-2</v>
      </c>
      <c r="H2356" s="14">
        <f t="shared" si="109"/>
        <v>2025</v>
      </c>
      <c r="I2356" s="5">
        <f t="shared" ca="1" si="110"/>
        <v>-5.0028918449971115E-2</v>
      </c>
      <c r="J2356" s="16"/>
    </row>
    <row r="2357" spans="1:10" x14ac:dyDescent="0.2">
      <c r="A2357" s="3">
        <v>45700</v>
      </c>
      <c r="B2357" s="1">
        <f ca="1">IFERROR(__xludf.DUMMYFUNCTION("""COMPUTED_VALUE"""),329.94)</f>
        <v>329.94</v>
      </c>
      <c r="C2357" s="1">
        <f ca="1">IFERROR(__xludf.DUMMYFUNCTION("""COMPUTED_VALUE"""),346.4)</f>
        <v>346.4</v>
      </c>
      <c r="D2357" s="1">
        <f ca="1">IFERROR(__xludf.DUMMYFUNCTION("""COMPUTED_VALUE"""),329.12)</f>
        <v>329.12</v>
      </c>
      <c r="E2357" s="1">
        <f ca="1">IFERROR(__xludf.DUMMYFUNCTION("""COMPUTED_VALUE"""),336.51)</f>
        <v>336.51</v>
      </c>
      <c r="F2357" s="1">
        <f ca="1">IFERROR(__xludf.DUMMYFUNCTION("""COMPUTED_VALUE"""),105382729)</f>
        <v>105382729</v>
      </c>
      <c r="G2357" s="5">
        <f t="shared" ca="1" si="108"/>
        <v>5.773974027517758E-2</v>
      </c>
      <c r="H2357" s="14">
        <f t="shared" si="109"/>
        <v>2025</v>
      </c>
      <c r="I2357" s="5">
        <f t="shared" ca="1" si="110"/>
        <v>1.9912711402073083E-2</v>
      </c>
      <c r="J2357" s="16"/>
    </row>
    <row r="2358" spans="1:10" x14ac:dyDescent="0.2">
      <c r="A2358" s="3">
        <v>45701</v>
      </c>
      <c r="B2358" s="1">
        <f ca="1">IFERROR(__xludf.DUMMYFUNCTION("""COMPUTED_VALUE"""),345)</f>
        <v>345</v>
      </c>
      <c r="C2358" s="1">
        <f ca="1">IFERROR(__xludf.DUMMYFUNCTION("""COMPUTED_VALUE"""),358.69)</f>
        <v>358.69</v>
      </c>
      <c r="D2358" s="1">
        <f ca="1">IFERROR(__xludf.DUMMYFUNCTION("""COMPUTED_VALUE"""),342.85)</f>
        <v>342.85</v>
      </c>
      <c r="E2358" s="1">
        <f ca="1">IFERROR(__xludf.DUMMYFUNCTION("""COMPUTED_VALUE"""),355.94)</f>
        <v>355.94</v>
      </c>
      <c r="F2358" s="1">
        <f ca="1">IFERROR(__xludf.DUMMYFUNCTION("""COMPUTED_VALUE"""),89441519)</f>
        <v>89441519</v>
      </c>
      <c r="G2358" s="5">
        <f t="shared" ca="1" si="108"/>
        <v>-2.8094622689223673E-4</v>
      </c>
      <c r="H2358" s="14">
        <f t="shared" si="109"/>
        <v>2025</v>
      </c>
      <c r="I2358" s="5">
        <f t="shared" ca="1" si="110"/>
        <v>3.1710144927536224E-2</v>
      </c>
      <c r="J2358" s="16"/>
    </row>
    <row r="2359" spans="1:10" x14ac:dyDescent="0.2">
      <c r="A2359" s="3">
        <v>45702</v>
      </c>
      <c r="B2359" s="1">
        <f ca="1">IFERROR(__xludf.DUMMYFUNCTION("""COMPUTED_VALUE"""),360.62)</f>
        <v>360.62</v>
      </c>
      <c r="C2359" s="1">
        <f ca="1">IFERROR(__xludf.DUMMYFUNCTION("""COMPUTED_VALUE"""),362)</f>
        <v>362</v>
      </c>
      <c r="D2359" s="1">
        <f ca="1">IFERROR(__xludf.DUMMYFUNCTION("""COMPUTED_VALUE"""),347.5)</f>
        <v>347.5</v>
      </c>
      <c r="E2359" s="1">
        <f ca="1">IFERROR(__xludf.DUMMYFUNCTION("""COMPUTED_VALUE"""),355.84)</f>
        <v>355.84</v>
      </c>
      <c r="F2359" s="1">
        <f ca="1">IFERROR(__xludf.DUMMYFUNCTION("""COMPUTED_VALUE"""),68277279)</f>
        <v>68277279</v>
      </c>
      <c r="G2359" s="5">
        <f t="shared" ca="1" si="108"/>
        <v>-4.8617356115106831E-3</v>
      </c>
      <c r="H2359" s="14">
        <f t="shared" si="109"/>
        <v>2025</v>
      </c>
      <c r="I2359" s="5">
        <f t="shared" ca="1" si="110"/>
        <v>-1.3254949808662941E-2</v>
      </c>
      <c r="J2359" s="16"/>
    </row>
    <row r="2360" spans="1:10" x14ac:dyDescent="0.2">
      <c r="A2360" s="3">
        <v>45706</v>
      </c>
      <c r="B2360" s="1">
        <f ca="1">IFERROR(__xludf.DUMMYFUNCTION("""COMPUTED_VALUE"""),355.01)</f>
        <v>355.01</v>
      </c>
      <c r="C2360" s="1">
        <f ca="1">IFERROR(__xludf.DUMMYFUNCTION("""COMPUTED_VALUE"""),359.1)</f>
        <v>359.1</v>
      </c>
      <c r="D2360" s="1">
        <f ca="1">IFERROR(__xludf.DUMMYFUNCTION("""COMPUTED_VALUE"""),350.02)</f>
        <v>350.02</v>
      </c>
      <c r="E2360" s="1">
        <f ca="1">IFERROR(__xludf.DUMMYFUNCTION("""COMPUTED_VALUE"""),354.11)</f>
        <v>354.11</v>
      </c>
      <c r="F2360" s="1">
        <f ca="1">IFERROR(__xludf.DUMMYFUNCTION("""COMPUTED_VALUE"""),51631702)</f>
        <v>51631702</v>
      </c>
      <c r="G2360" s="5">
        <f t="shared" ca="1" si="108"/>
        <v>1.8214679054531044E-2</v>
      </c>
      <c r="H2360" s="14">
        <f t="shared" si="109"/>
        <v>2025</v>
      </c>
      <c r="I2360" s="5">
        <f t="shared" ca="1" si="110"/>
        <v>-2.5351398552152819E-3</v>
      </c>
      <c r="J2360" s="16"/>
    </row>
    <row r="2361" spans="1:10" x14ac:dyDescent="0.2">
      <c r="A2361" s="3">
        <v>45707</v>
      </c>
      <c r="B2361" s="1">
        <f ca="1">IFERROR(__xludf.DUMMYFUNCTION("""COMPUTED_VALUE"""),354)</f>
        <v>354</v>
      </c>
      <c r="C2361" s="1">
        <f ca="1">IFERROR(__xludf.DUMMYFUNCTION("""COMPUTED_VALUE"""),367.34)</f>
        <v>367.34</v>
      </c>
      <c r="D2361" s="1">
        <f ca="1">IFERROR(__xludf.DUMMYFUNCTION("""COMPUTED_VALUE"""),353.67)</f>
        <v>353.67</v>
      </c>
      <c r="E2361" s="1">
        <f ca="1">IFERROR(__xludf.DUMMYFUNCTION("""COMPUTED_VALUE"""),360.56)</f>
        <v>360.56</v>
      </c>
      <c r="F2361" s="1">
        <f ca="1">IFERROR(__xludf.DUMMYFUNCTION("""COMPUTED_VALUE"""),67094374)</f>
        <v>67094374</v>
      </c>
      <c r="G2361" s="5">
        <f t="shared" ca="1" si="108"/>
        <v>-1.7084535167517265E-2</v>
      </c>
      <c r="H2361" s="14">
        <f t="shared" si="109"/>
        <v>2025</v>
      </c>
      <c r="I2361" s="5">
        <f t="shared" ca="1" si="110"/>
        <v>1.8531073446327689E-2</v>
      </c>
      <c r="J2361" s="16"/>
    </row>
    <row r="2362" spans="1:10" x14ac:dyDescent="0.2">
      <c r="A2362" s="3">
        <v>45708</v>
      </c>
      <c r="B2362" s="1">
        <f ca="1">IFERROR(__xludf.DUMMYFUNCTION("""COMPUTED_VALUE"""),361.51)</f>
        <v>361.51</v>
      </c>
      <c r="C2362" s="1">
        <f ca="1">IFERROR(__xludf.DUMMYFUNCTION("""COMPUTED_VALUE"""),362.3)</f>
        <v>362.3</v>
      </c>
      <c r="D2362" s="1">
        <f ca="1">IFERROR(__xludf.DUMMYFUNCTION("""COMPUTED_VALUE"""),348)</f>
        <v>348</v>
      </c>
      <c r="E2362" s="1">
        <f ca="1">IFERROR(__xludf.DUMMYFUNCTION("""COMPUTED_VALUE"""),354.4)</f>
        <v>354.4</v>
      </c>
      <c r="F2362" s="1">
        <f ca="1">IFERROR(__xludf.DUMMYFUNCTION("""COMPUTED_VALUE"""),45965354)</f>
        <v>45965354</v>
      </c>
      <c r="G2362" s="5">
        <f t="shared" ca="1" si="108"/>
        <v>-4.6839729119638733E-2</v>
      </c>
      <c r="H2362" s="14">
        <f t="shared" si="109"/>
        <v>2025</v>
      </c>
      <c r="I2362" s="5">
        <f t="shared" ca="1" si="110"/>
        <v>-1.9667505739813598E-2</v>
      </c>
      <c r="J2362" s="16"/>
    </row>
    <row r="2363" spans="1:10" x14ac:dyDescent="0.2">
      <c r="A2363" s="3">
        <v>45709</v>
      </c>
      <c r="B2363" s="1">
        <f ca="1">IFERROR(__xludf.DUMMYFUNCTION("""COMPUTED_VALUE"""),353.44)</f>
        <v>353.44</v>
      </c>
      <c r="C2363" s="1">
        <f ca="1">IFERROR(__xludf.DUMMYFUNCTION("""COMPUTED_VALUE"""),354.98)</f>
        <v>354.98</v>
      </c>
      <c r="D2363" s="1">
        <f ca="1">IFERROR(__xludf.DUMMYFUNCTION("""COMPUTED_VALUE"""),334.42)</f>
        <v>334.42</v>
      </c>
      <c r="E2363" s="1">
        <f ca="1">IFERROR(__xludf.DUMMYFUNCTION("""COMPUTED_VALUE"""),337.8)</f>
        <v>337.8</v>
      </c>
      <c r="F2363" s="1">
        <f ca="1">IFERROR(__xludf.DUMMYFUNCTION("""COMPUTED_VALUE"""),74058648)</f>
        <v>74058648</v>
      </c>
      <c r="G2363" s="5">
        <f t="shared" ca="1" si="108"/>
        <v>-2.1521610420367196E-2</v>
      </c>
      <c r="H2363" s="14">
        <f t="shared" si="109"/>
        <v>2025</v>
      </c>
      <c r="I2363" s="5">
        <f t="shared" ca="1" si="110"/>
        <v>-4.4250792213671307E-2</v>
      </c>
      <c r="J2363" s="16"/>
    </row>
    <row r="2364" spans="1:10" x14ac:dyDescent="0.2">
      <c r="A2364" s="3">
        <v>45712</v>
      </c>
      <c r="B2364" s="1">
        <f ca="1">IFERROR(__xludf.DUMMYFUNCTION("""COMPUTED_VALUE"""),338.14)</f>
        <v>338.14</v>
      </c>
      <c r="C2364" s="1">
        <f ca="1">IFERROR(__xludf.DUMMYFUNCTION("""COMPUTED_VALUE"""),342.4)</f>
        <v>342.4</v>
      </c>
      <c r="D2364" s="1">
        <f ca="1">IFERROR(__xludf.DUMMYFUNCTION("""COMPUTED_VALUE"""),324.7)</f>
        <v>324.7</v>
      </c>
      <c r="E2364" s="1">
        <f ca="1">IFERROR(__xludf.DUMMYFUNCTION("""COMPUTED_VALUE"""),330.53)</f>
        <v>330.53</v>
      </c>
      <c r="F2364" s="1">
        <f ca="1">IFERROR(__xludf.DUMMYFUNCTION("""COMPUTED_VALUE"""),76052321)</f>
        <v>76052321</v>
      </c>
      <c r="G2364" s="5">
        <f t="shared" ca="1" si="108"/>
        <v>-8.3895561673675498E-2</v>
      </c>
      <c r="H2364" s="14">
        <f t="shared" si="109"/>
        <v>2025</v>
      </c>
      <c r="I2364" s="5">
        <f t="shared" ca="1" si="110"/>
        <v>-2.250547110664226E-2</v>
      </c>
      <c r="J2364" s="16"/>
    </row>
    <row r="2365" spans="1:10" x14ac:dyDescent="0.2">
      <c r="A2365" s="3">
        <v>45713</v>
      </c>
      <c r="B2365" s="1">
        <f ca="1">IFERROR(__xludf.DUMMYFUNCTION("""COMPUTED_VALUE"""),327.02)</f>
        <v>327.02</v>
      </c>
      <c r="C2365" s="1">
        <f ca="1">IFERROR(__xludf.DUMMYFUNCTION("""COMPUTED_VALUE"""),328.89)</f>
        <v>328.89</v>
      </c>
      <c r="D2365" s="1">
        <f ca="1">IFERROR(__xludf.DUMMYFUNCTION("""COMPUTED_VALUE"""),297.25)</f>
        <v>297.25</v>
      </c>
      <c r="E2365" s="1">
        <f ca="1">IFERROR(__xludf.DUMMYFUNCTION("""COMPUTED_VALUE"""),302.8)</f>
        <v>302.8</v>
      </c>
      <c r="F2365" s="1">
        <f ca="1">IFERROR(__xludf.DUMMYFUNCTION("""COMPUTED_VALUE"""),134228777)</f>
        <v>134228777</v>
      </c>
      <c r="G2365" s="5">
        <f t="shared" ca="1" si="108"/>
        <v>-3.9630118890356669E-2</v>
      </c>
      <c r="H2365" s="14">
        <f t="shared" si="109"/>
        <v>2025</v>
      </c>
      <c r="I2365" s="5">
        <f t="shared" ca="1" si="110"/>
        <v>-7.4062748455751851E-2</v>
      </c>
      <c r="J2365" s="16"/>
    </row>
    <row r="2366" spans="1:10" x14ac:dyDescent="0.2">
      <c r="A2366" s="3">
        <v>45714</v>
      </c>
      <c r="B2366" s="1">
        <f ca="1">IFERROR(__xludf.DUMMYFUNCTION("""COMPUTED_VALUE"""),303.71)</f>
        <v>303.70999999999998</v>
      </c>
      <c r="C2366" s="1">
        <f ca="1">IFERROR(__xludf.DUMMYFUNCTION("""COMPUTED_VALUE"""),309)</f>
        <v>309</v>
      </c>
      <c r="D2366" s="1">
        <f ca="1">IFERROR(__xludf.DUMMYFUNCTION("""COMPUTED_VALUE"""),288.04)</f>
        <v>288.04000000000002</v>
      </c>
      <c r="E2366" s="1">
        <f ca="1">IFERROR(__xludf.DUMMYFUNCTION("""COMPUTED_VALUE"""),290.8)</f>
        <v>290.8</v>
      </c>
      <c r="F2366" s="1">
        <f ca="1">IFERROR(__xludf.DUMMYFUNCTION("""COMPUTED_VALUE"""),100118276)</f>
        <v>100118276</v>
      </c>
      <c r="G2366" s="5">
        <f t="shared" ca="1" si="108"/>
        <v>-3.0433287482806128E-2</v>
      </c>
      <c r="H2366" s="14">
        <f t="shared" si="109"/>
        <v>2025</v>
      </c>
      <c r="I2366" s="5">
        <f t="shared" ca="1" si="110"/>
        <v>-4.2507655329096734E-2</v>
      </c>
      <c r="J2366" s="16"/>
    </row>
    <row r="2367" spans="1:10" x14ac:dyDescent="0.2">
      <c r="A2367" s="3">
        <v>45715</v>
      </c>
      <c r="B2367" s="1">
        <f ca="1">IFERROR(__xludf.DUMMYFUNCTION("""COMPUTED_VALUE"""),291.16)</f>
        <v>291.16000000000003</v>
      </c>
      <c r="C2367" s="1">
        <f ca="1">IFERROR(__xludf.DUMMYFUNCTION("""COMPUTED_VALUE"""),297.23)</f>
        <v>297.23</v>
      </c>
      <c r="D2367" s="1">
        <f ca="1">IFERROR(__xludf.DUMMYFUNCTION("""COMPUTED_VALUE"""),280.88)</f>
        <v>280.88</v>
      </c>
      <c r="E2367" s="1">
        <f ca="1">IFERROR(__xludf.DUMMYFUNCTION("""COMPUTED_VALUE"""),281.95)</f>
        <v>281.95</v>
      </c>
      <c r="F2367" s="1">
        <f ca="1">IFERROR(__xludf.DUMMYFUNCTION("""COMPUTED_VALUE"""),101748197)</f>
        <v>101748197</v>
      </c>
      <c r="G2367" s="5">
        <f t="shared" ca="1" si="108"/>
        <v>3.9120411420464726E-2</v>
      </c>
      <c r="H2367" s="14">
        <f t="shared" si="109"/>
        <v>2025</v>
      </c>
      <c r="I2367" s="5">
        <f t="shared" ca="1" si="110"/>
        <v>-3.1632092320373797E-2</v>
      </c>
      <c r="J2367" s="16"/>
    </row>
    <row r="2368" spans="1:10" x14ac:dyDescent="0.2">
      <c r="A2368" s="3">
        <v>45716</v>
      </c>
      <c r="B2368" s="1">
        <f ca="1">IFERROR(__xludf.DUMMYFUNCTION("""COMPUTED_VALUE"""),279.5)</f>
        <v>279.5</v>
      </c>
      <c r="C2368" s="1">
        <f ca="1">IFERROR(__xludf.DUMMYFUNCTION("""COMPUTED_VALUE"""),293.88)</f>
        <v>293.88</v>
      </c>
      <c r="D2368" s="1">
        <f ca="1">IFERROR(__xludf.DUMMYFUNCTION("""COMPUTED_VALUE"""),273.6)</f>
        <v>273.60000000000002</v>
      </c>
      <c r="E2368" s="1">
        <f ca="1">IFERROR(__xludf.DUMMYFUNCTION("""COMPUTED_VALUE"""),292.98)</f>
        <v>292.98</v>
      </c>
      <c r="F2368" s="1">
        <f ca="1">IFERROR(__xludf.DUMMYFUNCTION("""COMPUTED_VALUE"""),115696968)</f>
        <v>115696968</v>
      </c>
      <c r="G2368" s="5">
        <f t="shared" ca="1" si="108"/>
        <v>-2.8431974878831458E-2</v>
      </c>
      <c r="H2368" s="14">
        <f t="shared" si="109"/>
        <v>2025</v>
      </c>
      <c r="I2368" s="5">
        <f t="shared" ca="1" si="110"/>
        <v>4.8228980322003644E-2</v>
      </c>
      <c r="J2368" s="16"/>
    </row>
    <row r="2369" spans="1:10" x14ac:dyDescent="0.2">
      <c r="A2369" s="3">
        <v>45719</v>
      </c>
      <c r="B2369" s="1">
        <f ca="1">IFERROR(__xludf.DUMMYFUNCTION("""COMPUTED_VALUE"""),300.34)</f>
        <v>300.33999999999997</v>
      </c>
      <c r="C2369" s="1">
        <f ca="1">IFERROR(__xludf.DUMMYFUNCTION("""COMPUTED_VALUE"""),303.94)</f>
        <v>303.94</v>
      </c>
      <c r="D2369" s="1">
        <f ca="1">IFERROR(__xludf.DUMMYFUNCTION("""COMPUTED_VALUE"""),277.3)</f>
        <v>277.3</v>
      </c>
      <c r="E2369" s="1">
        <f ca="1">IFERROR(__xludf.DUMMYFUNCTION("""COMPUTED_VALUE"""),284.65)</f>
        <v>284.64999999999998</v>
      </c>
      <c r="F2369" s="1">
        <f ca="1">IFERROR(__xludf.DUMMYFUNCTION("""COMPUTED_VALUE"""),115551414)</f>
        <v>115551414</v>
      </c>
      <c r="G2369" s="5">
        <f t="shared" ca="1" si="108"/>
        <v>-4.4300017565431081E-2</v>
      </c>
      <c r="H2369" s="14">
        <f t="shared" si="109"/>
        <v>2025</v>
      </c>
      <c r="I2369" s="5">
        <f t="shared" ca="1" si="110"/>
        <v>-5.2240793767063989E-2</v>
      </c>
      <c r="J2369" s="16"/>
    </row>
    <row r="2370" spans="1:10" x14ac:dyDescent="0.2">
      <c r="A2370" s="3">
        <v>45720</v>
      </c>
      <c r="B2370" s="1">
        <f ca="1">IFERROR(__xludf.DUMMYFUNCTION("""COMPUTED_VALUE"""),270.93)</f>
        <v>270.93</v>
      </c>
      <c r="C2370" s="1">
        <f ca="1">IFERROR(__xludf.DUMMYFUNCTION("""COMPUTED_VALUE"""),284.35)</f>
        <v>284.35000000000002</v>
      </c>
      <c r="D2370" s="1">
        <f ca="1">IFERROR(__xludf.DUMMYFUNCTION("""COMPUTED_VALUE"""),261.84)</f>
        <v>261.83999999999997</v>
      </c>
      <c r="E2370" s="1">
        <f ca="1">IFERROR(__xludf.DUMMYFUNCTION("""COMPUTED_VALUE"""),272.04)</f>
        <v>272.04000000000002</v>
      </c>
      <c r="F2370" s="1">
        <f ca="1">IFERROR(__xludf.DUMMYFUNCTION("""COMPUTED_VALUE"""),126706623)</f>
        <v>126706623</v>
      </c>
      <c r="G2370" s="5">
        <f t="shared" ca="1" si="108"/>
        <v>2.595206587266579E-2</v>
      </c>
      <c r="H2370" s="14">
        <f t="shared" si="109"/>
        <v>2025</v>
      </c>
      <c r="I2370" s="5">
        <f t="shared" ca="1" si="110"/>
        <v>4.0969992248920889E-3</v>
      </c>
      <c r="J2370" s="16"/>
    </row>
    <row r="2371" spans="1:10" x14ac:dyDescent="0.2">
      <c r="A2371" s="3">
        <v>45721</v>
      </c>
      <c r="B2371" s="1">
        <f ca="1">IFERROR(__xludf.DUMMYFUNCTION("""COMPUTED_VALUE"""),272.92)</f>
        <v>272.92</v>
      </c>
      <c r="C2371" s="1">
        <f ca="1">IFERROR(__xludf.DUMMYFUNCTION("""COMPUTED_VALUE"""),279.55)</f>
        <v>279.55</v>
      </c>
      <c r="D2371" s="1">
        <f ca="1">IFERROR(__xludf.DUMMYFUNCTION("""COMPUTED_VALUE"""),267.71)</f>
        <v>267.70999999999998</v>
      </c>
      <c r="E2371" s="1">
        <f ca="1">IFERROR(__xludf.DUMMYFUNCTION("""COMPUTED_VALUE"""),279.1)</f>
        <v>279.10000000000002</v>
      </c>
      <c r="F2371" s="1">
        <f ca="1">IFERROR(__xludf.DUMMYFUNCTION("""COMPUTED_VALUE"""),94042913)</f>
        <v>94042913</v>
      </c>
      <c r="G2371" s="5">
        <f t="shared" ref="G2371:G2434" ca="1" si="111">(E2372-E2371)/E2371</f>
        <v>-5.607309208169127E-2</v>
      </c>
      <c r="H2371" s="14">
        <f t="shared" ref="H2371:H2434" si="112">YEAR(A2371)</f>
        <v>2025</v>
      </c>
      <c r="I2371" s="5">
        <f t="shared" ref="I2371:I2434" ca="1" si="113">((E2371 - B2371) / B2371)</f>
        <v>2.2643998241242878E-2</v>
      </c>
      <c r="J2371" s="16"/>
    </row>
    <row r="2372" spans="1:10" x14ac:dyDescent="0.2">
      <c r="A2372" s="3">
        <v>45722</v>
      </c>
      <c r="B2372" s="1">
        <f ca="1">IFERROR(__xludf.DUMMYFUNCTION("""COMPUTED_VALUE"""),272.06)</f>
        <v>272.06</v>
      </c>
      <c r="C2372" s="1">
        <f ca="1">IFERROR(__xludf.DUMMYFUNCTION("""COMPUTED_VALUE"""),272.65)</f>
        <v>272.64999999999998</v>
      </c>
      <c r="D2372" s="1">
        <f ca="1">IFERROR(__xludf.DUMMYFUNCTION("""COMPUTED_VALUE"""),260.02)</f>
        <v>260.02</v>
      </c>
      <c r="E2372" s="1">
        <f ca="1">IFERROR(__xludf.DUMMYFUNCTION("""COMPUTED_VALUE"""),263.45)</f>
        <v>263.45</v>
      </c>
      <c r="F2372" s="1">
        <f ca="1">IFERROR(__xludf.DUMMYFUNCTION("""COMPUTED_VALUE"""),98451566)</f>
        <v>98451566</v>
      </c>
      <c r="G2372" s="5">
        <f t="shared" ca="1" si="111"/>
        <v>-2.9607136078951329E-3</v>
      </c>
      <c r="H2372" s="14">
        <f t="shared" si="112"/>
        <v>2025</v>
      </c>
      <c r="I2372" s="5">
        <f t="shared" ca="1" si="113"/>
        <v>-3.1647430713813179E-2</v>
      </c>
      <c r="J2372" s="16"/>
    </row>
    <row r="2373" spans="1:10" x14ac:dyDescent="0.2">
      <c r="A2373" s="3">
        <v>45723</v>
      </c>
      <c r="B2373" s="1">
        <f ca="1">IFERROR(__xludf.DUMMYFUNCTION("""COMPUTED_VALUE"""),259.32)</f>
        <v>259.32</v>
      </c>
      <c r="C2373" s="1">
        <f ca="1">IFERROR(__xludf.DUMMYFUNCTION("""COMPUTED_VALUE"""),266.25)</f>
        <v>266.25</v>
      </c>
      <c r="D2373" s="1">
        <f ca="1">IFERROR(__xludf.DUMMYFUNCTION("""COMPUTED_VALUE"""),250.73)</f>
        <v>250.73</v>
      </c>
      <c r="E2373" s="1">
        <f ca="1">IFERROR(__xludf.DUMMYFUNCTION("""COMPUTED_VALUE"""),262.67)</f>
        <v>262.67</v>
      </c>
      <c r="F2373" s="1">
        <f ca="1">IFERROR(__xludf.DUMMYFUNCTION("""COMPUTED_VALUE"""),102369640)</f>
        <v>102369640</v>
      </c>
      <c r="G2373" s="5">
        <f t="shared" ca="1" si="111"/>
        <v>-0.15426200175124685</v>
      </c>
      <c r="H2373" s="14">
        <f t="shared" si="112"/>
        <v>2025</v>
      </c>
      <c r="I2373" s="5">
        <f t="shared" ca="1" si="113"/>
        <v>1.2918401974394658E-2</v>
      </c>
      <c r="J2373" s="16"/>
    </row>
    <row r="2374" spans="1:10" x14ac:dyDescent="0.2">
      <c r="A2374" s="3">
        <v>45726</v>
      </c>
      <c r="B2374" s="1">
        <f ca="1">IFERROR(__xludf.DUMMYFUNCTION("""COMPUTED_VALUE"""),252.54)</f>
        <v>252.54</v>
      </c>
      <c r="C2374" s="1">
        <f ca="1">IFERROR(__xludf.DUMMYFUNCTION("""COMPUTED_VALUE"""),253.37)</f>
        <v>253.37</v>
      </c>
      <c r="D2374" s="1">
        <f ca="1">IFERROR(__xludf.DUMMYFUNCTION("""COMPUTED_VALUE"""),220)</f>
        <v>220</v>
      </c>
      <c r="E2374" s="1">
        <f ca="1">IFERROR(__xludf.DUMMYFUNCTION("""COMPUTED_VALUE"""),222.15)</f>
        <v>222.15</v>
      </c>
      <c r="F2374" s="1">
        <f ca="1">IFERROR(__xludf.DUMMYFUNCTION("""COMPUTED_VALUE"""),189076948)</f>
        <v>189076948</v>
      </c>
      <c r="G2374" s="5">
        <f t="shared" ca="1" si="111"/>
        <v>3.7947332883187065E-2</v>
      </c>
      <c r="H2374" s="14">
        <f t="shared" si="112"/>
        <v>2025</v>
      </c>
      <c r="I2374" s="5">
        <f t="shared" ca="1" si="113"/>
        <v>-0.12033737229745778</v>
      </c>
      <c r="J2374" s="16"/>
    </row>
    <row r="2375" spans="1:10" x14ac:dyDescent="0.2">
      <c r="A2375" s="3">
        <v>45727</v>
      </c>
      <c r="B2375" s="1">
        <f ca="1">IFERROR(__xludf.DUMMYFUNCTION("""COMPUTED_VALUE"""),225.31)</f>
        <v>225.31</v>
      </c>
      <c r="C2375" s="1">
        <f ca="1">IFERROR(__xludf.DUMMYFUNCTION("""COMPUTED_VALUE"""),237.06)</f>
        <v>237.06</v>
      </c>
      <c r="D2375" s="1">
        <f ca="1">IFERROR(__xludf.DUMMYFUNCTION("""COMPUTED_VALUE"""),217.02)</f>
        <v>217.02</v>
      </c>
      <c r="E2375" s="1">
        <f ca="1">IFERROR(__xludf.DUMMYFUNCTION("""COMPUTED_VALUE"""),230.58)</f>
        <v>230.58</v>
      </c>
      <c r="F2375" s="1">
        <f ca="1">IFERROR(__xludf.DUMMYFUNCTION("""COMPUTED_VALUE"""),174896415)</f>
        <v>174896415</v>
      </c>
      <c r="G2375" s="5">
        <f t="shared" ca="1" si="111"/>
        <v>7.5938936594674253E-2</v>
      </c>
      <c r="H2375" s="14">
        <f t="shared" si="112"/>
        <v>2025</v>
      </c>
      <c r="I2375" s="5">
        <f t="shared" ca="1" si="113"/>
        <v>2.3389996005503573E-2</v>
      </c>
      <c r="J2375" s="16"/>
    </row>
    <row r="2376" spans="1:10" x14ac:dyDescent="0.2">
      <c r="A2376" s="3">
        <v>45728</v>
      </c>
      <c r="B2376" s="1">
        <f ca="1">IFERROR(__xludf.DUMMYFUNCTION("""COMPUTED_VALUE"""),247.22)</f>
        <v>247.22</v>
      </c>
      <c r="C2376" s="1">
        <f ca="1">IFERROR(__xludf.DUMMYFUNCTION("""COMPUTED_VALUE"""),251.84)</f>
        <v>251.84</v>
      </c>
      <c r="D2376" s="1">
        <f ca="1">IFERROR(__xludf.DUMMYFUNCTION("""COMPUTED_VALUE"""),241.1)</f>
        <v>241.1</v>
      </c>
      <c r="E2376" s="1">
        <f ca="1">IFERROR(__xludf.DUMMYFUNCTION("""COMPUTED_VALUE"""),248.09)</f>
        <v>248.09</v>
      </c>
      <c r="F2376" s="1">
        <f ca="1">IFERROR(__xludf.DUMMYFUNCTION("""COMPUTED_VALUE"""),142215681)</f>
        <v>142215681</v>
      </c>
      <c r="G2376" s="5">
        <f t="shared" ca="1" si="111"/>
        <v>-2.9868192994477797E-2</v>
      </c>
      <c r="H2376" s="14">
        <f t="shared" si="112"/>
        <v>2025</v>
      </c>
      <c r="I2376" s="5">
        <f t="shared" ca="1" si="113"/>
        <v>3.519132756249513E-3</v>
      </c>
      <c r="J2376" s="16"/>
    </row>
    <row r="2377" spans="1:10" x14ac:dyDescent="0.2">
      <c r="A2377" s="3">
        <v>45729</v>
      </c>
      <c r="B2377" s="1">
        <f ca="1">IFERROR(__xludf.DUMMYFUNCTION("""COMPUTED_VALUE"""),248.13)</f>
        <v>248.13</v>
      </c>
      <c r="C2377" s="1">
        <f ca="1">IFERROR(__xludf.DUMMYFUNCTION("""COMPUTED_VALUE"""),248.29)</f>
        <v>248.29</v>
      </c>
      <c r="D2377" s="1">
        <f ca="1">IFERROR(__xludf.DUMMYFUNCTION("""COMPUTED_VALUE"""),232.6)</f>
        <v>232.6</v>
      </c>
      <c r="E2377" s="1">
        <f ca="1">IFERROR(__xludf.DUMMYFUNCTION("""COMPUTED_VALUE"""),240.68)</f>
        <v>240.68</v>
      </c>
      <c r="F2377" s="1">
        <f ca="1">IFERROR(__xludf.DUMMYFUNCTION("""COMPUTED_VALUE"""),114813525)</f>
        <v>114813525</v>
      </c>
      <c r="G2377" s="5">
        <f t="shared" ca="1" si="111"/>
        <v>3.8640518530829247E-2</v>
      </c>
      <c r="H2377" s="14">
        <f t="shared" si="112"/>
        <v>2025</v>
      </c>
      <c r="I2377" s="5">
        <f t="shared" ca="1" si="113"/>
        <v>-3.0024583887478293E-2</v>
      </c>
      <c r="J2377" s="16"/>
    </row>
    <row r="2378" spans="1:10" x14ac:dyDescent="0.2">
      <c r="A2378" s="3">
        <v>45730</v>
      </c>
      <c r="B2378" s="1">
        <f ca="1">IFERROR(__xludf.DUMMYFUNCTION("""COMPUTED_VALUE"""),247.31)</f>
        <v>247.31</v>
      </c>
      <c r="C2378" s="1">
        <f ca="1">IFERROR(__xludf.DUMMYFUNCTION("""COMPUTED_VALUE"""),251.58)</f>
        <v>251.58</v>
      </c>
      <c r="D2378" s="1">
        <f ca="1">IFERROR(__xludf.DUMMYFUNCTION("""COMPUTED_VALUE"""),240.73)</f>
        <v>240.73</v>
      </c>
      <c r="E2378" s="1">
        <f ca="1">IFERROR(__xludf.DUMMYFUNCTION("""COMPUTED_VALUE"""),249.98)</f>
        <v>249.98</v>
      </c>
      <c r="F2378" s="1">
        <f ca="1">IFERROR(__xludf.DUMMYFUNCTION("""COMPUTED_VALUE"""),100242264)</f>
        <v>100242264</v>
      </c>
      <c r="G2378" s="5">
        <f t="shared" ca="1" si="111"/>
        <v>-4.7883830706456514E-2</v>
      </c>
      <c r="H2378" s="14">
        <f t="shared" si="112"/>
        <v>2025</v>
      </c>
      <c r="I2378" s="5">
        <f t="shared" ca="1" si="113"/>
        <v>1.0796166754275959E-2</v>
      </c>
      <c r="J2378" s="16"/>
    </row>
    <row r="2379" spans="1:10" x14ac:dyDescent="0.2">
      <c r="A2379" s="3">
        <v>45733</v>
      </c>
      <c r="B2379" s="1">
        <f ca="1">IFERROR(__xludf.DUMMYFUNCTION("""COMPUTED_VALUE"""),245.06)</f>
        <v>245.06</v>
      </c>
      <c r="C2379" s="1">
        <f ca="1">IFERROR(__xludf.DUMMYFUNCTION("""COMPUTED_VALUE"""),245.4)</f>
        <v>245.4</v>
      </c>
      <c r="D2379" s="1">
        <f ca="1">IFERROR(__xludf.DUMMYFUNCTION("""COMPUTED_VALUE"""),232.8)</f>
        <v>232.8</v>
      </c>
      <c r="E2379" s="1">
        <f ca="1">IFERROR(__xludf.DUMMYFUNCTION("""COMPUTED_VALUE"""),238.01)</f>
        <v>238.01</v>
      </c>
      <c r="F2379" s="1">
        <f ca="1">IFERROR(__xludf.DUMMYFUNCTION("""COMPUTED_VALUE"""),111900565)</f>
        <v>111900565</v>
      </c>
      <c r="G2379" s="5">
        <f t="shared" ca="1" si="111"/>
        <v>-5.3359102558715975E-2</v>
      </c>
      <c r="H2379" s="14">
        <f t="shared" si="112"/>
        <v>2025</v>
      </c>
      <c r="I2379" s="5">
        <f t="shared" ca="1" si="113"/>
        <v>-2.8768464865747211E-2</v>
      </c>
      <c r="J2379" s="16"/>
    </row>
    <row r="2380" spans="1:10" x14ac:dyDescent="0.2">
      <c r="A2380" s="3">
        <v>45734</v>
      </c>
      <c r="B2380" s="1">
        <f ca="1">IFERROR(__xludf.DUMMYFUNCTION("""COMPUTED_VALUE"""),228.16)</f>
        <v>228.16</v>
      </c>
      <c r="C2380" s="1">
        <f ca="1">IFERROR(__xludf.DUMMYFUNCTION("""COMPUTED_VALUE"""),230.1)</f>
        <v>230.1</v>
      </c>
      <c r="D2380" s="1">
        <f ca="1">IFERROR(__xludf.DUMMYFUNCTION("""COMPUTED_VALUE"""),222.28)</f>
        <v>222.28</v>
      </c>
      <c r="E2380" s="1">
        <f ca="1">IFERROR(__xludf.DUMMYFUNCTION("""COMPUTED_VALUE"""),225.31)</f>
        <v>225.31</v>
      </c>
      <c r="F2380" s="1">
        <f ca="1">IFERROR(__xludf.DUMMYFUNCTION("""COMPUTED_VALUE"""),111477636)</f>
        <v>111477636</v>
      </c>
      <c r="G2380" s="5">
        <f t="shared" ca="1" si="111"/>
        <v>4.6824375305135196E-2</v>
      </c>
      <c r="H2380" s="14">
        <f t="shared" si="112"/>
        <v>2025</v>
      </c>
      <c r="I2380" s="5">
        <f t="shared" ca="1" si="113"/>
        <v>-1.2491234221598852E-2</v>
      </c>
      <c r="J2380" s="16"/>
    </row>
    <row r="2381" spans="1:10" x14ac:dyDescent="0.2">
      <c r="A2381" s="3">
        <v>45735</v>
      </c>
      <c r="B2381" s="1">
        <f ca="1">IFERROR(__xludf.DUMMYFUNCTION("""COMPUTED_VALUE"""),231.61)</f>
        <v>231.61</v>
      </c>
      <c r="C2381" s="1">
        <f ca="1">IFERROR(__xludf.DUMMYFUNCTION("""COMPUTED_VALUE"""),241.41)</f>
        <v>241.41</v>
      </c>
      <c r="D2381" s="1">
        <f ca="1">IFERROR(__xludf.DUMMYFUNCTION("""COMPUTED_VALUE"""),229.2)</f>
        <v>229.2</v>
      </c>
      <c r="E2381" s="1">
        <f ca="1">IFERROR(__xludf.DUMMYFUNCTION("""COMPUTED_VALUE"""),235.86)</f>
        <v>235.86</v>
      </c>
      <c r="F2381" s="1">
        <f ca="1">IFERROR(__xludf.DUMMYFUNCTION("""COMPUTED_VALUE"""),111993753)</f>
        <v>111993753</v>
      </c>
      <c r="G2381" s="5">
        <f t="shared" ca="1" si="111"/>
        <v>1.6959213092511542E-3</v>
      </c>
      <c r="H2381" s="14">
        <f t="shared" si="112"/>
        <v>2025</v>
      </c>
      <c r="I2381" s="5">
        <f t="shared" ca="1" si="113"/>
        <v>1.834981218427529E-2</v>
      </c>
      <c r="J2381" s="16"/>
    </row>
    <row r="2382" spans="1:10" x14ac:dyDescent="0.2">
      <c r="A2382" s="3">
        <v>45736</v>
      </c>
      <c r="B2382" s="1">
        <f ca="1">IFERROR(__xludf.DUMMYFUNCTION("""COMPUTED_VALUE"""),233.35)</f>
        <v>233.35</v>
      </c>
      <c r="C2382" s="1">
        <f ca="1">IFERROR(__xludf.DUMMYFUNCTION("""COMPUTED_VALUE"""),238)</f>
        <v>238</v>
      </c>
      <c r="D2382" s="1">
        <f ca="1">IFERROR(__xludf.DUMMYFUNCTION("""COMPUTED_VALUE"""),230.05)</f>
        <v>230.05</v>
      </c>
      <c r="E2382" s="1">
        <f ca="1">IFERROR(__xludf.DUMMYFUNCTION("""COMPUTED_VALUE"""),236.26)</f>
        <v>236.26</v>
      </c>
      <c r="F2382" s="1">
        <f ca="1">IFERROR(__xludf.DUMMYFUNCTION("""COMPUTED_VALUE"""),99028270)</f>
        <v>99028270</v>
      </c>
      <c r="G2382" s="5">
        <f t="shared" ca="1" si="111"/>
        <v>5.2696182172183262E-2</v>
      </c>
      <c r="H2382" s="14">
        <f t="shared" si="112"/>
        <v>2025</v>
      </c>
      <c r="I2382" s="5">
        <f t="shared" ca="1" si="113"/>
        <v>1.247053781872722E-2</v>
      </c>
      <c r="J2382" s="16"/>
    </row>
    <row r="2383" spans="1:10" x14ac:dyDescent="0.2">
      <c r="A2383" s="3">
        <v>45737</v>
      </c>
      <c r="B2383" s="1">
        <f ca="1">IFERROR(__xludf.DUMMYFUNCTION("""COMPUTED_VALUE"""),234.99)</f>
        <v>234.99</v>
      </c>
      <c r="C2383" s="1">
        <f ca="1">IFERROR(__xludf.DUMMYFUNCTION("""COMPUTED_VALUE"""),249.52)</f>
        <v>249.52</v>
      </c>
      <c r="D2383" s="1">
        <f ca="1">IFERROR(__xludf.DUMMYFUNCTION("""COMPUTED_VALUE"""),234.55)</f>
        <v>234.55</v>
      </c>
      <c r="E2383" s="1">
        <f ca="1">IFERROR(__xludf.DUMMYFUNCTION("""COMPUTED_VALUE"""),248.71)</f>
        <v>248.71</v>
      </c>
      <c r="F2383" s="1">
        <f ca="1">IFERROR(__xludf.DUMMYFUNCTION("""COMPUTED_VALUE"""),132728684)</f>
        <v>132728684</v>
      </c>
      <c r="G2383" s="5">
        <f t="shared" ca="1" si="111"/>
        <v>0.11933577258654648</v>
      </c>
      <c r="H2383" s="14">
        <f t="shared" si="112"/>
        <v>2025</v>
      </c>
      <c r="I2383" s="5">
        <f t="shared" ca="1" si="113"/>
        <v>5.8385463211200472E-2</v>
      </c>
      <c r="J2383" s="16"/>
    </row>
    <row r="2384" spans="1:10" x14ac:dyDescent="0.2">
      <c r="A2384" s="3">
        <v>45740</v>
      </c>
      <c r="B2384" s="1">
        <f ca="1">IFERROR(__xludf.DUMMYFUNCTION("""COMPUTED_VALUE"""),258.08)</f>
        <v>258.08</v>
      </c>
      <c r="C2384" s="1">
        <f ca="1">IFERROR(__xludf.DUMMYFUNCTION("""COMPUTED_VALUE"""),278.64)</f>
        <v>278.64</v>
      </c>
      <c r="D2384" s="1">
        <f ca="1">IFERROR(__xludf.DUMMYFUNCTION("""COMPUTED_VALUE"""),256.33)</f>
        <v>256.33</v>
      </c>
      <c r="E2384" s="1">
        <f ca="1">IFERROR(__xludf.DUMMYFUNCTION("""COMPUTED_VALUE"""),278.39)</f>
        <v>278.39</v>
      </c>
      <c r="F2384" s="1">
        <f ca="1">IFERROR(__xludf.DUMMYFUNCTION("""COMPUTED_VALUE"""),169079865)</f>
        <v>169079865</v>
      </c>
      <c r="G2384" s="5">
        <f t="shared" ca="1" si="111"/>
        <v>3.5022809727360896E-2</v>
      </c>
      <c r="H2384" s="14">
        <f t="shared" si="112"/>
        <v>2025</v>
      </c>
      <c r="I2384" s="5">
        <f t="shared" ca="1" si="113"/>
        <v>7.8696528208307512E-2</v>
      </c>
      <c r="J2384" s="16"/>
    </row>
    <row r="2385" spans="1:10" x14ac:dyDescent="0.2">
      <c r="A2385" s="3">
        <v>45741</v>
      </c>
      <c r="B2385" s="1">
        <f ca="1">IFERROR(__xludf.DUMMYFUNCTION("""COMPUTED_VALUE"""),283.6)</f>
        <v>283.60000000000002</v>
      </c>
      <c r="C2385" s="1">
        <f ca="1">IFERROR(__xludf.DUMMYFUNCTION("""COMPUTED_VALUE"""),288.2)</f>
        <v>288.2</v>
      </c>
      <c r="D2385" s="1">
        <f ca="1">IFERROR(__xludf.DUMMYFUNCTION("""COMPUTED_VALUE"""),271.28)</f>
        <v>271.27999999999997</v>
      </c>
      <c r="E2385" s="1">
        <f ca="1">IFERROR(__xludf.DUMMYFUNCTION("""COMPUTED_VALUE"""),288.14)</f>
        <v>288.14</v>
      </c>
      <c r="F2385" s="1">
        <f ca="1">IFERROR(__xludf.DUMMYFUNCTION("""COMPUTED_VALUE"""),150361538)</f>
        <v>150361538</v>
      </c>
      <c r="G2385" s="5">
        <f t="shared" ca="1" si="111"/>
        <v>-5.5806205316859807E-2</v>
      </c>
      <c r="H2385" s="14">
        <f t="shared" si="112"/>
        <v>2025</v>
      </c>
      <c r="I2385" s="5">
        <f t="shared" ca="1" si="113"/>
        <v>1.6008462623413128E-2</v>
      </c>
      <c r="J2385" s="16"/>
    </row>
    <row r="2386" spans="1:10" x14ac:dyDescent="0.2">
      <c r="A2386" s="3">
        <v>45742</v>
      </c>
      <c r="B2386" s="1">
        <f ca="1">IFERROR(__xludf.DUMMYFUNCTION("""COMPUTED_VALUE"""),282.66)</f>
        <v>282.66000000000003</v>
      </c>
      <c r="C2386" s="1">
        <f ca="1">IFERROR(__xludf.DUMMYFUNCTION("""COMPUTED_VALUE"""),284.9)</f>
        <v>284.89999999999998</v>
      </c>
      <c r="D2386" s="1">
        <f ca="1">IFERROR(__xludf.DUMMYFUNCTION("""COMPUTED_VALUE"""),266.51)</f>
        <v>266.51</v>
      </c>
      <c r="E2386" s="1">
        <f ca="1">IFERROR(__xludf.DUMMYFUNCTION("""COMPUTED_VALUE"""),272.06)</f>
        <v>272.06</v>
      </c>
      <c r="F2386" s="1">
        <f ca="1">IFERROR(__xludf.DUMMYFUNCTION("""COMPUTED_VALUE"""),156254441)</f>
        <v>156254441</v>
      </c>
      <c r="G2386" s="5">
        <f t="shared" ca="1" si="111"/>
        <v>3.9329559655957996E-3</v>
      </c>
      <c r="H2386" s="14">
        <f t="shared" si="112"/>
        <v>2025</v>
      </c>
      <c r="I2386" s="5">
        <f t="shared" ca="1" si="113"/>
        <v>-3.7500884454822123E-2</v>
      </c>
      <c r="J2386" s="16"/>
    </row>
    <row r="2387" spans="1:10" x14ac:dyDescent="0.2">
      <c r="A2387" s="3">
        <v>45743</v>
      </c>
      <c r="B2387" s="1">
        <f ca="1">IFERROR(__xludf.DUMMYFUNCTION("""COMPUTED_VALUE"""),272.48)</f>
        <v>272.48</v>
      </c>
      <c r="C2387" s="1">
        <f ca="1">IFERROR(__xludf.DUMMYFUNCTION("""COMPUTED_VALUE"""),291.85)</f>
        <v>291.85000000000002</v>
      </c>
      <c r="D2387" s="1">
        <f ca="1">IFERROR(__xludf.DUMMYFUNCTION("""COMPUTED_VALUE"""),271.82)</f>
        <v>271.82</v>
      </c>
      <c r="E2387" s="1">
        <f ca="1">IFERROR(__xludf.DUMMYFUNCTION("""COMPUTED_VALUE"""),273.13)</f>
        <v>273.13</v>
      </c>
      <c r="F2387" s="1">
        <f ca="1">IFERROR(__xludf.DUMMYFUNCTION("""COMPUTED_VALUE"""),162572146)</f>
        <v>162572146</v>
      </c>
      <c r="G2387" s="5">
        <f t="shared" ca="1" si="111"/>
        <v>-3.5074872771207792E-2</v>
      </c>
      <c r="H2387" s="14">
        <f t="shared" si="112"/>
        <v>2025</v>
      </c>
      <c r="I2387" s="5">
        <f t="shared" ca="1" si="113"/>
        <v>2.3854961832060232E-3</v>
      </c>
      <c r="J2387" s="16"/>
    </row>
    <row r="2388" spans="1:10" x14ac:dyDescent="0.2">
      <c r="A2388" s="3">
        <v>45744</v>
      </c>
      <c r="B2388" s="1">
        <f ca="1">IFERROR(__xludf.DUMMYFUNCTION("""COMPUTED_VALUE"""),275.58)</f>
        <v>275.58</v>
      </c>
      <c r="C2388" s="1">
        <f ca="1">IFERROR(__xludf.DUMMYFUNCTION("""COMPUTED_VALUE"""),276.1)</f>
        <v>276.10000000000002</v>
      </c>
      <c r="D2388" s="1">
        <f ca="1">IFERROR(__xludf.DUMMYFUNCTION("""COMPUTED_VALUE"""),260.57)</f>
        <v>260.57</v>
      </c>
      <c r="E2388" s="1">
        <f ca="1">IFERROR(__xludf.DUMMYFUNCTION("""COMPUTED_VALUE"""),263.55)</f>
        <v>263.55</v>
      </c>
      <c r="F2388" s="1">
        <f ca="1">IFERROR(__xludf.DUMMYFUNCTION("""COMPUTED_VALUE"""),123809389)</f>
        <v>123809389</v>
      </c>
      <c r="G2388" s="5">
        <f t="shared" ca="1" si="111"/>
        <v>-1.6657180800607043E-2</v>
      </c>
      <c r="H2388" s="14">
        <f t="shared" si="112"/>
        <v>2025</v>
      </c>
      <c r="I2388" s="5">
        <f t="shared" ca="1" si="113"/>
        <v>-4.3653385586762371E-2</v>
      </c>
      <c r="J2388" s="16"/>
    </row>
    <row r="2389" spans="1:10" x14ac:dyDescent="0.2">
      <c r="A2389" s="3">
        <v>45747</v>
      </c>
      <c r="B2389" s="1">
        <f ca="1">IFERROR(__xludf.DUMMYFUNCTION("""COMPUTED_VALUE"""),249.31)</f>
        <v>249.31</v>
      </c>
      <c r="C2389" s="1">
        <f ca="1">IFERROR(__xludf.DUMMYFUNCTION("""COMPUTED_VALUE"""),260.56)</f>
        <v>260.56</v>
      </c>
      <c r="D2389" s="1">
        <f ca="1">IFERROR(__xludf.DUMMYFUNCTION("""COMPUTED_VALUE"""),243.36)</f>
        <v>243.36</v>
      </c>
      <c r="E2389" s="1">
        <f ca="1">IFERROR(__xludf.DUMMYFUNCTION("""COMPUTED_VALUE"""),259.16)</f>
        <v>259.16000000000003</v>
      </c>
      <c r="F2389" s="1">
        <f ca="1">IFERROR(__xludf.DUMMYFUNCTION("""COMPUTED_VALUE"""),134008936)</f>
        <v>134008936</v>
      </c>
      <c r="G2389" s="5">
        <f t="shared" ca="1" si="111"/>
        <v>3.5885167464114652E-2</v>
      </c>
      <c r="H2389" s="14">
        <f t="shared" si="112"/>
        <v>2025</v>
      </c>
      <c r="I2389" s="5">
        <f t="shared" ca="1" si="113"/>
        <v>3.9509044964101007E-2</v>
      </c>
      <c r="J2389" s="16"/>
    </row>
    <row r="2390" spans="1:10" x14ac:dyDescent="0.2">
      <c r="A2390" s="3">
        <v>45748</v>
      </c>
      <c r="B2390" s="1">
        <f ca="1">IFERROR(__xludf.DUMMYFUNCTION("""COMPUTED_VALUE"""),263.8)</f>
        <v>263.8</v>
      </c>
      <c r="C2390" s="1">
        <f ca="1">IFERROR(__xludf.DUMMYFUNCTION("""COMPUTED_VALUE"""),277.45)</f>
        <v>277.45</v>
      </c>
      <c r="D2390" s="1">
        <f ca="1">IFERROR(__xludf.DUMMYFUNCTION("""COMPUTED_VALUE"""),259.25)</f>
        <v>259.25</v>
      </c>
      <c r="E2390" s="1">
        <f ca="1">IFERROR(__xludf.DUMMYFUNCTION("""COMPUTED_VALUE"""),268.46)</f>
        <v>268.45999999999998</v>
      </c>
      <c r="F2390" s="1">
        <f ca="1">IFERROR(__xludf.DUMMYFUNCTION("""COMPUTED_VALUE"""),146486911)</f>
        <v>146486911</v>
      </c>
      <c r="G2390" s="5">
        <f t="shared" ca="1" si="111"/>
        <v>5.3266780898457919E-2</v>
      </c>
      <c r="H2390" s="14">
        <f t="shared" si="112"/>
        <v>2025</v>
      </c>
      <c r="I2390" s="5">
        <f t="shared" ca="1" si="113"/>
        <v>1.7664897649734525E-2</v>
      </c>
      <c r="J2390" s="16"/>
    </row>
    <row r="2391" spans="1:10" x14ac:dyDescent="0.2">
      <c r="A2391" s="3">
        <v>45749</v>
      </c>
      <c r="B2391" s="1">
        <f ca="1">IFERROR(__xludf.DUMMYFUNCTION("""COMPUTED_VALUE"""),254.6)</f>
        <v>254.6</v>
      </c>
      <c r="C2391" s="1">
        <f ca="1">IFERROR(__xludf.DUMMYFUNCTION("""COMPUTED_VALUE"""),284.99)</f>
        <v>284.99</v>
      </c>
      <c r="D2391" s="1">
        <f ca="1">IFERROR(__xludf.DUMMYFUNCTION("""COMPUTED_VALUE"""),251.27)</f>
        <v>251.27</v>
      </c>
      <c r="E2391" s="1">
        <f ca="1">IFERROR(__xludf.DUMMYFUNCTION("""COMPUTED_VALUE"""),282.76)</f>
        <v>282.76</v>
      </c>
      <c r="F2391" s="1">
        <f ca="1">IFERROR(__xludf.DUMMYFUNCTION("""COMPUTED_VALUE"""),212787817)</f>
        <v>212787817</v>
      </c>
      <c r="G2391" s="5">
        <f t="shared" ca="1" si="111"/>
        <v>-5.4746074409393192E-2</v>
      </c>
      <c r="H2391" s="14">
        <f t="shared" si="112"/>
        <v>2025</v>
      </c>
      <c r="I2391" s="5">
        <f t="shared" ca="1" si="113"/>
        <v>0.11060487038491751</v>
      </c>
      <c r="J2391" s="16"/>
    </row>
    <row r="2392" spans="1:10" x14ac:dyDescent="0.2">
      <c r="A2392" s="3">
        <v>45750</v>
      </c>
      <c r="B2392" s="1">
        <f ca="1">IFERROR(__xludf.DUMMYFUNCTION("""COMPUTED_VALUE"""),265.29)</f>
        <v>265.29000000000002</v>
      </c>
      <c r="C2392" s="1">
        <f ca="1">IFERROR(__xludf.DUMMYFUNCTION("""COMPUTED_VALUE"""),276.3)</f>
        <v>276.3</v>
      </c>
      <c r="D2392" s="1">
        <f ca="1">IFERROR(__xludf.DUMMYFUNCTION("""COMPUTED_VALUE"""),261.51)</f>
        <v>261.51</v>
      </c>
      <c r="E2392" s="1">
        <f ca="1">IFERROR(__xludf.DUMMYFUNCTION("""COMPUTED_VALUE"""),267.28)</f>
        <v>267.27999999999997</v>
      </c>
      <c r="F2392" s="1">
        <f ca="1">IFERROR(__xludf.DUMMYFUNCTION("""COMPUTED_VALUE"""),136174291)</f>
        <v>136174291</v>
      </c>
      <c r="G2392" s="5">
        <f t="shared" ca="1" si="111"/>
        <v>-0.1041978449565997</v>
      </c>
      <c r="H2392" s="14">
        <f t="shared" si="112"/>
        <v>2025</v>
      </c>
      <c r="I2392" s="5">
        <f t="shared" ca="1" si="113"/>
        <v>7.5012250744466514E-3</v>
      </c>
      <c r="J2392" s="16"/>
    </row>
    <row r="2393" spans="1:10" x14ac:dyDescent="0.2">
      <c r="A2393" s="3">
        <v>45751</v>
      </c>
      <c r="B2393" s="1">
        <f ca="1">IFERROR(__xludf.DUMMYFUNCTION("""COMPUTED_VALUE"""),255.38)</f>
        <v>255.38</v>
      </c>
      <c r="C2393" s="1">
        <f ca="1">IFERROR(__xludf.DUMMYFUNCTION("""COMPUTED_VALUE"""),261)</f>
        <v>261</v>
      </c>
      <c r="D2393" s="1">
        <f ca="1">IFERROR(__xludf.DUMMYFUNCTION("""COMPUTED_VALUE"""),236)</f>
        <v>236</v>
      </c>
      <c r="E2393" s="1">
        <f ca="1">IFERROR(__xludf.DUMMYFUNCTION("""COMPUTED_VALUE"""),239.43)</f>
        <v>239.43</v>
      </c>
      <c r="F2393" s="1">
        <f ca="1">IFERROR(__xludf.DUMMYFUNCTION("""COMPUTED_VALUE"""),181229353)</f>
        <v>181229353</v>
      </c>
      <c r="G2393" s="5">
        <f t="shared" ca="1" si="111"/>
        <v>-2.5644238399532282E-2</v>
      </c>
      <c r="H2393" s="14">
        <f t="shared" si="112"/>
        <v>2025</v>
      </c>
      <c r="I2393" s="5">
        <f t="shared" ca="1" si="113"/>
        <v>-6.245594799906018E-2</v>
      </c>
      <c r="J2393" s="16"/>
    </row>
    <row r="2394" spans="1:10" x14ac:dyDescent="0.2">
      <c r="A2394" s="3">
        <v>45754</v>
      </c>
      <c r="B2394" s="1">
        <f ca="1">IFERROR(__xludf.DUMMYFUNCTION("""COMPUTED_VALUE"""),223.78)</f>
        <v>223.78</v>
      </c>
      <c r="C2394" s="1">
        <f ca="1">IFERROR(__xludf.DUMMYFUNCTION("""COMPUTED_VALUE"""),252)</f>
        <v>252</v>
      </c>
      <c r="D2394" s="1">
        <f ca="1">IFERROR(__xludf.DUMMYFUNCTION("""COMPUTED_VALUE"""),214.25)</f>
        <v>214.25</v>
      </c>
      <c r="E2394" s="1">
        <f ca="1">IFERROR(__xludf.DUMMYFUNCTION("""COMPUTED_VALUE"""),233.29)</f>
        <v>233.29</v>
      </c>
      <c r="F2394" s="1">
        <f ca="1">IFERROR(__xludf.DUMMYFUNCTION("""COMPUTED_VALUE"""),183453776)</f>
        <v>183453776</v>
      </c>
      <c r="G2394" s="5">
        <f t="shared" ca="1" si="111"/>
        <v>-4.899481332247408E-2</v>
      </c>
      <c r="H2394" s="14">
        <f t="shared" si="112"/>
        <v>2025</v>
      </c>
      <c r="I2394" s="5">
        <f t="shared" ca="1" si="113"/>
        <v>4.2497095361515733E-2</v>
      </c>
      <c r="J2394" s="16"/>
    </row>
    <row r="2395" spans="1:10" x14ac:dyDescent="0.2">
      <c r="A2395" s="3">
        <v>45755</v>
      </c>
      <c r="B2395" s="1">
        <f ca="1">IFERROR(__xludf.DUMMYFUNCTION("""COMPUTED_VALUE"""),245)</f>
        <v>245</v>
      </c>
      <c r="C2395" s="1">
        <f ca="1">IFERROR(__xludf.DUMMYFUNCTION("""COMPUTED_VALUE"""),250.44)</f>
        <v>250.44</v>
      </c>
      <c r="D2395" s="1">
        <f ca="1">IFERROR(__xludf.DUMMYFUNCTION("""COMPUTED_VALUE"""),217.8)</f>
        <v>217.8</v>
      </c>
      <c r="E2395" s="1">
        <f ca="1">IFERROR(__xludf.DUMMYFUNCTION("""COMPUTED_VALUE"""),221.86)</f>
        <v>221.86</v>
      </c>
      <c r="F2395" s="1">
        <f ca="1">IFERROR(__xludf.DUMMYFUNCTION("""COMPUTED_VALUE"""),171603472)</f>
        <v>171603472</v>
      </c>
      <c r="G2395" s="5">
        <f t="shared" ca="1" si="111"/>
        <v>0.22689984675020269</v>
      </c>
      <c r="H2395" s="14">
        <f t="shared" si="112"/>
        <v>2025</v>
      </c>
      <c r="I2395" s="5">
        <f t="shared" ca="1" si="113"/>
        <v>-9.4448979591836679E-2</v>
      </c>
      <c r="J2395" s="16"/>
    </row>
    <row r="2396" spans="1:10" x14ac:dyDescent="0.2">
      <c r="A2396" s="3">
        <v>45756</v>
      </c>
      <c r="B2396" s="1">
        <f ca="1">IFERROR(__xludf.DUMMYFUNCTION("""COMPUTED_VALUE"""),224.69)</f>
        <v>224.69</v>
      </c>
      <c r="C2396" s="1">
        <f ca="1">IFERROR(__xludf.DUMMYFUNCTION("""COMPUTED_VALUE"""),274.69)</f>
        <v>274.69</v>
      </c>
      <c r="D2396" s="1">
        <f ca="1">IFERROR(__xludf.DUMMYFUNCTION("""COMPUTED_VALUE"""),223.88)</f>
        <v>223.88</v>
      </c>
      <c r="E2396" s="1">
        <f ca="1">IFERROR(__xludf.DUMMYFUNCTION("""COMPUTED_VALUE"""),272.2)</f>
        <v>272.2</v>
      </c>
      <c r="F2396" s="1">
        <f ca="1">IFERROR(__xludf.DUMMYFUNCTION("""COMPUTED_VALUE"""),219433373)</f>
        <v>219433373</v>
      </c>
      <c r="G2396" s="5">
        <f t="shared" ca="1" si="111"/>
        <v>-7.274063188831735E-2</v>
      </c>
      <c r="H2396" s="14">
        <f t="shared" si="112"/>
        <v>2025</v>
      </c>
      <c r="I2396" s="5">
        <f t="shared" ca="1" si="113"/>
        <v>0.21144688237126705</v>
      </c>
      <c r="J2396" s="16"/>
    </row>
    <row r="2397" spans="1:10" x14ac:dyDescent="0.2">
      <c r="A2397" s="3">
        <v>45757</v>
      </c>
      <c r="B2397" s="1">
        <f ca="1">IFERROR(__xludf.DUMMYFUNCTION("""COMPUTED_VALUE"""),260)</f>
        <v>260</v>
      </c>
      <c r="C2397" s="1">
        <f ca="1">IFERROR(__xludf.DUMMYFUNCTION("""COMPUTED_VALUE"""),262.49)</f>
        <v>262.49</v>
      </c>
      <c r="D2397" s="1">
        <f ca="1">IFERROR(__xludf.DUMMYFUNCTION("""COMPUTED_VALUE"""),239.33)</f>
        <v>239.33</v>
      </c>
      <c r="E2397" s="1">
        <f ca="1">IFERROR(__xludf.DUMMYFUNCTION("""COMPUTED_VALUE"""),252.4)</f>
        <v>252.4</v>
      </c>
      <c r="F2397" s="1">
        <f ca="1">IFERROR(__xludf.DUMMYFUNCTION("""COMPUTED_VALUE"""),181722604)</f>
        <v>181722604</v>
      </c>
      <c r="G2397" s="5">
        <f t="shared" ca="1" si="111"/>
        <v>-3.5657686212362682E-4</v>
      </c>
      <c r="H2397" s="14">
        <f t="shared" si="112"/>
        <v>2025</v>
      </c>
      <c r="I2397" s="5">
        <f t="shared" ca="1" si="113"/>
        <v>-2.9230769230769209E-2</v>
      </c>
      <c r="J2397" s="16"/>
    </row>
    <row r="2398" spans="1:10" x14ac:dyDescent="0.2">
      <c r="A2398" s="3">
        <v>45758</v>
      </c>
      <c r="B2398" s="1">
        <f ca="1">IFERROR(__xludf.DUMMYFUNCTION("""COMPUTED_VALUE"""),251.84)</f>
        <v>251.84</v>
      </c>
      <c r="C2398" s="1">
        <f ca="1">IFERROR(__xludf.DUMMYFUNCTION("""COMPUTED_VALUE"""),257.74)</f>
        <v>257.74</v>
      </c>
      <c r="D2398" s="1">
        <f ca="1">IFERROR(__xludf.DUMMYFUNCTION("""COMPUTED_VALUE"""),241.36)</f>
        <v>241.36</v>
      </c>
      <c r="E2398" s="1">
        <f ca="1">IFERROR(__xludf.DUMMYFUNCTION("""COMPUTED_VALUE"""),252.31)</f>
        <v>252.31</v>
      </c>
      <c r="F2398" s="1">
        <f ca="1">IFERROR(__xludf.DUMMYFUNCTION("""COMPUTED_VALUE"""),128948085)</f>
        <v>128948085</v>
      </c>
      <c r="G2398" s="5">
        <f t="shared" ca="1" si="111"/>
        <v>1.5853513534934026E-4</v>
      </c>
      <c r="H2398" s="14">
        <f t="shared" si="112"/>
        <v>2025</v>
      </c>
      <c r="I2398" s="5">
        <f t="shared" ca="1" si="113"/>
        <v>1.8662642947903385E-3</v>
      </c>
      <c r="J2398" s="16"/>
    </row>
    <row r="2399" spans="1:10" x14ac:dyDescent="0.2">
      <c r="A2399" s="3">
        <v>45761</v>
      </c>
      <c r="B2399" s="1">
        <f ca="1">IFERROR(__xludf.DUMMYFUNCTION("""COMPUTED_VALUE"""),258.36)</f>
        <v>258.36</v>
      </c>
      <c r="C2399" s="1">
        <f ca="1">IFERROR(__xludf.DUMMYFUNCTION("""COMPUTED_VALUE"""),261.8)</f>
        <v>261.8</v>
      </c>
      <c r="D2399" s="1">
        <f ca="1">IFERROR(__xludf.DUMMYFUNCTION("""COMPUTED_VALUE"""),245.93)</f>
        <v>245.93</v>
      </c>
      <c r="E2399" s="1">
        <f ca="1">IFERROR(__xludf.DUMMYFUNCTION("""COMPUTED_VALUE"""),252.35)</f>
        <v>252.35</v>
      </c>
      <c r="F2399" s="1">
        <f ca="1">IFERROR(__xludf.DUMMYFUNCTION("""COMPUTED_VALUE"""),100135241)</f>
        <v>100135241</v>
      </c>
      <c r="G2399" s="5">
        <f t="shared" ca="1" si="111"/>
        <v>6.9744402615415863E-3</v>
      </c>
      <c r="H2399" s="14">
        <f t="shared" si="112"/>
        <v>2025</v>
      </c>
      <c r="I2399" s="5">
        <f t="shared" ca="1" si="113"/>
        <v>-2.3262114878464232E-2</v>
      </c>
      <c r="J2399" s="16"/>
    </row>
    <row r="2400" spans="1:10" x14ac:dyDescent="0.2">
      <c r="A2400" s="3">
        <v>45762</v>
      </c>
      <c r="B2400" s="1">
        <f ca="1">IFERROR(__xludf.DUMMYFUNCTION("""COMPUTED_VALUE"""),249.91)</f>
        <v>249.91</v>
      </c>
      <c r="C2400" s="1">
        <f ca="1">IFERROR(__xludf.DUMMYFUNCTION("""COMPUTED_VALUE"""),258.75)</f>
        <v>258.75</v>
      </c>
      <c r="D2400" s="1">
        <f ca="1">IFERROR(__xludf.DUMMYFUNCTION("""COMPUTED_VALUE"""),247.54)</f>
        <v>247.54</v>
      </c>
      <c r="E2400" s="1">
        <f ca="1">IFERROR(__xludf.DUMMYFUNCTION("""COMPUTED_VALUE"""),254.11)</f>
        <v>254.11</v>
      </c>
      <c r="F2400" s="1">
        <f ca="1">IFERROR(__xludf.DUMMYFUNCTION("""COMPUTED_VALUE"""),79594318)</f>
        <v>79594318</v>
      </c>
      <c r="G2400" s="5">
        <f t="shared" ca="1" si="111"/>
        <v>-4.9427413324938024E-2</v>
      </c>
      <c r="H2400" s="14">
        <f t="shared" si="112"/>
        <v>2025</v>
      </c>
      <c r="I2400" s="5">
        <f t="shared" ca="1" si="113"/>
        <v>1.6806050178064171E-2</v>
      </c>
      <c r="J2400" s="16"/>
    </row>
    <row r="2401" spans="1:10" x14ac:dyDescent="0.2">
      <c r="A2401" s="3">
        <v>45763</v>
      </c>
      <c r="B2401" s="1">
        <f ca="1">IFERROR(__xludf.DUMMYFUNCTION("""COMPUTED_VALUE"""),247.61)</f>
        <v>247.61</v>
      </c>
      <c r="C2401" s="1">
        <f ca="1">IFERROR(__xludf.DUMMYFUNCTION("""COMPUTED_VALUE"""),251.97)</f>
        <v>251.97</v>
      </c>
      <c r="D2401" s="1">
        <f ca="1">IFERROR(__xludf.DUMMYFUNCTION("""COMPUTED_VALUE"""),233.89)</f>
        <v>233.89</v>
      </c>
      <c r="E2401" s="1">
        <f ca="1">IFERROR(__xludf.DUMMYFUNCTION("""COMPUTED_VALUE"""),241.55)</f>
        <v>241.55</v>
      </c>
      <c r="F2401" s="1">
        <f ca="1">IFERROR(__xludf.DUMMYFUNCTION("""COMPUTED_VALUE"""),112378737)</f>
        <v>112378737</v>
      </c>
      <c r="G2401" s="5">
        <f t="shared" ca="1" si="111"/>
        <v>-7.4518733181538736E-4</v>
      </c>
      <c r="H2401" s="14">
        <f t="shared" si="112"/>
        <v>2025</v>
      </c>
      <c r="I2401" s="5">
        <f t="shared" ca="1" si="113"/>
        <v>-2.4473971164331011E-2</v>
      </c>
      <c r="J2401" s="16"/>
    </row>
    <row r="2402" spans="1:10" x14ac:dyDescent="0.2">
      <c r="A2402" s="3">
        <v>45764</v>
      </c>
      <c r="B2402" s="1">
        <f ca="1">IFERROR(__xludf.DUMMYFUNCTION("""COMPUTED_VALUE"""),243.47)</f>
        <v>243.47</v>
      </c>
      <c r="C2402" s="1">
        <f ca="1">IFERROR(__xludf.DUMMYFUNCTION("""COMPUTED_VALUE"""),244.34)</f>
        <v>244.34</v>
      </c>
      <c r="D2402" s="1">
        <f ca="1">IFERROR(__xludf.DUMMYFUNCTION("""COMPUTED_VALUE"""),237.68)</f>
        <v>237.68</v>
      </c>
      <c r="E2402" s="1">
        <f ca="1">IFERROR(__xludf.DUMMYFUNCTION("""COMPUTED_VALUE"""),241.37)</f>
        <v>241.37</v>
      </c>
      <c r="F2402" s="1">
        <f ca="1">IFERROR(__xludf.DUMMYFUNCTION("""COMPUTED_VALUE"""),83404775)</f>
        <v>83404775</v>
      </c>
      <c r="G2402" s="5">
        <f t="shared" ca="1" si="111"/>
        <v>-5.7463645026308179E-2</v>
      </c>
      <c r="H2402" s="14">
        <f t="shared" si="112"/>
        <v>2025</v>
      </c>
      <c r="I2402" s="5">
        <f t="shared" ca="1" si="113"/>
        <v>-8.6252926438575364E-3</v>
      </c>
      <c r="J2402" s="16"/>
    </row>
    <row r="2403" spans="1:10" x14ac:dyDescent="0.2">
      <c r="A2403" s="3">
        <v>45768</v>
      </c>
      <c r="B2403" s="1">
        <f ca="1">IFERROR(__xludf.DUMMYFUNCTION("""COMPUTED_VALUE"""),230.26)</f>
        <v>230.26</v>
      </c>
      <c r="C2403" s="1">
        <f ca="1">IFERROR(__xludf.DUMMYFUNCTION("""COMPUTED_VALUE"""),232.21)</f>
        <v>232.21</v>
      </c>
      <c r="D2403" s="1">
        <f ca="1">IFERROR(__xludf.DUMMYFUNCTION("""COMPUTED_VALUE"""),222.79)</f>
        <v>222.79</v>
      </c>
      <c r="E2403" s="1">
        <f ca="1">IFERROR(__xludf.DUMMYFUNCTION("""COMPUTED_VALUE"""),227.5)</f>
        <v>227.5</v>
      </c>
      <c r="F2403" s="1">
        <f ca="1">IFERROR(__xludf.DUMMYFUNCTION("""COMPUTED_VALUE"""),97768007)</f>
        <v>97768007</v>
      </c>
      <c r="G2403" s="5">
        <f t="shared" ca="1" si="111"/>
        <v>4.6021978021978015E-2</v>
      </c>
      <c r="H2403" s="14">
        <f t="shared" si="112"/>
        <v>2025</v>
      </c>
      <c r="I2403" s="5">
        <f t="shared" ca="1" si="113"/>
        <v>-1.1986450099887046E-2</v>
      </c>
      <c r="J2403" s="16"/>
    </row>
    <row r="2404" spans="1:10" x14ac:dyDescent="0.2">
      <c r="A2404" s="3">
        <v>45769</v>
      </c>
      <c r="B2404" s="1">
        <f ca="1">IFERROR(__xludf.DUMMYFUNCTION("""COMPUTED_VALUE"""),230.96)</f>
        <v>230.96</v>
      </c>
      <c r="C2404" s="1">
        <f ca="1">IFERROR(__xludf.DUMMYFUNCTION("""COMPUTED_VALUE"""),242.79)</f>
        <v>242.79</v>
      </c>
      <c r="D2404" s="1">
        <f ca="1">IFERROR(__xludf.DUMMYFUNCTION("""COMPUTED_VALUE"""),229.85)</f>
        <v>229.85</v>
      </c>
      <c r="E2404" s="1">
        <f ca="1">IFERROR(__xludf.DUMMYFUNCTION("""COMPUTED_VALUE"""),237.97)</f>
        <v>237.97</v>
      </c>
      <c r="F2404" s="1">
        <f ca="1">IFERROR(__xludf.DUMMYFUNCTION("""COMPUTED_VALUE"""),120858452)</f>
        <v>120858452</v>
      </c>
      <c r="G2404" s="5">
        <f t="shared" ca="1" si="111"/>
        <v>5.3662226331050174E-2</v>
      </c>
      <c r="H2404" s="14">
        <f t="shared" si="112"/>
        <v>2025</v>
      </c>
      <c r="I2404" s="5">
        <f t="shared" ca="1" si="113"/>
        <v>3.0351576030481428E-2</v>
      </c>
      <c r="J2404" s="16"/>
    </row>
    <row r="2405" spans="1:10" x14ac:dyDescent="0.2">
      <c r="A2405" s="3">
        <v>45770</v>
      </c>
      <c r="B2405" s="1">
        <f ca="1">IFERROR(__xludf.DUMMYFUNCTION("""COMPUTED_VALUE"""),254.86)</f>
        <v>254.86</v>
      </c>
      <c r="C2405" s="1">
        <f ca="1">IFERROR(__xludf.DUMMYFUNCTION("""COMPUTED_VALUE"""),259.45)</f>
        <v>259.45</v>
      </c>
      <c r="D2405" s="1">
        <f ca="1">IFERROR(__xludf.DUMMYFUNCTION("""COMPUTED_VALUE"""),244.43)</f>
        <v>244.43</v>
      </c>
      <c r="E2405" s="1">
        <f ca="1">IFERROR(__xludf.DUMMYFUNCTION("""COMPUTED_VALUE"""),250.74)</f>
        <v>250.74</v>
      </c>
      <c r="F2405" s="1">
        <f ca="1">IFERROR(__xludf.DUMMYFUNCTION("""COMPUTED_VALUE"""),150381903)</f>
        <v>150381903</v>
      </c>
      <c r="G2405" s="5">
        <f t="shared" ca="1" si="111"/>
        <v>3.497646964983641E-2</v>
      </c>
      <c r="H2405" s="14">
        <f t="shared" si="112"/>
        <v>2025</v>
      </c>
      <c r="I2405" s="5">
        <f t="shared" ca="1" si="113"/>
        <v>-1.6165738052264005E-2</v>
      </c>
      <c r="J2405" s="16"/>
    </row>
    <row r="2406" spans="1:10" x14ac:dyDescent="0.2">
      <c r="A2406" s="3">
        <v>45771</v>
      </c>
      <c r="B2406" s="1">
        <f ca="1">IFERROR(__xludf.DUMMYFUNCTION("""COMPUTED_VALUE"""),250.5)</f>
        <v>250.5</v>
      </c>
      <c r="C2406" s="1">
        <f ca="1">IFERROR(__xludf.DUMMYFUNCTION("""COMPUTED_VALUE"""),259.54)</f>
        <v>259.54000000000002</v>
      </c>
      <c r="D2406" s="1">
        <f ca="1">IFERROR(__xludf.DUMMYFUNCTION("""COMPUTED_VALUE"""),249.2)</f>
        <v>249.2</v>
      </c>
      <c r="E2406" s="1">
        <f ca="1">IFERROR(__xludf.DUMMYFUNCTION("""COMPUTED_VALUE"""),259.51)</f>
        <v>259.51</v>
      </c>
      <c r="F2406" s="1">
        <f ca="1">IFERROR(__xludf.DUMMYFUNCTION("""COMPUTED_VALUE"""),94464195)</f>
        <v>94464195</v>
      </c>
      <c r="G2406" s="5">
        <f t="shared" ca="1" si="111"/>
        <v>9.8030904396747706E-2</v>
      </c>
      <c r="H2406" s="14">
        <f t="shared" si="112"/>
        <v>2025</v>
      </c>
      <c r="I2406" s="5">
        <f t="shared" ca="1" si="113"/>
        <v>3.596806387225545E-2</v>
      </c>
      <c r="J2406" s="16"/>
    </row>
    <row r="2407" spans="1:10" x14ac:dyDescent="0.2">
      <c r="A2407" s="3">
        <v>45772</v>
      </c>
      <c r="B2407" s="1">
        <f ca="1">IFERROR(__xludf.DUMMYFUNCTION("""COMPUTED_VALUE"""),261.69)</f>
        <v>261.69</v>
      </c>
      <c r="C2407" s="1">
        <f ca="1">IFERROR(__xludf.DUMMYFUNCTION("""COMPUTED_VALUE"""),286.85)</f>
        <v>286.85000000000002</v>
      </c>
      <c r="D2407" s="1">
        <f ca="1">IFERROR(__xludf.DUMMYFUNCTION("""COMPUTED_VALUE"""),259.63)</f>
        <v>259.63</v>
      </c>
      <c r="E2407" s="1">
        <f ca="1">IFERROR(__xludf.DUMMYFUNCTION("""COMPUTED_VALUE"""),284.95)</f>
        <v>284.95</v>
      </c>
      <c r="F2407" s="1">
        <f ca="1">IFERROR(__xludf.DUMMYFUNCTION("""COMPUTED_VALUE"""),167560688)</f>
        <v>167560688</v>
      </c>
      <c r="G2407" s="5">
        <f t="shared" ca="1" si="111"/>
        <v>3.2637304790314333E-3</v>
      </c>
      <c r="H2407" s="14">
        <f t="shared" si="112"/>
        <v>2025</v>
      </c>
      <c r="I2407" s="5">
        <f t="shared" ca="1" si="113"/>
        <v>8.8883793801826552E-2</v>
      </c>
      <c r="J2407" s="16"/>
    </row>
    <row r="2408" spans="1:10" x14ac:dyDescent="0.2">
      <c r="A2408" s="3">
        <v>45775</v>
      </c>
      <c r="B2408" s="1">
        <f ca="1">IFERROR(__xludf.DUMMYFUNCTION("""COMPUTED_VALUE"""),288.98)</f>
        <v>288.98</v>
      </c>
      <c r="C2408" s="1">
        <f ca="1">IFERROR(__xludf.DUMMYFUNCTION("""COMPUTED_VALUE"""),294.86)</f>
        <v>294.86</v>
      </c>
      <c r="D2408" s="1">
        <f ca="1">IFERROR(__xludf.DUMMYFUNCTION("""COMPUTED_VALUE"""),272.42)</f>
        <v>272.42</v>
      </c>
      <c r="E2408" s="1">
        <f ca="1">IFERROR(__xludf.DUMMYFUNCTION("""COMPUTED_VALUE"""),285.88)</f>
        <v>285.88</v>
      </c>
      <c r="F2408" s="1">
        <f ca="1">IFERROR(__xludf.DUMMYFUNCTION("""COMPUTED_VALUE"""),151731771)</f>
        <v>151731771</v>
      </c>
      <c r="G2408" s="5">
        <f t="shared" ca="1" si="111"/>
        <v>2.1512522736812568E-2</v>
      </c>
      <c r="H2408" s="14">
        <f t="shared" si="112"/>
        <v>2025</v>
      </c>
      <c r="I2408" s="5">
        <f t="shared" ca="1" si="113"/>
        <v>-1.072738597826847E-2</v>
      </c>
      <c r="J2408" s="16"/>
    </row>
    <row r="2409" spans="1:10" x14ac:dyDescent="0.2">
      <c r="A2409" s="3">
        <v>45776</v>
      </c>
      <c r="B2409" s="1">
        <f ca="1">IFERROR(__xludf.DUMMYFUNCTION("""COMPUTED_VALUE"""),285.5)</f>
        <v>285.5</v>
      </c>
      <c r="C2409" s="1">
        <f ca="1">IFERROR(__xludf.DUMMYFUNCTION("""COMPUTED_VALUE"""),293.32)</f>
        <v>293.32</v>
      </c>
      <c r="D2409" s="1">
        <f ca="1">IFERROR(__xludf.DUMMYFUNCTION("""COMPUTED_VALUE"""),279.47)</f>
        <v>279.47000000000003</v>
      </c>
      <c r="E2409" s="1">
        <f ca="1">IFERROR(__xludf.DUMMYFUNCTION("""COMPUTED_VALUE"""),292.03)</f>
        <v>292.02999999999997</v>
      </c>
      <c r="F2409" s="1">
        <f ca="1">IFERROR(__xludf.DUMMYFUNCTION("""COMPUTED_VALUE"""),108906553)</f>
        <v>108906553</v>
      </c>
      <c r="G2409" s="5">
        <f t="shared" ca="1" si="111"/>
        <v>-3.3797897476286504E-2</v>
      </c>
      <c r="H2409" s="14">
        <f t="shared" si="112"/>
        <v>2025</v>
      </c>
      <c r="I2409" s="5">
        <f t="shared" ca="1" si="113"/>
        <v>2.2872154115586595E-2</v>
      </c>
      <c r="J2409" s="16"/>
    </row>
    <row r="2410" spans="1:10" x14ac:dyDescent="0.2">
      <c r="A2410" s="3">
        <v>45777</v>
      </c>
      <c r="B2410" s="1">
        <f ca="1">IFERROR(__xludf.DUMMYFUNCTION("""COMPUTED_VALUE"""),279.9)</f>
        <v>279.89999999999998</v>
      </c>
      <c r="C2410" s="1">
        <f ca="1">IFERROR(__xludf.DUMMYFUNCTION("""COMPUTED_VALUE"""),284.45)</f>
        <v>284.45</v>
      </c>
      <c r="D2410" s="1">
        <f ca="1">IFERROR(__xludf.DUMMYFUNCTION("""COMPUTED_VALUE"""),270.78)</f>
        <v>270.77999999999997</v>
      </c>
      <c r="E2410" s="1">
        <f ca="1">IFERROR(__xludf.DUMMYFUNCTION("""COMPUTED_VALUE"""),282.16)</f>
        <v>282.16000000000003</v>
      </c>
      <c r="F2410" s="1">
        <f ca="1">IFERROR(__xludf.DUMMYFUNCTION("""COMPUTED_VALUE"""),128961057)</f>
        <v>128961057</v>
      </c>
      <c r="G2410" s="5">
        <f t="shared" ca="1" si="111"/>
        <v>-5.8123050751348283E-3</v>
      </c>
      <c r="H2410" s="14">
        <f t="shared" si="112"/>
        <v>2025</v>
      </c>
      <c r="I2410" s="5">
        <f t="shared" ca="1" si="113"/>
        <v>8.0743122543767351E-3</v>
      </c>
      <c r="J2410" s="16"/>
    </row>
    <row r="2411" spans="1:10" x14ac:dyDescent="0.2">
      <c r="A2411" s="3">
        <v>45778</v>
      </c>
      <c r="B2411" s="1">
        <f ca="1">IFERROR(__xludf.DUMMYFUNCTION("""COMPUTED_VALUE"""),280.01)</f>
        <v>280.01</v>
      </c>
      <c r="C2411" s="1">
        <f ca="1">IFERROR(__xludf.DUMMYFUNCTION("""COMPUTED_VALUE"""),290.87)</f>
        <v>290.87</v>
      </c>
      <c r="D2411" s="1">
        <f ca="1">IFERROR(__xludf.DUMMYFUNCTION("""COMPUTED_VALUE"""),279.81)</f>
        <v>279.81</v>
      </c>
      <c r="E2411" s="1">
        <f ca="1">IFERROR(__xludf.DUMMYFUNCTION("""COMPUTED_VALUE"""),280.52)</f>
        <v>280.52</v>
      </c>
      <c r="F2411" s="1">
        <f ca="1">IFERROR(__xludf.DUMMYFUNCTION("""COMPUTED_VALUE"""),99658974)</f>
        <v>99658974</v>
      </c>
      <c r="G2411" s="5">
        <f t="shared" ca="1" si="111"/>
        <v>2.3848566947098238E-2</v>
      </c>
      <c r="H2411" s="14">
        <f t="shared" si="112"/>
        <v>2025</v>
      </c>
      <c r="I2411" s="5">
        <f t="shared" ca="1" si="113"/>
        <v>1.8213635227312987E-3</v>
      </c>
      <c r="J2411" s="16"/>
    </row>
    <row r="2412" spans="1:10" x14ac:dyDescent="0.2">
      <c r="A2412" s="3">
        <v>45779</v>
      </c>
      <c r="B2412" s="1">
        <f ca="1">IFERROR(__xludf.DUMMYFUNCTION("""COMPUTED_VALUE"""),284.9)</f>
        <v>284.89999999999998</v>
      </c>
      <c r="C2412" s="1">
        <f ca="1">IFERROR(__xludf.DUMMYFUNCTION("""COMPUTED_VALUE"""),294.78)</f>
        <v>294.77999999999997</v>
      </c>
      <c r="D2412" s="1">
        <f ca="1">IFERROR(__xludf.DUMMYFUNCTION("""COMPUTED_VALUE"""),279.81)</f>
        <v>279.81</v>
      </c>
      <c r="E2412" s="1">
        <f ca="1">IFERROR(__xludf.DUMMYFUNCTION("""COMPUTED_VALUE"""),287.21)</f>
        <v>287.20999999999998</v>
      </c>
      <c r="F2412" s="1">
        <f ca="1">IFERROR(__xludf.DUMMYFUNCTION("""COMPUTED_VALUE"""),114454683)</f>
        <v>114454683</v>
      </c>
      <c r="G2412" s="5">
        <f t="shared" ca="1" si="111"/>
        <v>-2.4198321785453114E-2</v>
      </c>
      <c r="H2412" s="14">
        <f t="shared" si="112"/>
        <v>2025</v>
      </c>
      <c r="I2412" s="5">
        <f t="shared" ca="1" si="113"/>
        <v>8.1081081081081172E-3</v>
      </c>
      <c r="J2412" s="16"/>
    </row>
    <row r="2413" spans="1:10" x14ac:dyDescent="0.2">
      <c r="A2413" s="3">
        <v>45782</v>
      </c>
      <c r="B2413" s="1">
        <f ca="1">IFERROR(__xludf.DUMMYFUNCTION("""COMPUTED_VALUE"""),284.57)</f>
        <v>284.57</v>
      </c>
      <c r="C2413" s="1">
        <f ca="1">IFERROR(__xludf.DUMMYFUNCTION("""COMPUTED_VALUE"""),284.85)</f>
        <v>284.85000000000002</v>
      </c>
      <c r="D2413" s="1">
        <f ca="1">IFERROR(__xludf.DUMMYFUNCTION("""COMPUTED_VALUE"""),274.4)</f>
        <v>274.39999999999998</v>
      </c>
      <c r="E2413" s="1">
        <f ca="1">IFERROR(__xludf.DUMMYFUNCTION("""COMPUTED_VALUE"""),280.26)</f>
        <v>280.26</v>
      </c>
      <c r="F2413" s="1">
        <f ca="1">IFERROR(__xludf.DUMMYFUNCTION("""COMPUTED_VALUE"""),94618882)</f>
        <v>94618882</v>
      </c>
      <c r="G2413" s="5">
        <f t="shared" ca="1" si="111"/>
        <v>-1.7519446228501993E-2</v>
      </c>
      <c r="H2413" s="14">
        <f t="shared" si="112"/>
        <v>2025</v>
      </c>
      <c r="I2413" s="5">
        <f t="shared" ca="1" si="113"/>
        <v>-1.5145658361738772E-2</v>
      </c>
      <c r="J2413" s="16"/>
    </row>
    <row r="2414" spans="1:10" x14ac:dyDescent="0.2">
      <c r="A2414" s="3">
        <v>45783</v>
      </c>
      <c r="B2414" s="1">
        <f ca="1">IFERROR(__xludf.DUMMYFUNCTION("""COMPUTED_VALUE"""),273.11)</f>
        <v>273.11</v>
      </c>
      <c r="C2414" s="1">
        <f ca="1">IFERROR(__xludf.DUMMYFUNCTION("""COMPUTED_VALUE"""),277.73)</f>
        <v>277.73</v>
      </c>
      <c r="D2414" s="1">
        <f ca="1">IFERROR(__xludf.DUMMYFUNCTION("""COMPUTED_VALUE"""),271.35)</f>
        <v>271.35000000000002</v>
      </c>
      <c r="E2414" s="1">
        <f ca="1">IFERROR(__xludf.DUMMYFUNCTION("""COMPUTED_VALUE"""),275.35)</f>
        <v>275.35000000000002</v>
      </c>
      <c r="F2414" s="1">
        <f ca="1">IFERROR(__xludf.DUMMYFUNCTION("""COMPUTED_VALUE"""),76715792)</f>
        <v>76715792</v>
      </c>
      <c r="G2414" s="5">
        <f t="shared" ca="1" si="111"/>
        <v>3.1596150354094949E-3</v>
      </c>
      <c r="H2414" s="14">
        <f t="shared" si="112"/>
        <v>2025</v>
      </c>
      <c r="I2414" s="5">
        <f t="shared" ca="1" si="113"/>
        <v>8.2018234411043497E-3</v>
      </c>
      <c r="J2414" s="16"/>
    </row>
    <row r="2415" spans="1:10" x14ac:dyDescent="0.2">
      <c r="A2415" s="3">
        <v>45784</v>
      </c>
      <c r="B2415" s="1">
        <f ca="1">IFERROR(__xludf.DUMMYFUNCTION("""COMPUTED_VALUE"""),276.88)</f>
        <v>276.88</v>
      </c>
      <c r="C2415" s="1">
        <f ca="1">IFERROR(__xludf.DUMMYFUNCTION("""COMPUTED_VALUE"""),277.92)</f>
        <v>277.92</v>
      </c>
      <c r="D2415" s="1">
        <f ca="1">IFERROR(__xludf.DUMMYFUNCTION("""COMPUTED_VALUE"""),271)</f>
        <v>271</v>
      </c>
      <c r="E2415" s="1">
        <f ca="1">IFERROR(__xludf.DUMMYFUNCTION("""COMPUTED_VALUE"""),276.22)</f>
        <v>276.22000000000003</v>
      </c>
      <c r="F2415" s="1">
        <f ca="1">IFERROR(__xludf.DUMMYFUNCTION("""COMPUTED_VALUE"""),71882408)</f>
        <v>71882408</v>
      </c>
      <c r="G2415" s="5">
        <f t="shared" ca="1" si="111"/>
        <v>3.1134602852798367E-2</v>
      </c>
      <c r="H2415" s="14">
        <f t="shared" si="112"/>
        <v>2025</v>
      </c>
      <c r="I2415" s="5">
        <f t="shared" ca="1" si="113"/>
        <v>-2.3837041317537134E-3</v>
      </c>
      <c r="J2415" s="16"/>
    </row>
    <row r="2416" spans="1:10" x14ac:dyDescent="0.2">
      <c r="A2416" s="3">
        <v>45785</v>
      </c>
      <c r="B2416" s="1">
        <f ca="1">IFERROR(__xludf.DUMMYFUNCTION("""COMPUTED_VALUE"""),279.63)</f>
        <v>279.63</v>
      </c>
      <c r="C2416" s="1">
        <f ca="1">IFERROR(__xludf.DUMMYFUNCTION("""COMPUTED_VALUE"""),289.8)</f>
        <v>289.8</v>
      </c>
      <c r="D2416" s="1">
        <f ca="1">IFERROR(__xludf.DUMMYFUNCTION("""COMPUTED_VALUE"""),279.41)</f>
        <v>279.41000000000003</v>
      </c>
      <c r="E2416" s="1">
        <f ca="1">IFERROR(__xludf.DUMMYFUNCTION("""COMPUTED_VALUE"""),284.82)</f>
        <v>284.82</v>
      </c>
      <c r="F2416" s="1">
        <f ca="1">IFERROR(__xludf.DUMMYFUNCTION("""COMPUTED_VALUE"""),97539448)</f>
        <v>97539448</v>
      </c>
      <c r="G2416" s="5">
        <f t="shared" ca="1" si="111"/>
        <v>4.7187697493153567E-2</v>
      </c>
      <c r="H2416" s="14">
        <f t="shared" si="112"/>
        <v>2025</v>
      </c>
      <c r="I2416" s="5">
        <f t="shared" ca="1" si="113"/>
        <v>1.8560240317562485E-2</v>
      </c>
      <c r="J2416" s="16"/>
    </row>
    <row r="2417" spans="1:10" x14ac:dyDescent="0.2">
      <c r="A2417" s="3">
        <v>45786</v>
      </c>
      <c r="B2417" s="1">
        <f ca="1">IFERROR(__xludf.DUMMYFUNCTION("""COMPUTED_VALUE"""),290.21)</f>
        <v>290.20999999999998</v>
      </c>
      <c r="C2417" s="1">
        <f ca="1">IFERROR(__xludf.DUMMYFUNCTION("""COMPUTED_VALUE"""),307.04)</f>
        <v>307.04000000000002</v>
      </c>
      <c r="D2417" s="1">
        <f ca="1">IFERROR(__xludf.DUMMYFUNCTION("""COMPUTED_VALUE"""),290)</f>
        <v>290</v>
      </c>
      <c r="E2417" s="1">
        <f ca="1">IFERROR(__xludf.DUMMYFUNCTION("""COMPUTED_VALUE"""),298.26)</f>
        <v>298.26</v>
      </c>
      <c r="F2417" s="1">
        <f ca="1">IFERROR(__xludf.DUMMYFUNCTION("""COMPUTED_VALUE"""),132387835)</f>
        <v>132387835</v>
      </c>
      <c r="G2417" s="5">
        <f t="shared" ca="1" si="111"/>
        <v>6.7457922617850219E-2</v>
      </c>
      <c r="H2417" s="14">
        <f t="shared" si="112"/>
        <v>2025</v>
      </c>
      <c r="I2417" s="5">
        <f t="shared" ca="1" si="113"/>
        <v>2.7738534164915101E-2</v>
      </c>
      <c r="J2417" s="16"/>
    </row>
    <row r="2418" spans="1:10" x14ac:dyDescent="0.2">
      <c r="A2418" s="3">
        <v>45789</v>
      </c>
      <c r="B2418" s="1">
        <f ca="1">IFERROR(__xludf.DUMMYFUNCTION("""COMPUTED_VALUE"""),321.99)</f>
        <v>321.99</v>
      </c>
      <c r="C2418" s="1">
        <f ca="1">IFERROR(__xludf.DUMMYFUNCTION("""COMPUTED_VALUE"""),322.21)</f>
        <v>322.20999999999998</v>
      </c>
      <c r="D2418" s="1">
        <f ca="1">IFERROR(__xludf.DUMMYFUNCTION("""COMPUTED_VALUE"""),311.5)</f>
        <v>311.5</v>
      </c>
      <c r="E2418" s="1">
        <f ca="1">IFERROR(__xludf.DUMMYFUNCTION("""COMPUTED_VALUE"""),318.38)</f>
        <v>318.38</v>
      </c>
      <c r="F2418" s="1">
        <f ca="1">IFERROR(__xludf.DUMMYFUNCTION("""COMPUTED_VALUE"""),112826661)</f>
        <v>112826661</v>
      </c>
      <c r="G2418" s="5">
        <f t="shared" ca="1" si="111"/>
        <v>4.9280733714429294E-2</v>
      </c>
      <c r="H2418" s="14">
        <f t="shared" si="112"/>
        <v>2025</v>
      </c>
      <c r="I2418" s="5">
        <f t="shared" ca="1" si="113"/>
        <v>-1.1211528308332599E-2</v>
      </c>
      <c r="J2418" s="16"/>
    </row>
    <row r="2419" spans="1:10" x14ac:dyDescent="0.2">
      <c r="A2419" s="3">
        <v>45790</v>
      </c>
      <c r="B2419" s="1">
        <f ca="1">IFERROR(__xludf.DUMMYFUNCTION("""COMPUTED_VALUE"""),320)</f>
        <v>320</v>
      </c>
      <c r="C2419" s="1">
        <f ca="1">IFERROR(__xludf.DUMMYFUNCTION("""COMPUTED_VALUE"""),337.59)</f>
        <v>337.59</v>
      </c>
      <c r="D2419" s="1">
        <f ca="1">IFERROR(__xludf.DUMMYFUNCTION("""COMPUTED_VALUE"""),316.8)</f>
        <v>316.8</v>
      </c>
      <c r="E2419" s="1">
        <f ca="1">IFERROR(__xludf.DUMMYFUNCTION("""COMPUTED_VALUE"""),334.07)</f>
        <v>334.07</v>
      </c>
      <c r="F2419" s="1">
        <f ca="1">IFERROR(__xludf.DUMMYFUNCTION("""COMPUTED_VALUE"""),136992574)</f>
        <v>136992574</v>
      </c>
      <c r="G2419" s="5">
        <f t="shared" ca="1" si="111"/>
        <v>4.0739964678061527E-2</v>
      </c>
      <c r="H2419" s="14">
        <f t="shared" si="112"/>
        <v>2025</v>
      </c>
      <c r="I2419" s="5">
        <f t="shared" ca="1" si="113"/>
        <v>4.396874999999998E-2</v>
      </c>
      <c r="J2419" s="16"/>
    </row>
    <row r="2420" spans="1:10" x14ac:dyDescent="0.2">
      <c r="A2420" s="3">
        <v>45791</v>
      </c>
      <c r="B2420" s="1">
        <f ca="1">IFERROR(__xludf.DUMMYFUNCTION("""COMPUTED_VALUE"""),342.5)</f>
        <v>342.5</v>
      </c>
      <c r="C2420" s="1">
        <f ca="1">IFERROR(__xludf.DUMMYFUNCTION("""COMPUTED_VALUE"""),350)</f>
        <v>350</v>
      </c>
      <c r="D2420" s="1">
        <f ca="1">IFERROR(__xludf.DUMMYFUNCTION("""COMPUTED_VALUE"""),337)</f>
        <v>337</v>
      </c>
      <c r="E2420" s="1">
        <f ca="1">IFERROR(__xludf.DUMMYFUNCTION("""COMPUTED_VALUE"""),347.68)</f>
        <v>347.68</v>
      </c>
      <c r="F2420" s="1">
        <f ca="1">IFERROR(__xludf.DUMMYFUNCTION("""COMPUTED_VALUE"""),136997264)</f>
        <v>136997264</v>
      </c>
      <c r="G2420" s="5">
        <f t="shared" ca="1" si="111"/>
        <v>-1.3978370915784669E-2</v>
      </c>
      <c r="H2420" s="14">
        <f t="shared" si="112"/>
        <v>2025</v>
      </c>
      <c r="I2420" s="5">
        <f t="shared" ca="1" si="113"/>
        <v>1.5124087591240896E-2</v>
      </c>
      <c r="J2420" s="16"/>
    </row>
    <row r="2421" spans="1:10" x14ac:dyDescent="0.2">
      <c r="A2421" s="3">
        <v>45792</v>
      </c>
      <c r="B2421" s="1">
        <f ca="1">IFERROR(__xludf.DUMMYFUNCTION("""COMPUTED_VALUE"""),340.34)</f>
        <v>340.34</v>
      </c>
      <c r="C2421" s="1">
        <f ca="1">IFERROR(__xludf.DUMMYFUNCTION("""COMPUTED_VALUE"""),346.14)</f>
        <v>346.14</v>
      </c>
      <c r="D2421" s="1">
        <f ca="1">IFERROR(__xludf.DUMMYFUNCTION("""COMPUTED_VALUE"""),334.72)</f>
        <v>334.72</v>
      </c>
      <c r="E2421" s="1">
        <f ca="1">IFERROR(__xludf.DUMMYFUNCTION("""COMPUTED_VALUE"""),342.82)</f>
        <v>342.82</v>
      </c>
      <c r="F2421" s="1">
        <f ca="1">IFERROR(__xludf.DUMMYFUNCTION("""COMPUTED_VALUE"""),97882596)</f>
        <v>97882596</v>
      </c>
      <c r="G2421" s="5">
        <f t="shared" ca="1" si="111"/>
        <v>2.0885595939560193E-2</v>
      </c>
      <c r="H2421" s="14">
        <f t="shared" si="112"/>
        <v>2025</v>
      </c>
      <c r="I2421" s="5">
        <f t="shared" ca="1" si="113"/>
        <v>7.2868308162426353E-3</v>
      </c>
      <c r="J2421" s="16"/>
    </row>
    <row r="2422" spans="1:10" x14ac:dyDescent="0.2">
      <c r="A2422" s="3">
        <v>45793</v>
      </c>
      <c r="B2422" s="1">
        <f ca="1">IFERROR(__xludf.DUMMYFUNCTION("""COMPUTED_VALUE"""),346.24)</f>
        <v>346.24</v>
      </c>
      <c r="C2422" s="1">
        <f ca="1">IFERROR(__xludf.DUMMYFUNCTION("""COMPUTED_VALUE"""),351.62)</f>
        <v>351.62</v>
      </c>
      <c r="D2422" s="1">
        <f ca="1">IFERROR(__xludf.DUMMYFUNCTION("""COMPUTED_VALUE"""),342.33)</f>
        <v>342.33</v>
      </c>
      <c r="E2422" s="1">
        <f ca="1">IFERROR(__xludf.DUMMYFUNCTION("""COMPUTED_VALUE"""),349.98)</f>
        <v>349.98</v>
      </c>
      <c r="F2422" s="1">
        <f ca="1">IFERROR(__xludf.DUMMYFUNCTION("""COMPUTED_VALUE"""),95895665)</f>
        <v>95895665</v>
      </c>
      <c r="G2422" s="5">
        <f t="shared" ca="1" si="111"/>
        <v>-2.2544145379736109E-2</v>
      </c>
      <c r="H2422" s="14">
        <f t="shared" si="112"/>
        <v>2025</v>
      </c>
      <c r="I2422" s="5">
        <f t="shared" ca="1" si="113"/>
        <v>1.0801756007393741E-2</v>
      </c>
      <c r="J2422" s="16"/>
    </row>
    <row r="2423" spans="1:10" x14ac:dyDescent="0.2">
      <c r="A2423" s="3">
        <v>45796</v>
      </c>
      <c r="B2423" s="1">
        <f ca="1">IFERROR(__xludf.DUMMYFUNCTION("""COMPUTED_VALUE"""),336.3)</f>
        <v>336.3</v>
      </c>
      <c r="C2423" s="1">
        <f ca="1">IFERROR(__xludf.DUMMYFUNCTION("""COMPUTED_VALUE"""),343)</f>
        <v>343</v>
      </c>
      <c r="D2423" s="1">
        <f ca="1">IFERROR(__xludf.DUMMYFUNCTION("""COMPUTED_VALUE"""),333.37)</f>
        <v>333.37</v>
      </c>
      <c r="E2423" s="1">
        <f ca="1">IFERROR(__xludf.DUMMYFUNCTION("""COMPUTED_VALUE"""),342.09)</f>
        <v>342.09</v>
      </c>
      <c r="F2423" s="1">
        <f ca="1">IFERROR(__xludf.DUMMYFUNCTION("""COMPUTED_VALUE"""),88869853)</f>
        <v>88869853</v>
      </c>
      <c r="G2423" s="5">
        <f t="shared" ca="1" si="111"/>
        <v>5.0571487035575968E-3</v>
      </c>
      <c r="H2423" s="14">
        <f t="shared" si="112"/>
        <v>2025</v>
      </c>
      <c r="I2423" s="5">
        <f t="shared" ca="1" si="113"/>
        <v>1.7216770740410239E-2</v>
      </c>
      <c r="J2423" s="16"/>
    </row>
    <row r="2424" spans="1:10" x14ac:dyDescent="0.2">
      <c r="A2424" s="3">
        <v>45797</v>
      </c>
      <c r="B2424" s="1">
        <f ca="1">IFERROR(__xludf.DUMMYFUNCTION("""COMPUTED_VALUE"""),347.87)</f>
        <v>347.87</v>
      </c>
      <c r="C2424" s="1">
        <f ca="1">IFERROR(__xludf.DUMMYFUNCTION("""COMPUTED_VALUE"""),354.99)</f>
        <v>354.99</v>
      </c>
      <c r="D2424" s="1">
        <f ca="1">IFERROR(__xludf.DUMMYFUNCTION("""COMPUTED_VALUE"""),341.63)</f>
        <v>341.63</v>
      </c>
      <c r="E2424" s="1">
        <f ca="1">IFERROR(__xludf.DUMMYFUNCTION("""COMPUTED_VALUE"""),343.82)</f>
        <v>343.82</v>
      </c>
      <c r="F2424" s="1">
        <f ca="1">IFERROR(__xludf.DUMMYFUNCTION("""COMPUTED_VALUE"""),131715548)</f>
        <v>131715548</v>
      </c>
      <c r="G2424" s="5">
        <f t="shared" ca="1" si="111"/>
        <v>-2.6758187423651877E-2</v>
      </c>
      <c r="H2424" s="14">
        <f t="shared" si="112"/>
        <v>2025</v>
      </c>
      <c r="I2424" s="5">
        <f t="shared" ca="1" si="113"/>
        <v>-1.1642280162129563E-2</v>
      </c>
      <c r="J2424" s="16"/>
    </row>
    <row r="2425" spans="1:10" x14ac:dyDescent="0.2">
      <c r="A2425" s="3">
        <v>45798</v>
      </c>
      <c r="B2425" s="1">
        <f ca="1">IFERROR(__xludf.DUMMYFUNCTION("""COMPUTED_VALUE"""),344.43)</f>
        <v>344.43</v>
      </c>
      <c r="C2425" s="1">
        <f ca="1">IFERROR(__xludf.DUMMYFUNCTION("""COMPUTED_VALUE"""),347.35)</f>
        <v>347.35</v>
      </c>
      <c r="D2425" s="1">
        <f ca="1">IFERROR(__xludf.DUMMYFUNCTION("""COMPUTED_VALUE"""),332.2)</f>
        <v>332.2</v>
      </c>
      <c r="E2425" s="1">
        <f ca="1">IFERROR(__xludf.DUMMYFUNCTION("""COMPUTED_VALUE"""),334.62)</f>
        <v>334.62</v>
      </c>
      <c r="F2425" s="1">
        <f ca="1">IFERROR(__xludf.DUMMYFUNCTION("""COMPUTED_VALUE"""),102354844)</f>
        <v>102354844</v>
      </c>
      <c r="G2425" s="5">
        <f t="shared" ca="1" si="111"/>
        <v>0</v>
      </c>
      <c r="H2425" s="14">
        <f t="shared" si="112"/>
        <v>2025</v>
      </c>
      <c r="I2425" s="5">
        <f t="shared" ca="1" si="113"/>
        <v>-2.8481839561013855E-2</v>
      </c>
      <c r="J2425" s="16"/>
    </row>
    <row r="2426" spans="1:10" x14ac:dyDescent="0.2">
      <c r="A2426" s="3">
        <v>45799</v>
      </c>
      <c r="B2426" s="1">
        <f ca="1">IFERROR(__xludf.DUMMYFUNCTION("""COMPUTED_VALUE"""),344.43)</f>
        <v>344.43</v>
      </c>
      <c r="C2426" s="1">
        <f ca="1">IFERROR(__xludf.DUMMYFUNCTION("""COMPUTED_VALUE"""),347.35)</f>
        <v>347.35</v>
      </c>
      <c r="D2426" s="1">
        <f ca="1">IFERROR(__xludf.DUMMYFUNCTION("""COMPUTED_VALUE"""),332.2)</f>
        <v>332.2</v>
      </c>
      <c r="E2426" s="1">
        <f ca="1">IFERROR(__xludf.DUMMYFUNCTION("""COMPUTED_VALUE"""),334.62)</f>
        <v>334.62</v>
      </c>
      <c r="F2426" s="1">
        <f ca="1">IFERROR(__xludf.DUMMYFUNCTION("""COMPUTED_VALUE"""),5462213)</f>
        <v>5462213</v>
      </c>
      <c r="G2426" s="5">
        <f t="shared" ca="1" si="111"/>
        <v>1.4105552567090941E-2</v>
      </c>
      <c r="H2426" s="14">
        <f t="shared" si="112"/>
        <v>2025</v>
      </c>
      <c r="I2426" s="5">
        <f t="shared" ca="1" si="113"/>
        <v>-2.8481839561013855E-2</v>
      </c>
      <c r="J2426" s="16"/>
    </row>
    <row r="2427" spans="1:10" x14ac:dyDescent="0.2">
      <c r="A2427" s="3">
        <v>45800</v>
      </c>
      <c r="B2427" s="1">
        <f ca="1">IFERROR(__xludf.DUMMYFUNCTION("""COMPUTED_VALUE"""),337.92)</f>
        <v>337.92</v>
      </c>
      <c r="C2427" s="1">
        <f ca="1">IFERROR(__xludf.DUMMYFUNCTION("""COMPUTED_VALUE"""),343.18)</f>
        <v>343.18</v>
      </c>
      <c r="D2427" s="1">
        <f ca="1">IFERROR(__xludf.DUMMYFUNCTION("""COMPUTED_VALUE"""),333.21)</f>
        <v>333.21</v>
      </c>
      <c r="E2427" s="1">
        <f ca="1">IFERROR(__xludf.DUMMYFUNCTION("""COMPUTED_VALUE"""),339.34)</f>
        <v>339.34</v>
      </c>
      <c r="F2427" s="1">
        <f ca="1">IFERROR(__xludf.DUMMYFUNCTION("""COMPUTED_VALUE"""),84654818)</f>
        <v>84654818</v>
      </c>
      <c r="G2427" s="5">
        <f t="shared" ca="1" si="111"/>
        <v>6.9399422408204195E-2</v>
      </c>
      <c r="H2427" s="14">
        <f t="shared" si="112"/>
        <v>2025</v>
      </c>
      <c r="I2427" s="5">
        <f t="shared" ca="1" si="113"/>
        <v>4.2021780303029086E-3</v>
      </c>
      <c r="J2427" s="16"/>
    </row>
    <row r="2428" spans="1:10" x14ac:dyDescent="0.2">
      <c r="A2428" s="3">
        <v>45804</v>
      </c>
      <c r="B2428" s="1">
        <f ca="1">IFERROR(__xludf.DUMMYFUNCTION("""COMPUTED_VALUE"""),347.35)</f>
        <v>347.35</v>
      </c>
      <c r="C2428" s="1">
        <f ca="1">IFERROR(__xludf.DUMMYFUNCTION("""COMPUTED_VALUE"""),363.79)</f>
        <v>363.79</v>
      </c>
      <c r="D2428" s="1">
        <f ca="1">IFERROR(__xludf.DUMMYFUNCTION("""COMPUTED_VALUE"""),347.32)</f>
        <v>347.32</v>
      </c>
      <c r="E2428" s="1">
        <f ca="1">IFERROR(__xludf.DUMMYFUNCTION("""COMPUTED_VALUE"""),362.89)</f>
        <v>362.89</v>
      </c>
      <c r="F2428" s="1">
        <f ca="1">IFERROR(__xludf.DUMMYFUNCTION("""COMPUTED_VALUE"""),120146414)</f>
        <v>120146414</v>
      </c>
      <c r="G2428" s="5">
        <f t="shared" ca="1" si="111"/>
        <v>-1.6506379343602769E-2</v>
      </c>
      <c r="H2428" s="14">
        <f t="shared" si="112"/>
        <v>2025</v>
      </c>
      <c r="I2428" s="5">
        <f t="shared" ca="1" si="113"/>
        <v>4.4738736145098497E-2</v>
      </c>
      <c r="J2428" s="16"/>
    </row>
    <row r="2429" spans="1:10" x14ac:dyDescent="0.2">
      <c r="A2429" s="3">
        <v>45805</v>
      </c>
      <c r="B2429" s="1">
        <f ca="1">IFERROR(__xludf.DUMMYFUNCTION("""COMPUTED_VALUE"""),364.84)</f>
        <v>364.84</v>
      </c>
      <c r="C2429" s="1">
        <f ca="1">IFERROR(__xludf.DUMMYFUNCTION("""COMPUTED_VALUE"""),365)</f>
        <v>365</v>
      </c>
      <c r="D2429" s="1">
        <f ca="1">IFERROR(__xludf.DUMMYFUNCTION("""COMPUTED_VALUE"""),355.91)</f>
        <v>355.91</v>
      </c>
      <c r="E2429" s="1">
        <f ca="1">IFERROR(__xludf.DUMMYFUNCTION("""COMPUTED_VALUE"""),356.9)</f>
        <v>356.9</v>
      </c>
      <c r="F2429" s="1">
        <f ca="1">IFERROR(__xludf.DUMMYFUNCTION("""COMPUTED_VALUE"""),91404309)</f>
        <v>91404309</v>
      </c>
      <c r="G2429" s="5">
        <f t="shared" ca="1" si="111"/>
        <v>4.2869151022696264E-3</v>
      </c>
      <c r="H2429" s="14">
        <f t="shared" si="112"/>
        <v>2025</v>
      </c>
      <c r="I2429" s="5">
        <f t="shared" ca="1" si="113"/>
        <v>-2.176296458721631E-2</v>
      </c>
      <c r="J2429" s="16"/>
    </row>
    <row r="2430" spans="1:10" x14ac:dyDescent="0.2">
      <c r="A2430" s="3">
        <v>45806</v>
      </c>
      <c r="B2430" s="1">
        <f ca="1">IFERROR(__xludf.DUMMYFUNCTION("""COMPUTED_VALUE"""),365.29)</f>
        <v>365.29</v>
      </c>
      <c r="C2430" s="1">
        <f ca="1">IFERROR(__xludf.DUMMYFUNCTION("""COMPUTED_VALUE"""),367.71)</f>
        <v>367.71</v>
      </c>
      <c r="D2430" s="1">
        <f ca="1">IFERROR(__xludf.DUMMYFUNCTION("""COMPUTED_VALUE"""),356)</f>
        <v>356</v>
      </c>
      <c r="E2430" s="1">
        <f ca="1">IFERROR(__xludf.DUMMYFUNCTION("""COMPUTED_VALUE"""),358.43)</f>
        <v>358.43</v>
      </c>
      <c r="F2430" s="1">
        <f ca="1">IFERROR(__xludf.DUMMYFUNCTION("""COMPUTED_VALUE"""),88545666)</f>
        <v>88545666</v>
      </c>
      <c r="G2430" s="5">
        <f t="shared" ca="1" si="111"/>
        <v>-3.3395642105850588E-2</v>
      </c>
      <c r="H2430" s="14">
        <f t="shared" si="112"/>
        <v>2025</v>
      </c>
      <c r="I2430" s="5">
        <f t="shared" ca="1" si="113"/>
        <v>-1.8779599770045754E-2</v>
      </c>
      <c r="J2430" s="16"/>
    </row>
    <row r="2431" spans="1:10" x14ac:dyDescent="0.2">
      <c r="A2431" s="3">
        <v>45807</v>
      </c>
      <c r="B2431" s="1">
        <f ca="1">IFERROR(__xludf.DUMMYFUNCTION("""COMPUTED_VALUE"""),355.52)</f>
        <v>355.52</v>
      </c>
      <c r="C2431" s="1">
        <f ca="1">IFERROR(__xludf.DUMMYFUNCTION("""COMPUTED_VALUE"""),363.68)</f>
        <v>363.68</v>
      </c>
      <c r="D2431" s="1">
        <f ca="1">IFERROR(__xludf.DUMMYFUNCTION("""COMPUTED_VALUE"""),345.29)</f>
        <v>345.29</v>
      </c>
      <c r="E2431" s="1">
        <f ca="1">IFERROR(__xludf.DUMMYFUNCTION("""COMPUTED_VALUE"""),346.46)</f>
        <v>346.46</v>
      </c>
      <c r="F2431" s="1">
        <f ca="1">IFERROR(__xludf.DUMMYFUNCTION("""COMPUTED_VALUE"""),123474938)</f>
        <v>123474938</v>
      </c>
      <c r="G2431" s="5">
        <f t="shared" ca="1" si="111"/>
        <v>-1.0881487040350926E-2</v>
      </c>
      <c r="H2431" s="14">
        <f t="shared" si="112"/>
        <v>2025</v>
      </c>
      <c r="I2431" s="5">
        <f t="shared" ca="1" si="113"/>
        <v>-2.5483798379837993E-2</v>
      </c>
      <c r="J2431" s="16"/>
    </row>
    <row r="2432" spans="1:10" x14ac:dyDescent="0.2">
      <c r="A2432" s="3">
        <v>45810</v>
      </c>
      <c r="B2432" s="1">
        <f ca="1">IFERROR(__xludf.DUMMYFUNCTION("""COMPUTED_VALUE"""),343.5)</f>
        <v>343.5</v>
      </c>
      <c r="C2432" s="1">
        <f ca="1">IFERROR(__xludf.DUMMYFUNCTION("""COMPUTED_VALUE"""),348.02)</f>
        <v>348.02</v>
      </c>
      <c r="D2432" s="1">
        <f ca="1">IFERROR(__xludf.DUMMYFUNCTION("""COMPUTED_VALUE"""),333.33)</f>
        <v>333.33</v>
      </c>
      <c r="E2432" s="1">
        <f ca="1">IFERROR(__xludf.DUMMYFUNCTION("""COMPUTED_VALUE"""),342.69)</f>
        <v>342.69</v>
      </c>
      <c r="F2432" s="1">
        <f ca="1">IFERROR(__xludf.DUMMYFUNCTION("""COMPUTED_VALUE"""),81873829)</f>
        <v>81873829</v>
      </c>
      <c r="G2432" s="5">
        <f t="shared" ca="1" si="111"/>
        <v>4.6105809915666755E-3</v>
      </c>
      <c r="H2432" s="14">
        <f t="shared" si="112"/>
        <v>2025</v>
      </c>
      <c r="I2432" s="5">
        <f t="shared" ca="1" si="113"/>
        <v>-2.358078602620094E-3</v>
      </c>
      <c r="J2432" s="16"/>
    </row>
    <row r="2433" spans="1:10" x14ac:dyDescent="0.2">
      <c r="A2433" s="3">
        <v>45811</v>
      </c>
      <c r="B2433" s="1">
        <f ca="1">IFERROR(__xludf.DUMMYFUNCTION("""COMPUTED_VALUE"""),346.6)</f>
        <v>346.6</v>
      </c>
      <c r="C2433" s="1">
        <f ca="1">IFERROR(__xludf.DUMMYFUNCTION("""COMPUTED_VALUE"""),355.4)</f>
        <v>355.4</v>
      </c>
      <c r="D2433" s="1">
        <f ca="1">IFERROR(__xludf.DUMMYFUNCTION("""COMPUTED_VALUE"""),343.04)</f>
        <v>343.04</v>
      </c>
      <c r="E2433" s="1">
        <f ca="1">IFERROR(__xludf.DUMMYFUNCTION("""COMPUTED_VALUE"""),344.27)</f>
        <v>344.27</v>
      </c>
      <c r="F2433" s="1">
        <f ca="1">IFERROR(__xludf.DUMMYFUNCTION("""COMPUTED_VALUE"""),99324544)</f>
        <v>99324544</v>
      </c>
      <c r="G2433" s="5">
        <f t="shared" ca="1" si="111"/>
        <v>-3.5495396055421534E-2</v>
      </c>
      <c r="H2433" s="14">
        <f t="shared" si="112"/>
        <v>2025</v>
      </c>
      <c r="I2433" s="5">
        <f t="shared" ca="1" si="113"/>
        <v>-6.7224466243509546E-3</v>
      </c>
      <c r="J2433" s="16"/>
    </row>
    <row r="2434" spans="1:10" x14ac:dyDescent="0.2">
      <c r="A2434" s="3">
        <v>45812</v>
      </c>
      <c r="B2434" s="1">
        <f ca="1">IFERROR(__xludf.DUMMYFUNCTION("""COMPUTED_VALUE"""),345.1)</f>
        <v>345.1</v>
      </c>
      <c r="C2434" s="1">
        <f ca="1">IFERROR(__xludf.DUMMYFUNCTION("""COMPUTED_VALUE"""),345.6)</f>
        <v>345.6</v>
      </c>
      <c r="D2434" s="1">
        <f ca="1">IFERROR(__xludf.DUMMYFUNCTION("""COMPUTED_VALUE"""),327.33)</f>
        <v>327.33</v>
      </c>
      <c r="E2434" s="1">
        <f ca="1">IFERROR(__xludf.DUMMYFUNCTION("""COMPUTED_VALUE"""),332.05)</f>
        <v>332.05</v>
      </c>
      <c r="F2434" s="1">
        <f ca="1">IFERROR(__xludf.DUMMYFUNCTION("""COMPUTED_VALUE"""),98912075)</f>
        <v>98912075</v>
      </c>
      <c r="G2434" s="5">
        <f t="shared" ca="1" si="111"/>
        <v>-0.14259900617376908</v>
      </c>
      <c r="H2434" s="14">
        <f t="shared" si="112"/>
        <v>2025</v>
      </c>
      <c r="I2434" s="5">
        <f t="shared" ca="1" si="113"/>
        <v>-3.78151260504202E-2</v>
      </c>
      <c r="J2434" s="16"/>
    </row>
    <row r="2435" spans="1:10" x14ac:dyDescent="0.2">
      <c r="A2435" s="3">
        <v>45813</v>
      </c>
      <c r="B2435" s="1">
        <f ca="1">IFERROR(__xludf.DUMMYFUNCTION("""COMPUTED_VALUE"""),322.49)</f>
        <v>322.49</v>
      </c>
      <c r="C2435" s="1">
        <f ca="1">IFERROR(__xludf.DUMMYFUNCTION("""COMPUTED_VALUE"""),324.55)</f>
        <v>324.55</v>
      </c>
      <c r="D2435" s="1">
        <f ca="1">IFERROR(__xludf.DUMMYFUNCTION("""COMPUTED_VALUE"""),273.21)</f>
        <v>273.20999999999998</v>
      </c>
      <c r="E2435" s="1">
        <f ca="1">IFERROR(__xludf.DUMMYFUNCTION("""COMPUTED_VALUE"""),284.7)</f>
        <v>284.7</v>
      </c>
      <c r="F2435" s="1">
        <f ca="1">IFERROR(__xludf.DUMMYFUNCTION("""COMPUTED_VALUE"""),292818655)</f>
        <v>292818655</v>
      </c>
      <c r="G2435" s="5">
        <f t="shared" ref="G2435:G2498" ca="1" si="114">(E2436-E2435)/E2435</f>
        <v>3.6670179135932554E-2</v>
      </c>
      <c r="H2435" s="14">
        <f t="shared" ref="H2435:H2498" si="115">YEAR(A2435)</f>
        <v>2025</v>
      </c>
      <c r="I2435" s="5">
        <f t="shared" ref="I2435:I2498" ca="1" si="116">((E2435 - B2435) / B2435)</f>
        <v>-0.11718192812180228</v>
      </c>
      <c r="J2435" s="16"/>
    </row>
    <row r="2436" spans="1:10" x14ac:dyDescent="0.2">
      <c r="A2436" s="3">
        <v>45814</v>
      </c>
      <c r="B2436" s="1">
        <f ca="1">IFERROR(__xludf.DUMMYFUNCTION("""COMPUTED_VALUE"""),298.83)</f>
        <v>298.83</v>
      </c>
      <c r="C2436" s="1">
        <f ca="1">IFERROR(__xludf.DUMMYFUNCTION("""COMPUTED_VALUE"""),305.5)</f>
        <v>305.5</v>
      </c>
      <c r="D2436" s="1">
        <f ca="1">IFERROR(__xludf.DUMMYFUNCTION("""COMPUTED_VALUE"""),291.14)</f>
        <v>291.14</v>
      </c>
      <c r="E2436" s="1">
        <f ca="1">IFERROR(__xludf.DUMMYFUNCTION("""COMPUTED_VALUE"""),295.14)</f>
        <v>295.14</v>
      </c>
      <c r="F2436" s="1">
        <f ca="1">IFERROR(__xludf.DUMMYFUNCTION("""COMPUTED_VALUE"""),164747685)</f>
        <v>164747685</v>
      </c>
      <c r="G2436" s="5">
        <f t="shared" ca="1" si="114"/>
        <v>4.5537710916853012E-2</v>
      </c>
      <c r="H2436" s="14">
        <f t="shared" si="115"/>
        <v>2025</v>
      </c>
      <c r="I2436" s="5">
        <f t="shared" ca="1" si="116"/>
        <v>-1.2348157815480366E-2</v>
      </c>
      <c r="J2436" s="16"/>
    </row>
    <row r="2437" spans="1:10" x14ac:dyDescent="0.2">
      <c r="A2437" s="3">
        <v>45817</v>
      </c>
      <c r="B2437" s="1">
        <f ca="1">IFERROR(__xludf.DUMMYFUNCTION("""COMPUTED_VALUE"""),285.96)</f>
        <v>285.95999999999998</v>
      </c>
      <c r="C2437" s="1">
        <f ca="1">IFERROR(__xludf.DUMMYFUNCTION("""COMPUTED_VALUE"""),309.83)</f>
        <v>309.83</v>
      </c>
      <c r="D2437" s="1">
        <f ca="1">IFERROR(__xludf.DUMMYFUNCTION("""COMPUTED_VALUE"""),281.85)</f>
        <v>281.85000000000002</v>
      </c>
      <c r="E2437" s="1">
        <f ca="1">IFERROR(__xludf.DUMMYFUNCTION("""COMPUTED_VALUE"""),308.58)</f>
        <v>308.58</v>
      </c>
      <c r="F2437" s="1">
        <f ca="1">IFERROR(__xludf.DUMMYFUNCTION("""COMPUTED_VALUE"""),140908876)</f>
        <v>140908876</v>
      </c>
      <c r="G2437" s="5">
        <f t="shared" ca="1" si="114"/>
        <v>5.6743794153866073E-2</v>
      </c>
      <c r="H2437" s="14">
        <f t="shared" si="115"/>
        <v>2025</v>
      </c>
      <c r="I2437" s="5">
        <f t="shared" ca="1" si="116"/>
        <v>7.9101972303818741E-2</v>
      </c>
      <c r="J2437" s="16"/>
    </row>
    <row r="2438" spans="1:10" x14ac:dyDescent="0.2">
      <c r="A2438" s="3">
        <v>45818</v>
      </c>
      <c r="B2438" s="1">
        <f ca="1">IFERROR(__xludf.DUMMYFUNCTION("""COMPUTED_VALUE"""),314.94)</f>
        <v>314.94</v>
      </c>
      <c r="C2438" s="1">
        <f ca="1">IFERROR(__xludf.DUMMYFUNCTION("""COMPUTED_VALUE"""),327.83)</f>
        <v>327.83</v>
      </c>
      <c r="D2438" s="1">
        <f ca="1">IFERROR(__xludf.DUMMYFUNCTION("""COMPUTED_VALUE"""),310.67)</f>
        <v>310.67</v>
      </c>
      <c r="E2438" s="1">
        <f ca="1">IFERROR(__xludf.DUMMYFUNCTION("""COMPUTED_VALUE"""),326.09)</f>
        <v>326.08999999999997</v>
      </c>
      <c r="F2438" s="1">
        <f ca="1">IFERROR(__xludf.DUMMYFUNCTION("""COMPUTED_VALUE"""),151256520)</f>
        <v>151256520</v>
      </c>
      <c r="G2438" s="5">
        <f t="shared" ca="1" si="114"/>
        <v>1.0426569352020359E-3</v>
      </c>
      <c r="H2438" s="14">
        <f t="shared" si="115"/>
        <v>2025</v>
      </c>
      <c r="I2438" s="5">
        <f t="shared" ca="1" si="116"/>
        <v>3.5403568933765089E-2</v>
      </c>
      <c r="J2438" s="16"/>
    </row>
    <row r="2439" spans="1:10" x14ac:dyDescent="0.2">
      <c r="A2439" s="3">
        <v>45819</v>
      </c>
      <c r="B2439" s="1">
        <f ca="1">IFERROR(__xludf.DUMMYFUNCTION("""COMPUTED_VALUE"""),334.4)</f>
        <v>334.4</v>
      </c>
      <c r="C2439" s="1">
        <f ca="1">IFERROR(__xludf.DUMMYFUNCTION("""COMPUTED_VALUE"""),335.5)</f>
        <v>335.5</v>
      </c>
      <c r="D2439" s="1">
        <f ca="1">IFERROR(__xludf.DUMMYFUNCTION("""COMPUTED_VALUE"""),322.5)</f>
        <v>322.5</v>
      </c>
      <c r="E2439" s="1">
        <f ca="1">IFERROR(__xludf.DUMMYFUNCTION("""COMPUTED_VALUE"""),326.43)</f>
        <v>326.43</v>
      </c>
      <c r="F2439" s="1">
        <f ca="1">IFERROR(__xludf.DUMMYFUNCTION("""COMPUTED_VALUE"""),122611360)</f>
        <v>122611360</v>
      </c>
      <c r="G2439" s="5">
        <f t="shared" ca="1" si="114"/>
        <v>-2.2424409521183693E-2</v>
      </c>
      <c r="H2439" s="14">
        <f t="shared" si="115"/>
        <v>2025</v>
      </c>
      <c r="I2439" s="5">
        <f t="shared" ca="1" si="116"/>
        <v>-2.3833732057416183E-2</v>
      </c>
      <c r="J2439" s="16"/>
    </row>
    <row r="2440" spans="1:10" x14ac:dyDescent="0.2">
      <c r="A2440" s="3">
        <v>45820</v>
      </c>
      <c r="B2440" s="1">
        <f ca="1">IFERROR(__xludf.DUMMYFUNCTION("""COMPUTED_VALUE"""),323.08)</f>
        <v>323.08</v>
      </c>
      <c r="C2440" s="1">
        <f ca="1">IFERROR(__xludf.DUMMYFUNCTION("""COMPUTED_VALUE"""),332.56)</f>
        <v>332.56</v>
      </c>
      <c r="D2440" s="1">
        <f ca="1">IFERROR(__xludf.DUMMYFUNCTION("""COMPUTED_VALUE"""),316.86)</f>
        <v>316.86</v>
      </c>
      <c r="E2440" s="1">
        <f ca="1">IFERROR(__xludf.DUMMYFUNCTION("""COMPUTED_VALUE"""),319.11)</f>
        <v>319.11</v>
      </c>
      <c r="F2440" s="1">
        <f ca="1">IFERROR(__xludf.DUMMYFUNCTION("""COMPUTED_VALUE"""),105127536)</f>
        <v>105127536</v>
      </c>
      <c r="G2440" s="5">
        <f t="shared" ca="1" si="114"/>
        <v>1.9429037009181749E-2</v>
      </c>
      <c r="H2440" s="14">
        <f t="shared" si="115"/>
        <v>2025</v>
      </c>
      <c r="I2440" s="5">
        <f t="shared" ca="1" si="116"/>
        <v>-1.2287978209731244E-2</v>
      </c>
      <c r="J2440" s="16"/>
    </row>
    <row r="2441" spans="1:10" x14ac:dyDescent="0.2">
      <c r="A2441" s="3">
        <v>45821</v>
      </c>
      <c r="B2441" s="1">
        <f ca="1">IFERROR(__xludf.DUMMYFUNCTION("""COMPUTED_VALUE"""),313.97)</f>
        <v>313.97000000000003</v>
      </c>
      <c r="C2441" s="1">
        <f ca="1">IFERROR(__xludf.DUMMYFUNCTION("""COMPUTED_VALUE"""),332.99)</f>
        <v>332.99</v>
      </c>
      <c r="D2441" s="1">
        <f ca="1">IFERROR(__xludf.DUMMYFUNCTION("""COMPUTED_VALUE"""),313.3)</f>
        <v>313.3</v>
      </c>
      <c r="E2441" s="1">
        <f ca="1">IFERROR(__xludf.DUMMYFUNCTION("""COMPUTED_VALUE"""),325.31)</f>
        <v>325.31</v>
      </c>
      <c r="F2441" s="1">
        <f ca="1">IFERROR(__xludf.DUMMYFUNCTION("""COMPUTED_VALUE"""),128964279)</f>
        <v>128964279</v>
      </c>
      <c r="G2441" s="5">
        <f t="shared" ca="1" si="114"/>
        <v>1.1742645476622278E-2</v>
      </c>
      <c r="H2441" s="14">
        <f t="shared" si="115"/>
        <v>2025</v>
      </c>
      <c r="I2441" s="5">
        <f t="shared" ca="1" si="116"/>
        <v>3.6118100455457443E-2</v>
      </c>
      <c r="J2441" s="16"/>
    </row>
    <row r="2442" spans="1:10" x14ac:dyDescent="0.2">
      <c r="A2442" s="3">
        <v>45824</v>
      </c>
      <c r="B2442" s="1">
        <f ca="1">IFERROR(__xludf.DUMMYFUNCTION("""COMPUTED_VALUE"""),331.29)</f>
        <v>331.29</v>
      </c>
      <c r="C2442" s="1">
        <f ca="1">IFERROR(__xludf.DUMMYFUNCTION("""COMPUTED_VALUE"""),332.05)</f>
        <v>332.05</v>
      </c>
      <c r="D2442" s="1">
        <f ca="1">IFERROR(__xludf.DUMMYFUNCTION("""COMPUTED_VALUE"""),326.41)</f>
        <v>326.41000000000003</v>
      </c>
      <c r="E2442" s="1">
        <f ca="1">IFERROR(__xludf.DUMMYFUNCTION("""COMPUTED_VALUE"""),329.13)</f>
        <v>329.13</v>
      </c>
      <c r="F2442" s="1">
        <f ca="1">IFERROR(__xludf.DUMMYFUNCTION("""COMPUTED_VALUE"""),83925858)</f>
        <v>83925858</v>
      </c>
      <c r="G2442" s="5">
        <f t="shared" ca="1" si="114"/>
        <v>-3.8829641782882063E-2</v>
      </c>
      <c r="H2442" s="14">
        <f t="shared" si="115"/>
        <v>2025</v>
      </c>
      <c r="I2442" s="5">
        <f t="shared" ca="1" si="116"/>
        <v>-6.5199674001630743E-3</v>
      </c>
      <c r="J2442" s="16"/>
    </row>
    <row r="2443" spans="1:10" x14ac:dyDescent="0.2">
      <c r="A2443" s="3">
        <v>45825</v>
      </c>
      <c r="B2443" s="1">
        <f ca="1">IFERROR(__xludf.DUMMYFUNCTION("""COMPUTED_VALUE"""),326.09)</f>
        <v>326.08999999999997</v>
      </c>
      <c r="C2443" s="1">
        <f ca="1">IFERROR(__xludf.DUMMYFUNCTION("""COMPUTED_VALUE"""),327.26)</f>
        <v>327.26</v>
      </c>
      <c r="D2443" s="1">
        <f ca="1">IFERROR(__xludf.DUMMYFUNCTION("""COMPUTED_VALUE"""),314.74)</f>
        <v>314.74</v>
      </c>
      <c r="E2443" s="1">
        <f ca="1">IFERROR(__xludf.DUMMYFUNCTION("""COMPUTED_VALUE"""),316.35)</f>
        <v>316.35000000000002</v>
      </c>
      <c r="F2443" s="1">
        <f ca="1">IFERROR(__xludf.DUMMYFUNCTION("""COMPUTED_VALUE"""),88282669)</f>
        <v>88282669</v>
      </c>
      <c r="G2443" s="5">
        <f t="shared" ca="1" si="114"/>
        <v>1.801801801801798E-2</v>
      </c>
      <c r="H2443" s="14">
        <f t="shared" si="115"/>
        <v>2025</v>
      </c>
      <c r="I2443" s="5">
        <f t="shared" ca="1" si="116"/>
        <v>-2.986905455549067E-2</v>
      </c>
      <c r="J2443" s="16"/>
    </row>
    <row r="2444" spans="1:10" x14ac:dyDescent="0.2">
      <c r="A2444" s="3">
        <v>45826</v>
      </c>
      <c r="B2444" s="1">
        <f ca="1">IFERROR(__xludf.DUMMYFUNCTION("""COMPUTED_VALUE"""),317.31)</f>
        <v>317.31</v>
      </c>
      <c r="C2444" s="1">
        <f ca="1">IFERROR(__xludf.DUMMYFUNCTION("""COMPUTED_VALUE"""),329.32)</f>
        <v>329.32</v>
      </c>
      <c r="D2444" s="1">
        <f ca="1">IFERROR(__xludf.DUMMYFUNCTION("""COMPUTED_VALUE"""),315.45)</f>
        <v>315.45</v>
      </c>
      <c r="E2444" s="1">
        <f ca="1">IFERROR(__xludf.DUMMYFUNCTION("""COMPUTED_VALUE"""),322.05)</f>
        <v>322.05</v>
      </c>
      <c r="F2444" s="1">
        <f ca="1">IFERROR(__xludf.DUMMYFUNCTION("""COMPUTED_VALUE"""),95137686)</f>
        <v>95137686</v>
      </c>
      <c r="G2444" s="5">
        <f t="shared" ca="1" si="114"/>
        <v>3.4156186927499963E-4</v>
      </c>
      <c r="H2444" s="14">
        <f t="shared" si="115"/>
        <v>2025</v>
      </c>
      <c r="I2444" s="5">
        <f t="shared" ca="1" si="116"/>
        <v>1.4938073177649646E-2</v>
      </c>
      <c r="J2444" s="16"/>
    </row>
    <row r="2445" spans="1:10" x14ac:dyDescent="0.2">
      <c r="A2445" s="3">
        <v>45828</v>
      </c>
      <c r="B2445" s="1">
        <f ca="1">IFERROR(__xludf.DUMMYFUNCTION("""COMPUTED_VALUE"""),327.95)</f>
        <v>327.95</v>
      </c>
      <c r="C2445" s="1">
        <f ca="1">IFERROR(__xludf.DUMMYFUNCTION("""COMPUTED_VALUE"""),332.36)</f>
        <v>332.36</v>
      </c>
      <c r="D2445" s="1">
        <f ca="1">IFERROR(__xludf.DUMMYFUNCTION("""COMPUTED_VALUE"""),317.78)</f>
        <v>317.77999999999997</v>
      </c>
      <c r="E2445" s="1">
        <f ca="1">IFERROR(__xludf.DUMMYFUNCTION("""COMPUTED_VALUE"""),322.16)</f>
        <v>322.16000000000003</v>
      </c>
      <c r="F2445" s="1">
        <f ca="1">IFERROR(__xludf.DUMMYFUNCTION("""COMPUTED_VALUE"""),108688008)</f>
        <v>108688008</v>
      </c>
      <c r="G2445" s="5">
        <f t="shared" ca="1" si="114"/>
        <v>8.2319344425130309E-2</v>
      </c>
      <c r="H2445" s="14">
        <f t="shared" si="115"/>
        <v>2025</v>
      </c>
      <c r="I2445" s="5">
        <f t="shared" ca="1" si="116"/>
        <v>-1.765513035523697E-2</v>
      </c>
      <c r="J2445" s="16"/>
    </row>
    <row r="2446" spans="1:10" x14ac:dyDescent="0.2">
      <c r="A2446" s="3">
        <v>45831</v>
      </c>
      <c r="B2446" s="1">
        <f ca="1">IFERROR(__xludf.DUMMYFUNCTION("""COMPUTED_VALUE"""),327.54)</f>
        <v>327.54000000000002</v>
      </c>
      <c r="C2446" s="1">
        <f ca="1">IFERROR(__xludf.DUMMYFUNCTION("""COMPUTED_VALUE"""),357.54)</f>
        <v>357.54</v>
      </c>
      <c r="D2446" s="1">
        <f ca="1">IFERROR(__xludf.DUMMYFUNCTION("""COMPUTED_VALUE"""),327.48)</f>
        <v>327.48</v>
      </c>
      <c r="E2446" s="1">
        <f ca="1">IFERROR(__xludf.DUMMYFUNCTION("""COMPUTED_VALUE"""),348.68)</f>
        <v>348.68</v>
      </c>
      <c r="F2446" s="1">
        <f ca="1">IFERROR(__xludf.DUMMYFUNCTION("""COMPUTED_VALUE"""),190716815)</f>
        <v>190716815</v>
      </c>
      <c r="G2446" s="5">
        <f t="shared" ca="1" si="114"/>
        <v>-2.3545944705747331E-2</v>
      </c>
      <c r="H2446" s="14">
        <f t="shared" si="115"/>
        <v>2025</v>
      </c>
      <c r="I2446" s="5">
        <f t="shared" ca="1" si="116"/>
        <v>6.4541735360566607E-2</v>
      </c>
      <c r="J2446" s="16"/>
    </row>
    <row r="2447" spans="1:10" x14ac:dyDescent="0.2">
      <c r="A2447" s="3">
        <v>45832</v>
      </c>
      <c r="B2447" s="1">
        <f ca="1">IFERROR(__xludf.DUMMYFUNCTION("""COMPUTED_VALUE"""),356.17)</f>
        <v>356.17</v>
      </c>
      <c r="C2447" s="1">
        <f ca="1">IFERROR(__xludf.DUMMYFUNCTION("""COMPUTED_VALUE"""),356.26)</f>
        <v>356.26</v>
      </c>
      <c r="D2447" s="1">
        <f ca="1">IFERROR(__xludf.DUMMYFUNCTION("""COMPUTED_VALUE"""),340.44)</f>
        <v>340.44</v>
      </c>
      <c r="E2447" s="1">
        <f ca="1">IFERROR(__xludf.DUMMYFUNCTION("""COMPUTED_VALUE"""),340.47)</f>
        <v>340.47</v>
      </c>
      <c r="F2447" s="1">
        <f ca="1">IFERROR(__xludf.DUMMYFUNCTION("""COMPUTED_VALUE"""),114736245)</f>
        <v>114736245</v>
      </c>
      <c r="G2447" s="5">
        <f t="shared" ca="1" si="114"/>
        <v>-3.7947543102182318E-2</v>
      </c>
      <c r="H2447" s="14">
        <f t="shared" si="115"/>
        <v>2025</v>
      </c>
      <c r="I2447" s="5">
        <f t="shared" ca="1" si="116"/>
        <v>-4.4080074121908043E-2</v>
      </c>
      <c r="J2447" s="16"/>
    </row>
    <row r="2448" spans="1:10" x14ac:dyDescent="0.2">
      <c r="A2448" s="3">
        <v>45833</v>
      </c>
      <c r="B2448" s="1">
        <f ca="1">IFERROR(__xludf.DUMMYFUNCTION("""COMPUTED_VALUE"""),342.7)</f>
        <v>342.7</v>
      </c>
      <c r="C2448" s="1">
        <f ca="1">IFERROR(__xludf.DUMMYFUNCTION("""COMPUTED_VALUE"""),343)</f>
        <v>343</v>
      </c>
      <c r="D2448" s="1">
        <f ca="1">IFERROR(__xludf.DUMMYFUNCTION("""COMPUTED_VALUE"""),320.4)</f>
        <v>320.39999999999998</v>
      </c>
      <c r="E2448" s="1">
        <f ca="1">IFERROR(__xludf.DUMMYFUNCTION("""COMPUTED_VALUE"""),327.55)</f>
        <v>327.55</v>
      </c>
      <c r="F2448" s="1">
        <f ca="1">IFERROR(__xludf.DUMMYFUNCTION("""COMPUTED_VALUE"""),119845050)</f>
        <v>119845050</v>
      </c>
      <c r="G2448" s="5">
        <f t="shared" ca="1" si="114"/>
        <v>-5.403755151885326E-3</v>
      </c>
      <c r="H2448" s="14">
        <f t="shared" si="115"/>
        <v>2025</v>
      </c>
      <c r="I2448" s="5">
        <f t="shared" ca="1" si="116"/>
        <v>-4.420776189086658E-2</v>
      </c>
      <c r="J2448" s="16"/>
    </row>
    <row r="2449" spans="1:10" x14ac:dyDescent="0.2">
      <c r="A2449" s="3">
        <v>45834</v>
      </c>
      <c r="B2449" s="1">
        <f ca="1">IFERROR(__xludf.DUMMYFUNCTION("""COMPUTED_VALUE"""),324.61)</f>
        <v>324.61</v>
      </c>
      <c r="C2449" s="1">
        <f ca="1">IFERROR(__xludf.DUMMYFUNCTION("""COMPUTED_VALUE"""),331.05)</f>
        <v>331.05</v>
      </c>
      <c r="D2449" s="1">
        <f ca="1">IFERROR(__xludf.DUMMYFUNCTION("""COMPUTED_VALUE"""),323.61)</f>
        <v>323.61</v>
      </c>
      <c r="E2449" s="1">
        <f ca="1">IFERROR(__xludf.DUMMYFUNCTION("""COMPUTED_VALUE"""),325.78)</f>
        <v>325.77999999999997</v>
      </c>
      <c r="F2449" s="1">
        <f ca="1">IFERROR(__xludf.DUMMYFUNCTION("""COMPUTED_VALUE"""),80440907)</f>
        <v>80440907</v>
      </c>
      <c r="G2449" s="5">
        <f t="shared" ca="1" si="114"/>
        <v>-6.5995457056908877E-3</v>
      </c>
      <c r="H2449" s="14">
        <f t="shared" si="115"/>
        <v>2025</v>
      </c>
      <c r="I2449" s="5">
        <f t="shared" ca="1" si="116"/>
        <v>3.6043251902281477E-3</v>
      </c>
      <c r="J2449" s="16"/>
    </row>
    <row r="2450" spans="1:10" x14ac:dyDescent="0.2">
      <c r="A2450" s="3">
        <v>45835</v>
      </c>
      <c r="B2450" s="1">
        <f ca="1">IFERROR(__xludf.DUMMYFUNCTION("""COMPUTED_VALUE"""),324.51)</f>
        <v>324.51</v>
      </c>
      <c r="C2450" s="1">
        <f ca="1">IFERROR(__xludf.DUMMYFUNCTION("""COMPUTED_VALUE"""),329.34)</f>
        <v>329.34</v>
      </c>
      <c r="D2450" s="1">
        <f ca="1">IFERROR(__xludf.DUMMYFUNCTION("""COMPUTED_VALUE"""),317.5)</f>
        <v>317.5</v>
      </c>
      <c r="E2450" s="1">
        <f ca="1">IFERROR(__xludf.DUMMYFUNCTION("""COMPUTED_VALUE"""),323.63)</f>
        <v>323.63</v>
      </c>
      <c r="F2450" s="1">
        <f ca="1">IFERROR(__xludf.DUMMYFUNCTION("""COMPUTED_VALUE"""),89067049)</f>
        <v>89067049</v>
      </c>
      <c r="G2450" s="5">
        <f t="shared" ca="1" si="114"/>
        <v>-1.8446991935234591E-2</v>
      </c>
      <c r="H2450" s="14">
        <f t="shared" si="115"/>
        <v>2025</v>
      </c>
      <c r="I2450" s="5">
        <f t="shared" ca="1" si="116"/>
        <v>-2.7117808388031047E-3</v>
      </c>
      <c r="J2450" s="16"/>
    </row>
    <row r="2451" spans="1:10" x14ac:dyDescent="0.2">
      <c r="A2451" s="3">
        <v>45838</v>
      </c>
      <c r="B2451" s="1">
        <f ca="1">IFERROR(__xludf.DUMMYFUNCTION("""COMPUTED_VALUE"""),319.9)</f>
        <v>319.89999999999998</v>
      </c>
      <c r="C2451" s="1">
        <f ca="1">IFERROR(__xludf.DUMMYFUNCTION("""COMPUTED_VALUE"""),325.58)</f>
        <v>325.58</v>
      </c>
      <c r="D2451" s="1">
        <f ca="1">IFERROR(__xludf.DUMMYFUNCTION("""COMPUTED_VALUE"""),316.6)</f>
        <v>316.60000000000002</v>
      </c>
      <c r="E2451" s="1">
        <f ca="1">IFERROR(__xludf.DUMMYFUNCTION("""COMPUTED_VALUE"""),317.66)</f>
        <v>317.66000000000003</v>
      </c>
      <c r="F2451" s="1">
        <f ca="1">IFERROR(__xludf.DUMMYFUNCTION("""COMPUTED_VALUE"""),76695081)</f>
        <v>76695081</v>
      </c>
      <c r="G2451" s="5">
        <f t="shared" ca="1" si="114"/>
        <v>-5.3358937228483422E-2</v>
      </c>
      <c r="H2451" s="14">
        <f t="shared" si="115"/>
        <v>2025</v>
      </c>
      <c r="I2451" s="5">
        <f t="shared" ca="1" si="116"/>
        <v>-7.0021881838072909E-3</v>
      </c>
      <c r="J2451" s="16"/>
    </row>
    <row r="2452" spans="1:10" x14ac:dyDescent="0.2">
      <c r="A2452" s="3">
        <v>45839</v>
      </c>
      <c r="B2452" s="1">
        <f ca="1">IFERROR(__xludf.DUMMYFUNCTION("""COMPUTED_VALUE"""),298.46)</f>
        <v>298.45999999999998</v>
      </c>
      <c r="C2452" s="1">
        <f ca="1">IFERROR(__xludf.DUMMYFUNCTION("""COMPUTED_VALUE"""),305.89)</f>
        <v>305.89</v>
      </c>
      <c r="D2452" s="1">
        <f ca="1">IFERROR(__xludf.DUMMYFUNCTION("""COMPUTED_VALUE"""),293.21)</f>
        <v>293.20999999999998</v>
      </c>
      <c r="E2452" s="1">
        <f ca="1">IFERROR(__xludf.DUMMYFUNCTION("""COMPUTED_VALUE"""),300.71)</f>
        <v>300.70999999999998</v>
      </c>
      <c r="F2452" s="1">
        <f ca="1">IFERROR(__xludf.DUMMYFUNCTION("""COMPUTED_VALUE"""),145085665)</f>
        <v>145085665</v>
      </c>
      <c r="G2452" s="5">
        <f t="shared" ca="1" si="114"/>
        <v>4.9682418276745036E-2</v>
      </c>
      <c r="H2452" s="14">
        <f t="shared" si="115"/>
        <v>2025</v>
      </c>
      <c r="I2452" s="5">
        <f t="shared" ca="1" si="116"/>
        <v>7.5386986530858414E-3</v>
      </c>
      <c r="J2452" s="16"/>
    </row>
    <row r="2453" spans="1:10" x14ac:dyDescent="0.2">
      <c r="A2453" s="3">
        <v>45840</v>
      </c>
      <c r="B2453" s="1">
        <f ca="1">IFERROR(__xludf.DUMMYFUNCTION("""COMPUTED_VALUE"""),312.63)</f>
        <v>312.63</v>
      </c>
      <c r="C2453" s="1">
        <f ca="1">IFERROR(__xludf.DUMMYFUNCTION("""COMPUTED_VALUE"""),316.83)</f>
        <v>316.83</v>
      </c>
      <c r="D2453" s="1">
        <f ca="1">IFERROR(__xludf.DUMMYFUNCTION("""COMPUTED_VALUE"""),303.82)</f>
        <v>303.82</v>
      </c>
      <c r="E2453" s="1">
        <f ca="1">IFERROR(__xludf.DUMMYFUNCTION("""COMPUTED_VALUE"""),315.65)</f>
        <v>315.64999999999998</v>
      </c>
      <c r="F2453" s="1">
        <f ca="1">IFERROR(__xludf.DUMMYFUNCTION("""COMPUTED_VALUE"""),119483730)</f>
        <v>119483730</v>
      </c>
      <c r="G2453" s="5">
        <f t="shared" ca="1" si="114"/>
        <v>-9.504197687310456E-4</v>
      </c>
      <c r="H2453" s="14">
        <f t="shared" si="115"/>
        <v>2025</v>
      </c>
      <c r="I2453" s="5">
        <f t="shared" ca="1" si="116"/>
        <v>9.6599814477176908E-3</v>
      </c>
      <c r="J2453" s="16"/>
    </row>
    <row r="2454" spans="1:10" x14ac:dyDescent="0.2">
      <c r="A2454" s="3">
        <v>45841</v>
      </c>
      <c r="B2454" s="1">
        <f ca="1">IFERROR(__xludf.DUMMYFUNCTION("""COMPUTED_VALUE"""),317.99)</f>
        <v>317.99</v>
      </c>
      <c r="C2454" s="1">
        <f ca="1">IFERROR(__xludf.DUMMYFUNCTION("""COMPUTED_VALUE"""),318.45)</f>
        <v>318.45</v>
      </c>
      <c r="D2454" s="1">
        <f ca="1">IFERROR(__xludf.DUMMYFUNCTION("""COMPUTED_VALUE"""),312.76)</f>
        <v>312.76</v>
      </c>
      <c r="E2454" s="1">
        <f ca="1">IFERROR(__xludf.DUMMYFUNCTION("""COMPUTED_VALUE"""),315.35)</f>
        <v>315.35000000000002</v>
      </c>
      <c r="F2454" s="1">
        <f ca="1">IFERROR(__xludf.DUMMYFUNCTION("""COMPUTED_VALUE"""),58042302)</f>
        <v>58042302</v>
      </c>
      <c r="G2454" s="5">
        <f t="shared" ca="1" si="114"/>
        <v>-6.7892817504360312E-2</v>
      </c>
      <c r="H2454" s="14">
        <f t="shared" si="115"/>
        <v>2025</v>
      </c>
      <c r="I2454" s="5">
        <f t="shared" ca="1" si="116"/>
        <v>-8.3021478662850604E-3</v>
      </c>
      <c r="J2454" s="16"/>
    </row>
    <row r="2455" spans="1:10" x14ac:dyDescent="0.2">
      <c r="A2455" s="3">
        <v>45845</v>
      </c>
      <c r="B2455" s="1">
        <f ca="1">IFERROR(__xludf.DUMMYFUNCTION("""COMPUTED_VALUE"""),291.37)</f>
        <v>291.37</v>
      </c>
      <c r="C2455" s="1">
        <f ca="1">IFERROR(__xludf.DUMMYFUNCTION("""COMPUTED_VALUE"""),296.15)</f>
        <v>296.14999999999998</v>
      </c>
      <c r="D2455" s="1">
        <f ca="1">IFERROR(__xludf.DUMMYFUNCTION("""COMPUTED_VALUE"""),288.77)</f>
        <v>288.77</v>
      </c>
      <c r="E2455" s="1">
        <f ca="1">IFERROR(__xludf.DUMMYFUNCTION("""COMPUTED_VALUE"""),293.94)</f>
        <v>293.94</v>
      </c>
      <c r="F2455" s="1">
        <f ca="1">IFERROR(__xludf.DUMMYFUNCTION("""COMPUTED_VALUE"""),131177949)</f>
        <v>131177949</v>
      </c>
      <c r="G2455" s="5">
        <f t="shared" ca="1" si="114"/>
        <v>1.3165952235150047E-2</v>
      </c>
      <c r="H2455" s="14">
        <f t="shared" si="115"/>
        <v>2025</v>
      </c>
      <c r="I2455" s="5">
        <f t="shared" ca="1" si="116"/>
        <v>8.8204001784672175E-3</v>
      </c>
      <c r="J2455" s="16"/>
    </row>
    <row r="2456" spans="1:10" x14ac:dyDescent="0.2">
      <c r="A2456" s="3">
        <v>45846</v>
      </c>
      <c r="B2456" s="1">
        <f ca="1">IFERROR(__xludf.DUMMYFUNCTION("""COMPUTED_VALUE"""),297)</f>
        <v>297</v>
      </c>
      <c r="C2456" s="1">
        <f ca="1">IFERROR(__xludf.DUMMYFUNCTION("""COMPUTED_VALUE"""),304.05)</f>
        <v>304.05</v>
      </c>
      <c r="D2456" s="1">
        <f ca="1">IFERROR(__xludf.DUMMYFUNCTION("""COMPUTED_VALUE"""),294.35)</f>
        <v>294.35000000000002</v>
      </c>
      <c r="E2456" s="1">
        <f ca="1">IFERROR(__xludf.DUMMYFUNCTION("""COMPUTED_VALUE"""),297.81)</f>
        <v>297.81</v>
      </c>
      <c r="F2456" s="1">
        <f ca="1">IFERROR(__xludf.DUMMYFUNCTION("""COMPUTED_VALUE"""),103246742)</f>
        <v>103246742</v>
      </c>
      <c r="G2456" s="5">
        <f t="shared" ca="1" si="114"/>
        <v>-6.4806420200799394E-3</v>
      </c>
      <c r="H2456" s="14">
        <f t="shared" si="115"/>
        <v>2025</v>
      </c>
      <c r="I2456" s="5">
        <f t="shared" ca="1" si="116"/>
        <v>2.7272727272727349E-3</v>
      </c>
      <c r="J2456" s="16"/>
    </row>
    <row r="2457" spans="1:10" x14ac:dyDescent="0.2">
      <c r="A2457" s="3">
        <v>45847</v>
      </c>
      <c r="B2457" s="1">
        <f ca="1">IFERROR(__xludf.DUMMYFUNCTION("""COMPUTED_VALUE"""),297.55)</f>
        <v>297.55</v>
      </c>
      <c r="C2457" s="1">
        <f ca="1">IFERROR(__xludf.DUMMYFUNCTION("""COMPUTED_VALUE"""),300.15)</f>
        <v>300.14999999999998</v>
      </c>
      <c r="D2457" s="1">
        <f ca="1">IFERROR(__xludf.DUMMYFUNCTION("""COMPUTED_VALUE"""),293.55)</f>
        <v>293.55</v>
      </c>
      <c r="E2457" s="1">
        <f ca="1">IFERROR(__xludf.DUMMYFUNCTION("""COMPUTED_VALUE"""),295.88)</f>
        <v>295.88</v>
      </c>
      <c r="F2457" s="1">
        <f ca="1">IFERROR(__xludf.DUMMYFUNCTION("""COMPUTED_VALUE"""),75586771)</f>
        <v>75586771</v>
      </c>
      <c r="G2457" s="5">
        <f t="shared" ca="1" si="114"/>
        <v>4.7282682168446701E-2</v>
      </c>
      <c r="H2457" s="14">
        <f t="shared" si="115"/>
        <v>2025</v>
      </c>
      <c r="I2457" s="5">
        <f t="shared" ca="1" si="116"/>
        <v>-5.6125021004873659E-3</v>
      </c>
      <c r="J2457" s="16"/>
    </row>
    <row r="2458" spans="1:10" x14ac:dyDescent="0.2">
      <c r="A2458" s="3">
        <v>45848</v>
      </c>
      <c r="B2458" s="1">
        <f ca="1">IFERROR(__xludf.DUMMYFUNCTION("""COMPUTED_VALUE"""),300.05)</f>
        <v>300.05</v>
      </c>
      <c r="C2458" s="1">
        <f ca="1">IFERROR(__xludf.DUMMYFUNCTION("""COMPUTED_VALUE"""),310.48)</f>
        <v>310.48</v>
      </c>
      <c r="D2458" s="1">
        <f ca="1">IFERROR(__xludf.DUMMYFUNCTION("""COMPUTED_VALUE"""),300)</f>
        <v>300</v>
      </c>
      <c r="E2458" s="1">
        <f ca="1">IFERROR(__xludf.DUMMYFUNCTION("""COMPUTED_VALUE"""),309.87)</f>
        <v>309.87</v>
      </c>
      <c r="F2458" s="1">
        <f ca="1">IFERROR(__xludf.DUMMYFUNCTION("""COMPUTED_VALUE"""),104365271)</f>
        <v>104365271</v>
      </c>
      <c r="G2458" s="5">
        <f t="shared" ca="1" si="114"/>
        <v>1.1746861587117133E-2</v>
      </c>
      <c r="H2458" s="14">
        <f t="shared" si="115"/>
        <v>2025</v>
      </c>
      <c r="I2458" s="5">
        <f t="shared" ca="1" si="116"/>
        <v>3.2727878686885495E-2</v>
      </c>
      <c r="J2458" s="16"/>
    </row>
    <row r="2459" spans="1:10" x14ac:dyDescent="0.2">
      <c r="A2459" s="3">
        <v>45849</v>
      </c>
      <c r="B2459" s="1">
        <f ca="1">IFERROR(__xludf.DUMMYFUNCTION("""COMPUTED_VALUE"""),307.89)</f>
        <v>307.89</v>
      </c>
      <c r="C2459" s="1">
        <f ca="1">IFERROR(__xludf.DUMMYFUNCTION("""COMPUTED_VALUE"""),314.09)</f>
        <v>314.08999999999997</v>
      </c>
      <c r="D2459" s="1">
        <f ca="1">IFERROR(__xludf.DUMMYFUNCTION("""COMPUTED_VALUE"""),305.65)</f>
        <v>305.64999999999998</v>
      </c>
      <c r="E2459" s="1">
        <f ca="1">IFERROR(__xludf.DUMMYFUNCTION("""COMPUTED_VALUE"""),313.51)</f>
        <v>313.51</v>
      </c>
      <c r="F2459" s="1">
        <f ca="1">IFERROR(__xludf.DUMMYFUNCTION("""COMPUTED_VALUE"""),79236442)</f>
        <v>79236442</v>
      </c>
      <c r="G2459" s="5">
        <f t="shared" ca="1" si="114"/>
        <v>1.08130522152403E-2</v>
      </c>
      <c r="H2459" s="14">
        <f t="shared" si="115"/>
        <v>2025</v>
      </c>
      <c r="I2459" s="5">
        <f t="shared" ca="1" si="116"/>
        <v>1.8253272272564892E-2</v>
      </c>
      <c r="J2459" s="16"/>
    </row>
    <row r="2460" spans="1:10" x14ac:dyDescent="0.2">
      <c r="A2460" s="3">
        <v>45852</v>
      </c>
      <c r="B2460" s="1">
        <f ca="1">IFERROR(__xludf.DUMMYFUNCTION("""COMPUTED_VALUE"""),317.73)</f>
        <v>317.73</v>
      </c>
      <c r="C2460" s="1">
        <f ca="1">IFERROR(__xludf.DUMMYFUNCTION("""COMPUTED_VALUE"""),322.6)</f>
        <v>322.60000000000002</v>
      </c>
      <c r="D2460" s="1">
        <f ca="1">IFERROR(__xludf.DUMMYFUNCTION("""COMPUTED_VALUE"""),312.67)</f>
        <v>312.67</v>
      </c>
      <c r="E2460" s="1">
        <f ca="1">IFERROR(__xludf.DUMMYFUNCTION("""COMPUTED_VALUE"""),316.9)</f>
        <v>316.89999999999998</v>
      </c>
      <c r="F2460" s="1">
        <f ca="1">IFERROR(__xludf.DUMMYFUNCTION("""COMPUTED_VALUE"""),78043430)</f>
        <v>78043430</v>
      </c>
      <c r="G2460" s="5">
        <f t="shared" ca="1" si="114"/>
        <v>-1.93120858314926E-2</v>
      </c>
      <c r="H2460" s="14">
        <f t="shared" si="115"/>
        <v>2025</v>
      </c>
      <c r="I2460" s="5">
        <f t="shared" ca="1" si="116"/>
        <v>-2.6122808674032697E-3</v>
      </c>
      <c r="J2460" s="16"/>
    </row>
    <row r="2461" spans="1:10" x14ac:dyDescent="0.2">
      <c r="A2461" s="3">
        <v>45853</v>
      </c>
      <c r="B2461" s="1">
        <f ca="1">IFERROR(__xludf.DUMMYFUNCTION("""COMPUTED_VALUE"""),319.68)</f>
        <v>319.68</v>
      </c>
      <c r="C2461" s="1">
        <f ca="1">IFERROR(__xludf.DUMMYFUNCTION("""COMPUTED_VALUE"""),321.2)</f>
        <v>321.2</v>
      </c>
      <c r="D2461" s="1">
        <f ca="1">IFERROR(__xludf.DUMMYFUNCTION("""COMPUTED_VALUE"""),310.5)</f>
        <v>310.5</v>
      </c>
      <c r="E2461" s="1">
        <f ca="1">IFERROR(__xludf.DUMMYFUNCTION("""COMPUTED_VALUE"""),310.78)</f>
        <v>310.77999999999997</v>
      </c>
      <c r="F2461" s="1">
        <f ca="1">IFERROR(__xludf.DUMMYFUNCTION("""COMPUTED_VALUE"""),77556346)</f>
        <v>77556346</v>
      </c>
      <c r="G2461" s="5">
        <f t="shared" ca="1" si="114"/>
        <v>3.5040864920522698E-2</v>
      </c>
      <c r="H2461" s="14">
        <f t="shared" si="115"/>
        <v>2025</v>
      </c>
      <c r="I2461" s="5">
        <f t="shared" ca="1" si="116"/>
        <v>-2.7840340340340445E-2</v>
      </c>
      <c r="J2461" s="16"/>
    </row>
    <row r="2462" spans="1:10" x14ac:dyDescent="0.2">
      <c r="A2462" s="3">
        <v>45854</v>
      </c>
      <c r="B2462" s="1">
        <f ca="1">IFERROR(__xludf.DUMMYFUNCTION("""COMPUTED_VALUE"""),312.8)</f>
        <v>312.8</v>
      </c>
      <c r="C2462" s="1">
        <f ca="1">IFERROR(__xludf.DUMMYFUNCTION("""COMPUTED_VALUE"""),323.5)</f>
        <v>323.5</v>
      </c>
      <c r="D2462" s="1">
        <f ca="1">IFERROR(__xludf.DUMMYFUNCTION("""COMPUTED_VALUE"""),312.62)</f>
        <v>312.62</v>
      </c>
      <c r="E2462" s="1">
        <f ca="1">IFERROR(__xludf.DUMMYFUNCTION("""COMPUTED_VALUE"""),321.67)</f>
        <v>321.67</v>
      </c>
      <c r="F2462" s="1">
        <f ca="1">IFERROR(__xludf.DUMMYFUNCTION("""COMPUTED_VALUE"""),97284786)</f>
        <v>97284786</v>
      </c>
      <c r="G2462" s="5">
        <f t="shared" ca="1" si="114"/>
        <v>-7.025833929182052E-3</v>
      </c>
      <c r="H2462" s="14">
        <f t="shared" si="115"/>
        <v>2025</v>
      </c>
      <c r="I2462" s="5">
        <f t="shared" ca="1" si="116"/>
        <v>2.8356777493606152E-2</v>
      </c>
      <c r="J2462" s="16"/>
    </row>
    <row r="2463" spans="1:10" x14ac:dyDescent="0.2">
      <c r="A2463" s="3">
        <v>45855</v>
      </c>
      <c r="B2463" s="1">
        <f ca="1">IFERROR(__xludf.DUMMYFUNCTION("""COMPUTED_VALUE"""),323.15)</f>
        <v>323.14999999999998</v>
      </c>
      <c r="C2463" s="1">
        <f ca="1">IFERROR(__xludf.DUMMYFUNCTION("""COMPUTED_VALUE"""),324.34)</f>
        <v>324.33999999999997</v>
      </c>
      <c r="D2463" s="1">
        <f ca="1">IFERROR(__xludf.DUMMYFUNCTION("""COMPUTED_VALUE"""),317.06)</f>
        <v>317.06</v>
      </c>
      <c r="E2463" s="1">
        <f ca="1">IFERROR(__xludf.DUMMYFUNCTION("""COMPUTED_VALUE"""),319.41)</f>
        <v>319.41000000000003</v>
      </c>
      <c r="F2463" s="1">
        <f ca="1">IFERROR(__xludf.DUMMYFUNCTION("""COMPUTED_VALUE"""),73922870)</f>
        <v>73922870</v>
      </c>
      <c r="G2463" s="5">
        <f t="shared" ca="1" si="114"/>
        <v>3.2059108982185752E-2</v>
      </c>
      <c r="H2463" s="14">
        <f t="shared" si="115"/>
        <v>2025</v>
      </c>
      <c r="I2463" s="5">
        <f t="shared" ca="1" si="116"/>
        <v>-1.1573572644282694E-2</v>
      </c>
      <c r="J2463" s="16"/>
    </row>
    <row r="2464" spans="1:10" x14ac:dyDescent="0.2">
      <c r="A2464" s="3">
        <v>45856</v>
      </c>
      <c r="B2464" s="1">
        <f ca="1">IFERROR(__xludf.DUMMYFUNCTION("""COMPUTED_VALUE"""),321.66)</f>
        <v>321.66000000000003</v>
      </c>
      <c r="C2464" s="1">
        <f ca="1">IFERROR(__xludf.DUMMYFUNCTION("""COMPUTED_VALUE"""),330.9)</f>
        <v>330.9</v>
      </c>
      <c r="D2464" s="1">
        <f ca="1">IFERROR(__xludf.DUMMYFUNCTION("""COMPUTED_VALUE"""),321.42)</f>
        <v>321.42</v>
      </c>
      <c r="E2464" s="1">
        <f ca="1">IFERROR(__xludf.DUMMYFUNCTION("""COMPUTED_VALUE"""),329.65)</f>
        <v>329.65</v>
      </c>
      <c r="F2464" s="1">
        <f ca="1">IFERROR(__xludf.DUMMYFUNCTION("""COMPUTED_VALUE"""),94254993)</f>
        <v>94254993</v>
      </c>
      <c r="G2464" s="5">
        <f t="shared" ca="1" si="114"/>
        <v>-3.5188836644925474E-3</v>
      </c>
      <c r="H2464" s="14">
        <f t="shared" si="115"/>
        <v>2025</v>
      </c>
      <c r="I2464" s="5">
        <f t="shared" ca="1" si="116"/>
        <v>2.4839893054778187E-2</v>
      </c>
      <c r="J2464" s="16"/>
    </row>
    <row r="2465" spans="1:10" x14ac:dyDescent="0.2">
      <c r="A2465" s="3">
        <v>45859</v>
      </c>
      <c r="B2465" s="1">
        <f ca="1">IFERROR(__xludf.DUMMYFUNCTION("""COMPUTED_VALUE"""),334.4)</f>
        <v>334.4</v>
      </c>
      <c r="C2465" s="1">
        <f ca="1">IFERROR(__xludf.DUMMYFUNCTION("""COMPUTED_VALUE"""),338)</f>
        <v>338</v>
      </c>
      <c r="D2465" s="1">
        <f ca="1">IFERROR(__xludf.DUMMYFUNCTION("""COMPUTED_VALUE"""),326.88)</f>
        <v>326.88</v>
      </c>
      <c r="E2465" s="1">
        <f ca="1">IFERROR(__xludf.DUMMYFUNCTION("""COMPUTED_VALUE"""),328.49)</f>
        <v>328.49</v>
      </c>
      <c r="F2465" s="1">
        <f ca="1">IFERROR(__xludf.DUMMYFUNCTION("""COMPUTED_VALUE"""),75768797)</f>
        <v>75768797</v>
      </c>
      <c r="G2465" s="5">
        <f t="shared" ca="1" si="114"/>
        <v>1.10201223781546E-2</v>
      </c>
      <c r="H2465" s="14">
        <f t="shared" si="115"/>
        <v>2025</v>
      </c>
      <c r="I2465" s="5">
        <f t="shared" ca="1" si="116"/>
        <v>-1.7673444976076463E-2</v>
      </c>
      <c r="J2465" s="16"/>
    </row>
    <row r="2466" spans="1:10" x14ac:dyDescent="0.2">
      <c r="A2466" s="3">
        <v>45860</v>
      </c>
      <c r="B2466" s="1">
        <f ca="1">IFERROR(__xludf.DUMMYFUNCTION("""COMPUTED_VALUE"""),329.74)</f>
        <v>329.74</v>
      </c>
      <c r="C2466" s="1">
        <f ca="1">IFERROR(__xludf.DUMMYFUNCTION("""COMPUTED_VALUE"""),335.41)</f>
        <v>335.41</v>
      </c>
      <c r="D2466" s="1">
        <f ca="1">IFERROR(__xludf.DUMMYFUNCTION("""COMPUTED_VALUE"""),321.55)</f>
        <v>321.55</v>
      </c>
      <c r="E2466" s="1">
        <f ca="1">IFERROR(__xludf.DUMMYFUNCTION("""COMPUTED_VALUE"""),332.11)</f>
        <v>332.11</v>
      </c>
      <c r="F2466" s="1">
        <f ca="1">IFERROR(__xludf.DUMMYFUNCTION("""COMPUTED_VALUE"""),77370371)</f>
        <v>77370371</v>
      </c>
      <c r="G2466" s="5">
        <f t="shared" ca="1" si="114"/>
        <v>1.354972749992438E-3</v>
      </c>
      <c r="H2466" s="14">
        <f t="shared" si="115"/>
        <v>2025</v>
      </c>
      <c r="I2466" s="5">
        <f t="shared" ca="1" si="116"/>
        <v>7.1874810456723616E-3</v>
      </c>
      <c r="J2466" s="16"/>
    </row>
    <row r="2467" spans="1:10" x14ac:dyDescent="0.2">
      <c r="A2467" s="3">
        <v>45861</v>
      </c>
      <c r="B2467" s="1">
        <f ca="1">IFERROR(__xludf.DUMMYFUNCTION("""COMPUTED_VALUE"""),330.9)</f>
        <v>330.9</v>
      </c>
      <c r="C2467" s="1">
        <f ca="1">IFERROR(__xludf.DUMMYFUNCTION("""COMPUTED_VALUE"""),336.2)</f>
        <v>336.2</v>
      </c>
      <c r="D2467" s="1">
        <f ca="1">IFERROR(__xludf.DUMMYFUNCTION("""COMPUTED_VALUE"""),328.67)</f>
        <v>328.67</v>
      </c>
      <c r="E2467" s="1">
        <f ca="1">IFERROR(__xludf.DUMMYFUNCTION("""COMPUTED_VALUE"""),332.56)</f>
        <v>332.56</v>
      </c>
      <c r="F2467" s="1">
        <f ca="1">IFERROR(__xludf.DUMMYFUNCTION("""COMPUTED_VALUE"""),92553756)</f>
        <v>92553756</v>
      </c>
      <c r="G2467" s="5">
        <f t="shared" ca="1" si="114"/>
        <v>-8.1970170796247271E-2</v>
      </c>
      <c r="H2467" s="14">
        <f t="shared" si="115"/>
        <v>2025</v>
      </c>
      <c r="I2467" s="5">
        <f t="shared" ca="1" si="116"/>
        <v>5.0166213357510578E-3</v>
      </c>
      <c r="J2467" s="16"/>
    </row>
    <row r="2468" spans="1:10" x14ac:dyDescent="0.2">
      <c r="A2468" s="3">
        <v>45862</v>
      </c>
      <c r="B2468" s="1">
        <f ca="1">IFERROR(__xludf.DUMMYFUNCTION("""COMPUTED_VALUE"""),310)</f>
        <v>310</v>
      </c>
      <c r="C2468" s="1">
        <f ca="1">IFERROR(__xludf.DUMMYFUNCTION("""COMPUTED_VALUE"""),310.15)</f>
        <v>310.14999999999998</v>
      </c>
      <c r="D2468" s="1">
        <f ca="1">IFERROR(__xludf.DUMMYFUNCTION("""COMPUTED_VALUE"""),300.41)</f>
        <v>300.41000000000003</v>
      </c>
      <c r="E2468" s="1">
        <f ca="1">IFERROR(__xludf.DUMMYFUNCTION("""COMPUTED_VALUE"""),305.3)</f>
        <v>305.3</v>
      </c>
      <c r="F2468" s="1">
        <f ca="1">IFERROR(__xludf.DUMMYFUNCTION("""COMPUTED_VALUE"""),156966023)</f>
        <v>156966023</v>
      </c>
      <c r="G2468" s="5">
        <f t="shared" ca="1" si="114"/>
        <v>3.5244022273173893E-2</v>
      </c>
      <c r="H2468" s="14">
        <f t="shared" si="115"/>
        <v>2025</v>
      </c>
      <c r="I2468" s="5">
        <f t="shared" ca="1" si="116"/>
        <v>-1.5161290322580609E-2</v>
      </c>
      <c r="J2468" s="16"/>
    </row>
    <row r="2469" spans="1:10" x14ac:dyDescent="0.2">
      <c r="A2469" s="3">
        <v>45863</v>
      </c>
      <c r="B2469" s="1">
        <f ca="1">IFERROR(__xludf.DUMMYFUNCTION("""COMPUTED_VALUE"""),308.74)</f>
        <v>308.74</v>
      </c>
      <c r="C2469" s="1">
        <f ca="1">IFERROR(__xludf.DUMMYFUNCTION("""COMPUTED_VALUE"""),323.63)</f>
        <v>323.63</v>
      </c>
      <c r="D2469" s="1">
        <f ca="1">IFERROR(__xludf.DUMMYFUNCTION("""COMPUTED_VALUE"""),308.01)</f>
        <v>308.01</v>
      </c>
      <c r="E2469" s="1">
        <f ca="1">IFERROR(__xludf.DUMMYFUNCTION("""COMPUTED_VALUE"""),316.06)</f>
        <v>316.06</v>
      </c>
      <c r="F2469" s="1">
        <f ca="1">IFERROR(__xludf.DUMMYFUNCTION("""COMPUTED_VALUE"""),148227027)</f>
        <v>148227027</v>
      </c>
      <c r="G2469" s="5">
        <f t="shared" ca="1" si="114"/>
        <v>3.0152502689362693E-2</v>
      </c>
      <c r="H2469" s="14">
        <f t="shared" si="115"/>
        <v>2025</v>
      </c>
      <c r="I2469" s="5">
        <f t="shared" ca="1" si="116"/>
        <v>2.3709269935868346E-2</v>
      </c>
      <c r="J2469" s="16"/>
    </row>
    <row r="2470" spans="1:10" x14ac:dyDescent="0.2">
      <c r="A2470" s="3">
        <v>45866</v>
      </c>
      <c r="B2470" s="1">
        <f ca="1">IFERROR(__xludf.DUMMYFUNCTION("""COMPUTED_VALUE"""),318.45)</f>
        <v>318.45</v>
      </c>
      <c r="C2470" s="1">
        <f ca="1">IFERROR(__xludf.DUMMYFUNCTION("""COMPUTED_VALUE"""),330.49)</f>
        <v>330.49</v>
      </c>
      <c r="D2470" s="1">
        <f ca="1">IFERROR(__xludf.DUMMYFUNCTION("""COMPUTED_VALUE"""),315.69)</f>
        <v>315.69</v>
      </c>
      <c r="E2470" s="1">
        <f ca="1">IFERROR(__xludf.DUMMYFUNCTION("""COMPUTED_VALUE"""),325.59)</f>
        <v>325.58999999999997</v>
      </c>
      <c r="F2470" s="1">
        <f ca="1">IFERROR(__xludf.DUMMYFUNCTION("""COMPUTED_VALUE"""),112673755)</f>
        <v>112673755</v>
      </c>
      <c r="G2470" s="5">
        <f t="shared" ca="1" si="114"/>
        <v>-1.3483215086458389E-2</v>
      </c>
      <c r="H2470" s="14">
        <f t="shared" si="115"/>
        <v>2025</v>
      </c>
      <c r="I2470" s="5">
        <f t="shared" ca="1" si="116"/>
        <v>2.2421102213848285E-2</v>
      </c>
      <c r="J2470" s="16"/>
    </row>
    <row r="2471" spans="1:10" x14ac:dyDescent="0.2">
      <c r="A2471" s="3">
        <v>45867</v>
      </c>
      <c r="B2471" s="1">
        <f ca="1">IFERROR(__xludf.DUMMYFUNCTION("""COMPUTED_VALUE"""),325.55)</f>
        <v>325.55</v>
      </c>
      <c r="C2471" s="1">
        <f ca="1">IFERROR(__xludf.DUMMYFUNCTION("""COMPUTED_VALUE"""),326.25)</f>
        <v>326.25</v>
      </c>
      <c r="D2471" s="1">
        <f ca="1">IFERROR(__xludf.DUMMYFUNCTION("""COMPUTED_VALUE"""),318.25)</f>
        <v>318.25</v>
      </c>
      <c r="E2471" s="1">
        <f ca="1">IFERROR(__xludf.DUMMYFUNCTION("""COMPUTED_VALUE"""),321.2)</f>
        <v>321.2</v>
      </c>
      <c r="F2471" s="1">
        <f ca="1">IFERROR(__xludf.DUMMYFUNCTION("""COMPUTED_VALUE"""),87358861)</f>
        <v>87358861</v>
      </c>
      <c r="G2471" s="5">
        <f t="shared" ca="1" si="114"/>
        <v>-6.7247820672477216E-3</v>
      </c>
      <c r="H2471" s="14">
        <f t="shared" si="115"/>
        <v>2025</v>
      </c>
      <c r="I2471" s="5">
        <f t="shared" ca="1" si="116"/>
        <v>-1.3362002764552365E-2</v>
      </c>
      <c r="J2471" s="16"/>
    </row>
    <row r="2472" spans="1:10" x14ac:dyDescent="0.2">
      <c r="A2472" s="3">
        <v>45868</v>
      </c>
      <c r="B2472" s="1">
        <f ca="1">IFERROR(__xludf.DUMMYFUNCTION("""COMPUTED_VALUE"""),322.18)</f>
        <v>322.18</v>
      </c>
      <c r="C2472" s="1">
        <f ca="1">IFERROR(__xludf.DUMMYFUNCTION("""COMPUTED_VALUE"""),324.45)</f>
        <v>324.45</v>
      </c>
      <c r="D2472" s="1">
        <f ca="1">IFERROR(__xludf.DUMMYFUNCTION("""COMPUTED_VALUE"""),311.62)</f>
        <v>311.62</v>
      </c>
      <c r="E2472" s="1">
        <f ca="1">IFERROR(__xludf.DUMMYFUNCTION("""COMPUTED_VALUE"""),319.04)</f>
        <v>319.04000000000002</v>
      </c>
      <c r="F2472" s="1">
        <f ca="1">IFERROR(__xludf.DUMMYFUNCTION("""COMPUTED_VALUE"""),83931942)</f>
        <v>83931942</v>
      </c>
      <c r="G2472" s="5">
        <f t="shared" ca="1" si="114"/>
        <v>-3.375752256770323E-2</v>
      </c>
      <c r="H2472" s="14">
        <f t="shared" si="115"/>
        <v>2025</v>
      </c>
      <c r="I2472" s="5">
        <f t="shared" ca="1" si="116"/>
        <v>-9.7461046619901487E-3</v>
      </c>
      <c r="J2472" s="16"/>
    </row>
    <row r="2473" spans="1:10" x14ac:dyDescent="0.2">
      <c r="A2473" s="3">
        <v>45869</v>
      </c>
      <c r="B2473" s="1">
        <f ca="1">IFERROR(__xludf.DUMMYFUNCTION("""COMPUTED_VALUE"""),319.61)</f>
        <v>319.61</v>
      </c>
      <c r="C2473" s="1">
        <f ca="1">IFERROR(__xludf.DUMMYFUNCTION("""COMPUTED_VALUE"""),321.37)</f>
        <v>321.37</v>
      </c>
      <c r="D2473" s="1">
        <f ca="1">IFERROR(__xludf.DUMMYFUNCTION("""COMPUTED_VALUE"""),306.1)</f>
        <v>306.10000000000002</v>
      </c>
      <c r="E2473" s="1">
        <f ca="1">IFERROR(__xludf.DUMMYFUNCTION("""COMPUTED_VALUE"""),308.27)</f>
        <v>308.27</v>
      </c>
      <c r="F2473" s="1">
        <f ca="1">IFERROR(__xludf.DUMMYFUNCTION("""COMPUTED_VALUE"""),85270919)</f>
        <v>85270919</v>
      </c>
      <c r="G2473" s="5">
        <f t="shared" ca="1" si="114"/>
        <v>-1.8295649917280263E-2</v>
      </c>
      <c r="H2473" s="14">
        <f t="shared" si="115"/>
        <v>2025</v>
      </c>
      <c r="I2473" s="5">
        <f t="shared" ca="1" si="116"/>
        <v>-3.5480742154500894E-2</v>
      </c>
      <c r="J2473" s="16"/>
    </row>
    <row r="2474" spans="1:10" x14ac:dyDescent="0.2">
      <c r="A2474" s="3">
        <v>45870</v>
      </c>
      <c r="B2474" s="1">
        <f ca="1">IFERROR(__xludf.DUMMYFUNCTION("""COMPUTED_VALUE"""),306.21)</f>
        <v>306.20999999999998</v>
      </c>
      <c r="C2474" s="1">
        <f ca="1">IFERROR(__xludf.DUMMYFUNCTION("""COMPUTED_VALUE"""),309.31)</f>
        <v>309.31</v>
      </c>
      <c r="D2474" s="1">
        <f ca="1">IFERROR(__xludf.DUMMYFUNCTION("""COMPUTED_VALUE"""),297.82)</f>
        <v>297.82</v>
      </c>
      <c r="E2474" s="1">
        <f ca="1">IFERROR(__xludf.DUMMYFUNCTION("""COMPUTED_VALUE"""),302.63)</f>
        <v>302.63</v>
      </c>
      <c r="F2474" s="1">
        <f ca="1">IFERROR(__xludf.DUMMYFUNCTION("""COMPUTED_VALUE"""),89121446)</f>
        <v>89121446</v>
      </c>
      <c r="G2474" s="5">
        <f t="shared" ca="1" si="114"/>
        <v>2.1907940389254189E-2</v>
      </c>
      <c r="H2474" s="14">
        <f t="shared" si="115"/>
        <v>2025</v>
      </c>
      <c r="I2474" s="5">
        <f t="shared" ca="1" si="116"/>
        <v>-1.16913229483034E-2</v>
      </c>
      <c r="J2474" s="16"/>
    </row>
    <row r="2475" spans="1:10" x14ac:dyDescent="0.2">
      <c r="A2475" s="3">
        <v>45873</v>
      </c>
      <c r="B2475" s="1">
        <f ca="1">IFERROR(__xludf.DUMMYFUNCTION("""COMPUTED_VALUE"""),309.08)</f>
        <v>309.08</v>
      </c>
      <c r="C2475" s="1">
        <f ca="1">IFERROR(__xludf.DUMMYFUNCTION("""COMPUTED_VALUE"""),312.12)</f>
        <v>312.12</v>
      </c>
      <c r="D2475" s="1">
        <f ca="1">IFERROR(__xludf.DUMMYFUNCTION("""COMPUTED_VALUE"""),303)</f>
        <v>303</v>
      </c>
      <c r="E2475" s="1">
        <f ca="1">IFERROR(__xludf.DUMMYFUNCTION("""COMPUTED_VALUE"""),309.26)</f>
        <v>309.26</v>
      </c>
      <c r="F2475" s="1">
        <f ca="1">IFERROR(__xludf.DUMMYFUNCTION("""COMPUTED_VALUE"""),78683905)</f>
        <v>78683905</v>
      </c>
      <c r="G2475" s="5">
        <f t="shared" ca="1" si="114"/>
        <v>-1.7461036021469431E-3</v>
      </c>
      <c r="H2475" s="14">
        <f t="shared" si="115"/>
        <v>2025</v>
      </c>
      <c r="I2475" s="5">
        <f t="shared" ca="1" si="116"/>
        <v>5.8237349553515866E-4</v>
      </c>
      <c r="J2475" s="16"/>
    </row>
    <row r="2476" spans="1:10" x14ac:dyDescent="0.2">
      <c r="A2476" s="3">
        <v>45874</v>
      </c>
      <c r="B2476" s="1">
        <f ca="1">IFERROR(__xludf.DUMMYFUNCTION("""COMPUTED_VALUE"""),308.95)</f>
        <v>308.95</v>
      </c>
      <c r="C2476" s="1">
        <f ca="1">IFERROR(__xludf.DUMMYFUNCTION("""COMPUTED_VALUE"""),312.45)</f>
        <v>312.45</v>
      </c>
      <c r="D2476" s="1">
        <f ca="1">IFERROR(__xludf.DUMMYFUNCTION("""COMPUTED_VALUE"""),305.5)</f>
        <v>305.5</v>
      </c>
      <c r="E2476" s="1">
        <f ca="1">IFERROR(__xludf.DUMMYFUNCTION("""COMPUTED_VALUE"""),308.72)</f>
        <v>308.72000000000003</v>
      </c>
      <c r="F2476" s="1">
        <f ca="1">IFERROR(__xludf.DUMMYFUNCTION("""COMPUTED_VALUE"""),57961278)</f>
        <v>57961278</v>
      </c>
      <c r="G2476" s="5">
        <f t="shared" ca="1" si="114"/>
        <v>3.624643690075148E-2</v>
      </c>
      <c r="H2476" s="14">
        <f t="shared" si="115"/>
        <v>2025</v>
      </c>
      <c r="I2476" s="5">
        <f t="shared" ca="1" si="116"/>
        <v>-7.4445703188205647E-4</v>
      </c>
      <c r="J2476" s="16"/>
    </row>
    <row r="2477" spans="1:10" x14ac:dyDescent="0.2">
      <c r="A2477" s="3">
        <v>45875</v>
      </c>
      <c r="B2477" s="1">
        <f ca="1">IFERROR(__xludf.DUMMYFUNCTION("""COMPUTED_VALUE"""),307.89)</f>
        <v>307.89</v>
      </c>
      <c r="C2477" s="1">
        <f ca="1">IFERROR(__xludf.DUMMYFUNCTION("""COMPUTED_VALUE"""),320.47)</f>
        <v>320.47000000000003</v>
      </c>
      <c r="D2477" s="1">
        <f ca="1">IFERROR(__xludf.DUMMYFUNCTION("""COMPUTED_VALUE"""),306.93)</f>
        <v>306.93</v>
      </c>
      <c r="E2477" s="1">
        <f ca="1">IFERROR(__xludf.DUMMYFUNCTION("""COMPUTED_VALUE"""),319.91)</f>
        <v>319.91000000000003</v>
      </c>
      <c r="F2477" s="1">
        <f ca="1">IFERROR(__xludf.DUMMYFUNCTION("""COMPUTED_VALUE"""),78523579)</f>
        <v>78523579</v>
      </c>
      <c r="G2477" s="5">
        <f t="shared" ca="1" si="114"/>
        <v>7.3770748022880077E-3</v>
      </c>
      <c r="H2477" s="14">
        <f t="shared" si="115"/>
        <v>2025</v>
      </c>
      <c r="I2477" s="5">
        <f t="shared" ca="1" si="116"/>
        <v>3.9039916853421806E-2</v>
      </c>
      <c r="J2477" s="16"/>
    </row>
    <row r="2478" spans="1:10" x14ac:dyDescent="0.2">
      <c r="A2478" s="3">
        <v>45876</v>
      </c>
      <c r="B2478" s="1">
        <f ca="1">IFERROR(__xludf.DUMMYFUNCTION("""COMPUTED_VALUE"""),319.79)</f>
        <v>319.79000000000002</v>
      </c>
      <c r="C2478" s="1">
        <f ca="1">IFERROR(__xludf.DUMMYFUNCTION("""COMPUTED_VALUE"""),322.4)</f>
        <v>322.39999999999998</v>
      </c>
      <c r="D2478" s="1">
        <f ca="1">IFERROR(__xludf.DUMMYFUNCTION("""COMPUTED_VALUE"""),316.16)</f>
        <v>316.16000000000003</v>
      </c>
      <c r="E2478" s="1">
        <f ca="1">IFERROR(__xludf.DUMMYFUNCTION("""COMPUTED_VALUE"""),322.27)</f>
        <v>322.27</v>
      </c>
      <c r="F2478" s="1">
        <f ca="1">IFERROR(__xludf.DUMMYFUNCTION("""COMPUTED_VALUE"""),66658672)</f>
        <v>66658672</v>
      </c>
      <c r="G2478" s="5">
        <f t="shared" ca="1" si="114"/>
        <v>2.2900052750799007E-2</v>
      </c>
      <c r="H2478" s="14">
        <f t="shared" si="115"/>
        <v>2025</v>
      </c>
      <c r="I2478" s="5">
        <f t="shared" ca="1" si="116"/>
        <v>7.7550892773381322E-3</v>
      </c>
      <c r="J2478" s="16"/>
    </row>
    <row r="2479" spans="1:10" x14ac:dyDescent="0.2">
      <c r="A2479" s="3">
        <v>45877</v>
      </c>
      <c r="B2479" s="1">
        <f ca="1">IFERROR(__xludf.DUMMYFUNCTION("""COMPUTED_VALUE"""),321.43)</f>
        <v>321.43</v>
      </c>
      <c r="C2479" s="1">
        <f ca="1">IFERROR(__xludf.DUMMYFUNCTION("""COMPUTED_VALUE"""),335.15)</f>
        <v>335.15</v>
      </c>
      <c r="D2479" s="1">
        <f ca="1">IFERROR(__xludf.DUMMYFUNCTION("""COMPUTED_VALUE"""),320.98)</f>
        <v>320.98</v>
      </c>
      <c r="E2479" s="1">
        <f ca="1">IFERROR(__xludf.DUMMYFUNCTION("""COMPUTED_VALUE"""),329.65)</f>
        <v>329.65</v>
      </c>
      <c r="F2479" s="1">
        <f ca="1">IFERROR(__xludf.DUMMYFUNCTION("""COMPUTED_VALUE"""),91200319)</f>
        <v>91200319</v>
      </c>
      <c r="G2479" s="5">
        <f t="shared" ca="1" si="114"/>
        <v>2.8454421355983608E-2</v>
      </c>
      <c r="H2479" s="14">
        <f t="shared" si="115"/>
        <v>2025</v>
      </c>
      <c r="I2479" s="5">
        <f t="shared" ca="1" si="116"/>
        <v>2.557321967457913E-2</v>
      </c>
      <c r="J2479" s="16"/>
    </row>
    <row r="2480" spans="1:10" x14ac:dyDescent="0.2">
      <c r="A2480" s="3">
        <v>45880</v>
      </c>
      <c r="B2480" s="1">
        <f ca="1">IFERROR(__xludf.DUMMYFUNCTION("""COMPUTED_VALUE"""),335)</f>
        <v>335</v>
      </c>
      <c r="C2480" s="1">
        <f ca="1">IFERROR(__xludf.DUMMYFUNCTION("""COMPUTED_VALUE"""),346.64)</f>
        <v>346.64</v>
      </c>
      <c r="D2480" s="1">
        <f ca="1">IFERROR(__xludf.DUMMYFUNCTION("""COMPUTED_VALUE"""),334.15)</f>
        <v>334.15</v>
      </c>
      <c r="E2480" s="1">
        <f ca="1">IFERROR(__xludf.DUMMYFUNCTION("""COMPUTED_VALUE"""),339.03)</f>
        <v>339.03</v>
      </c>
      <c r="F2480" s="1">
        <f ca="1">IFERROR(__xludf.DUMMYFUNCTION("""COMPUTED_VALUE"""),105320174)</f>
        <v>105320174</v>
      </c>
      <c r="G2480" s="5">
        <f t="shared" ca="1" si="114"/>
        <v>5.3387605816594477E-3</v>
      </c>
      <c r="H2480" s="14">
        <f t="shared" si="115"/>
        <v>2025</v>
      </c>
      <c r="I2480" s="5">
        <f t="shared" ca="1" si="116"/>
        <v>1.2029850746268575E-2</v>
      </c>
      <c r="J2480" s="16"/>
    </row>
    <row r="2481" spans="1:10" x14ac:dyDescent="0.2">
      <c r="A2481" s="3">
        <v>45881</v>
      </c>
      <c r="B2481" s="1">
        <f ca="1">IFERROR(__xludf.DUMMYFUNCTION("""COMPUTED_VALUE"""),345)</f>
        <v>345</v>
      </c>
      <c r="C2481" s="1">
        <f ca="1">IFERROR(__xludf.DUMMYFUNCTION("""COMPUTED_VALUE"""),345.26)</f>
        <v>345.26</v>
      </c>
      <c r="D2481" s="1">
        <f ca="1">IFERROR(__xludf.DUMMYFUNCTION("""COMPUTED_VALUE"""),332.94)</f>
        <v>332.94</v>
      </c>
      <c r="E2481" s="1">
        <f ca="1">IFERROR(__xludf.DUMMYFUNCTION("""COMPUTED_VALUE"""),340.84)</f>
        <v>340.84</v>
      </c>
      <c r="F2481" s="1">
        <f ca="1">IFERROR(__xludf.DUMMYFUNCTION("""COMPUTED_VALUE"""),80690111)</f>
        <v>80690111</v>
      </c>
      <c r="G2481" s="5">
        <f t="shared" ca="1" si="114"/>
        <v>-4.2835347963853408E-3</v>
      </c>
      <c r="H2481" s="14">
        <f t="shared" si="115"/>
        <v>2025</v>
      </c>
      <c r="I2481" s="5">
        <f t="shared" ca="1" si="116"/>
        <v>-1.2057971014492826E-2</v>
      </c>
      <c r="J2481" s="16"/>
    </row>
    <row r="2482" spans="1:10" x14ac:dyDescent="0.2">
      <c r="A2482" s="3">
        <v>45882</v>
      </c>
      <c r="B2482" s="1">
        <f ca="1">IFERROR(__xludf.DUMMYFUNCTION("""COMPUTED_VALUE"""),341.5)</f>
        <v>341.5</v>
      </c>
      <c r="C2482" s="1">
        <f ca="1">IFERROR(__xludf.DUMMYFUNCTION("""COMPUTED_VALUE"""),348.98)</f>
        <v>348.98</v>
      </c>
      <c r="D2482" s="1">
        <f ca="1">IFERROR(__xludf.DUMMYFUNCTION("""COMPUTED_VALUE"""),338.2)</f>
        <v>338.2</v>
      </c>
      <c r="E2482" s="1">
        <f ca="1">IFERROR(__xludf.DUMMYFUNCTION("""COMPUTED_VALUE"""),339.38)</f>
        <v>339.38</v>
      </c>
      <c r="F2482" s="1">
        <f ca="1">IFERROR(__xludf.DUMMYFUNCTION("""COMPUTED_VALUE"""),67838892)</f>
        <v>67838892</v>
      </c>
      <c r="G2482" s="5">
        <f t="shared" ca="1" si="114"/>
        <v>-1.1196888443632541E-2</v>
      </c>
      <c r="H2482" s="14">
        <f t="shared" si="115"/>
        <v>2025</v>
      </c>
      <c r="I2482" s="5">
        <f t="shared" ca="1" si="116"/>
        <v>-6.2079062957540393E-3</v>
      </c>
      <c r="J2482" s="16"/>
    </row>
    <row r="2483" spans="1:10" x14ac:dyDescent="0.2">
      <c r="A2483" s="3">
        <v>45883</v>
      </c>
      <c r="B2483" s="1">
        <f ca="1">IFERROR(__xludf.DUMMYFUNCTION("""COMPUTED_VALUE"""),335.76)</f>
        <v>335.76</v>
      </c>
      <c r="C2483" s="1">
        <f ca="1">IFERROR(__xludf.DUMMYFUNCTION("""COMPUTED_VALUE"""),340.47)</f>
        <v>340.47</v>
      </c>
      <c r="D2483" s="1">
        <f ca="1">IFERROR(__xludf.DUMMYFUNCTION("""COMPUTED_VALUE"""),330.4)</f>
        <v>330.4</v>
      </c>
      <c r="E2483" s="1">
        <f ca="1">IFERROR(__xludf.DUMMYFUNCTION("""COMPUTED_VALUE"""),335.58)</f>
        <v>335.58</v>
      </c>
      <c r="F2483" s="1">
        <f ca="1">IFERROR(__xludf.DUMMYFUNCTION("""COMPUTED_VALUE"""),75000662)</f>
        <v>75000662</v>
      </c>
      <c r="G2483" s="5">
        <f t="shared" ca="1" si="114"/>
        <v>-1.4959175159425419E-2</v>
      </c>
      <c r="H2483" s="14">
        <f t="shared" si="115"/>
        <v>2025</v>
      </c>
      <c r="I2483" s="5">
        <f t="shared" ca="1" si="116"/>
        <v>-5.3609721229451641E-4</v>
      </c>
      <c r="J2483" s="16"/>
    </row>
    <row r="2484" spans="1:10" x14ac:dyDescent="0.2">
      <c r="A2484" s="3">
        <v>45884</v>
      </c>
      <c r="B2484" s="1">
        <f ca="1">IFERROR(__xludf.DUMMYFUNCTION("""COMPUTED_VALUE"""),337.66)</f>
        <v>337.66</v>
      </c>
      <c r="C2484" s="1">
        <f ca="1">IFERROR(__xludf.DUMMYFUNCTION("""COMPUTED_VALUE"""),339.3)</f>
        <v>339.3</v>
      </c>
      <c r="D2484" s="1">
        <f ca="1">IFERROR(__xludf.DUMMYFUNCTION("""COMPUTED_VALUE"""),327.02)</f>
        <v>327.02</v>
      </c>
      <c r="E2484" s="1">
        <f ca="1">IFERROR(__xludf.DUMMYFUNCTION("""COMPUTED_VALUE"""),330.56)</f>
        <v>330.56</v>
      </c>
      <c r="F2484" s="1">
        <f ca="1">IFERROR(__xludf.DUMMYFUNCTION("""COMPUTED_VALUE"""),74319792)</f>
        <v>74319792</v>
      </c>
      <c r="G2484" s="5">
        <f t="shared" ca="1" si="114"/>
        <v>1.3915779283639953E-2</v>
      </c>
      <c r="H2484" s="14">
        <f t="shared" si="115"/>
        <v>2025</v>
      </c>
      <c r="I2484" s="5">
        <f t="shared" ca="1" si="116"/>
        <v>-2.1027068648936866E-2</v>
      </c>
      <c r="J2484" s="16"/>
    </row>
    <row r="2485" spans="1:10" x14ac:dyDescent="0.2">
      <c r="A2485" s="3">
        <v>45887</v>
      </c>
      <c r="B2485" s="1">
        <f ca="1">IFERROR(__xludf.DUMMYFUNCTION("""COMPUTED_VALUE"""),329.62)</f>
        <v>329.62</v>
      </c>
      <c r="C2485" s="1">
        <f ca="1">IFERROR(__xludf.DUMMYFUNCTION("""COMPUTED_VALUE"""),336.27)</f>
        <v>336.27</v>
      </c>
      <c r="D2485" s="1">
        <f ca="1">IFERROR(__xludf.DUMMYFUNCTION("""COMPUTED_VALUE"""),329.59)</f>
        <v>329.59</v>
      </c>
      <c r="E2485" s="1">
        <f ca="1">IFERROR(__xludf.DUMMYFUNCTION("""COMPUTED_VALUE"""),335.16)</f>
        <v>335.16</v>
      </c>
      <c r="F2485" s="1">
        <f ca="1">IFERROR(__xludf.DUMMYFUNCTION("""COMPUTED_VALUE"""),56956552)</f>
        <v>56956552</v>
      </c>
      <c r="G2485" s="5">
        <f t="shared" ca="1" si="114"/>
        <v>-1.7454350161117144E-2</v>
      </c>
      <c r="H2485" s="14">
        <f t="shared" si="115"/>
        <v>2025</v>
      </c>
      <c r="I2485" s="5">
        <f t="shared" ca="1" si="116"/>
        <v>1.6807232570839211E-2</v>
      </c>
      <c r="J2485" s="16"/>
    </row>
    <row r="2486" spans="1:10" x14ac:dyDescent="0.2">
      <c r="A2486" s="3">
        <v>45888</v>
      </c>
      <c r="B2486" s="1">
        <f ca="1">IFERROR(__xludf.DUMMYFUNCTION("""COMPUTED_VALUE"""),335.79)</f>
        <v>335.79</v>
      </c>
      <c r="C2486" s="1">
        <f ca="1">IFERROR(__xludf.DUMMYFUNCTION("""COMPUTED_VALUE"""),340.55)</f>
        <v>340.55</v>
      </c>
      <c r="D2486" s="1">
        <f ca="1">IFERROR(__xludf.DUMMYFUNCTION("""COMPUTED_VALUE"""),327.85)</f>
        <v>327.85</v>
      </c>
      <c r="E2486" s="1">
        <f ca="1">IFERROR(__xludf.DUMMYFUNCTION("""COMPUTED_VALUE"""),329.31)</f>
        <v>329.31</v>
      </c>
      <c r="F2486" s="1">
        <f ca="1">IFERROR(__xludf.DUMMYFUNCTION("""COMPUTED_VALUE"""),75956002)</f>
        <v>75956002</v>
      </c>
      <c r="G2486" s="5">
        <f t="shared" ca="1" si="114"/>
        <v>-1.6428289453706311E-2</v>
      </c>
      <c r="H2486" s="14">
        <f t="shared" si="115"/>
        <v>2025</v>
      </c>
      <c r="I2486" s="5">
        <f t="shared" ca="1" si="116"/>
        <v>-1.9297775395336423E-2</v>
      </c>
      <c r="J2486" s="16"/>
    </row>
    <row r="2487" spans="1:10" x14ac:dyDescent="0.2">
      <c r="A2487" s="3">
        <v>45889</v>
      </c>
      <c r="B2487" s="1">
        <f ca="1">IFERROR(__xludf.DUMMYFUNCTION("""COMPUTED_VALUE"""),329.22)</f>
        <v>329.22</v>
      </c>
      <c r="C2487" s="1">
        <f ca="1">IFERROR(__xludf.DUMMYFUNCTION("""COMPUTED_VALUE"""),331.37)</f>
        <v>331.37</v>
      </c>
      <c r="D2487" s="1">
        <f ca="1">IFERROR(__xludf.DUMMYFUNCTION("""COMPUTED_VALUE"""),314.6)</f>
        <v>314.60000000000002</v>
      </c>
      <c r="E2487" s="1">
        <f ca="1">IFERROR(__xludf.DUMMYFUNCTION("""COMPUTED_VALUE"""),323.9)</f>
        <v>323.89999999999998</v>
      </c>
      <c r="F2487" s="1">
        <f ca="1">IFERROR(__xludf.DUMMYFUNCTION("""COMPUTED_VALUE"""),77481768)</f>
        <v>77481768</v>
      </c>
      <c r="G2487" s="5">
        <f t="shared" ca="1" si="114"/>
        <v>-1.1701142327878864E-2</v>
      </c>
      <c r="H2487" s="14">
        <f t="shared" si="115"/>
        <v>2025</v>
      </c>
      <c r="I2487" s="5">
        <f t="shared" ca="1" si="116"/>
        <v>-1.6159407083409422E-2</v>
      </c>
      <c r="J2487" s="16"/>
    </row>
    <row r="2488" spans="1:10" x14ac:dyDescent="0.2">
      <c r="A2488" s="3">
        <v>45890</v>
      </c>
      <c r="B2488" s="1">
        <f ca="1">IFERROR(__xludf.DUMMYFUNCTION("""COMPUTED_VALUE"""),322.08)</f>
        <v>322.08</v>
      </c>
      <c r="C2488" s="1">
        <f ca="1">IFERROR(__xludf.DUMMYFUNCTION("""COMPUTED_VALUE"""),324.9)</f>
        <v>324.89999999999998</v>
      </c>
      <c r="D2488" s="1">
        <f ca="1">IFERROR(__xludf.DUMMYFUNCTION("""COMPUTED_VALUE"""),318.68)</f>
        <v>318.68</v>
      </c>
      <c r="E2488" s="1">
        <f ca="1">IFERROR(__xludf.DUMMYFUNCTION("""COMPUTED_VALUE"""),320.11)</f>
        <v>320.11</v>
      </c>
      <c r="F2488" s="1">
        <f ca="1">IFERROR(__xludf.DUMMYFUNCTION("""COMPUTED_VALUE"""),55744445)</f>
        <v>55744445</v>
      </c>
      <c r="G2488" s="5">
        <f t="shared" ca="1" si="114"/>
        <v>6.2166130392677446E-2</v>
      </c>
      <c r="H2488" s="14">
        <f t="shared" si="115"/>
        <v>2025</v>
      </c>
      <c r="I2488" s="5">
        <f t="shared" ca="1" si="116"/>
        <v>-6.1164927968205742E-3</v>
      </c>
      <c r="J2488" s="16"/>
    </row>
    <row r="2489" spans="1:10" x14ac:dyDescent="0.2">
      <c r="A2489" s="3">
        <v>45891</v>
      </c>
      <c r="B2489" s="1">
        <f ca="1">IFERROR(__xludf.DUMMYFUNCTION("""COMPUTED_VALUE"""),321.66)</f>
        <v>321.66000000000003</v>
      </c>
      <c r="C2489" s="1">
        <f ca="1">IFERROR(__xludf.DUMMYFUNCTION("""COMPUTED_VALUE"""),340.25)</f>
        <v>340.25</v>
      </c>
      <c r="D2489" s="1">
        <f ca="1">IFERROR(__xludf.DUMMYFUNCTION("""COMPUTED_VALUE"""),319.69)</f>
        <v>319.69</v>
      </c>
      <c r="E2489" s="1">
        <f ca="1">IFERROR(__xludf.DUMMYFUNCTION("""COMPUTED_VALUE"""),340.01)</f>
        <v>340.01</v>
      </c>
      <c r="F2489" s="1">
        <f ca="1">IFERROR(__xludf.DUMMYFUNCTION("""COMPUTED_VALUE"""),94016347)</f>
        <v>94016347</v>
      </c>
      <c r="G2489" s="5">
        <f t="shared" ca="1" si="114"/>
        <v>1.9381782888738659E-2</v>
      </c>
      <c r="H2489" s="14">
        <f t="shared" si="115"/>
        <v>2025</v>
      </c>
      <c r="I2489" s="5">
        <f t="shared" ca="1" si="116"/>
        <v>5.7047814462475796E-2</v>
      </c>
      <c r="J2489" s="16"/>
    </row>
    <row r="2490" spans="1:10" x14ac:dyDescent="0.2">
      <c r="A2490" s="3">
        <v>45894</v>
      </c>
      <c r="B2490" s="1">
        <f ca="1">IFERROR(__xludf.DUMMYFUNCTION("""COMPUTED_VALUE"""),338.9)</f>
        <v>338.9</v>
      </c>
      <c r="C2490" s="1">
        <f ca="1">IFERROR(__xludf.DUMMYFUNCTION("""COMPUTED_VALUE"""),349.53)</f>
        <v>349.53</v>
      </c>
      <c r="D2490" s="1">
        <f ca="1">IFERROR(__xludf.DUMMYFUNCTION("""COMPUTED_VALUE"""),335.03)</f>
        <v>335.03</v>
      </c>
      <c r="E2490" s="1">
        <f ca="1">IFERROR(__xludf.DUMMYFUNCTION("""COMPUTED_VALUE"""),346.6)</f>
        <v>346.6</v>
      </c>
      <c r="F2490" s="1">
        <f ca="1">IFERROR(__xludf.DUMMYFUNCTION("""COMPUTED_VALUE"""),86670037)</f>
        <v>86670037</v>
      </c>
      <c r="G2490" s="5">
        <f t="shared" ca="1" si="114"/>
        <v>1.4627813040969396E-2</v>
      </c>
      <c r="H2490" s="14">
        <f t="shared" si="115"/>
        <v>2025</v>
      </c>
      <c r="I2490" s="5">
        <f t="shared" ca="1" si="116"/>
        <v>2.2720566538802143E-2</v>
      </c>
      <c r="J2490" s="16"/>
    </row>
    <row r="2491" spans="1:10" x14ac:dyDescent="0.2">
      <c r="A2491" s="3">
        <v>45895</v>
      </c>
      <c r="B2491" s="1">
        <f ca="1">IFERROR(__xludf.DUMMYFUNCTION("""COMPUTED_VALUE"""),344.93)</f>
        <v>344.93</v>
      </c>
      <c r="C2491" s="1">
        <f ca="1">IFERROR(__xludf.DUMMYFUNCTION("""COMPUTED_VALUE"""),351.9)</f>
        <v>351.9</v>
      </c>
      <c r="D2491" s="1">
        <f ca="1">IFERROR(__xludf.DUMMYFUNCTION("""COMPUTED_VALUE"""),343.72)</f>
        <v>343.72</v>
      </c>
      <c r="E2491" s="1">
        <f ca="1">IFERROR(__xludf.DUMMYFUNCTION("""COMPUTED_VALUE"""),351.67)</f>
        <v>351.67</v>
      </c>
      <c r="F2491" s="1">
        <f ca="1">IFERROR(__xludf.DUMMYFUNCTION("""COMPUTED_VALUE"""),76651550)</f>
        <v>76651550</v>
      </c>
      <c r="G2491" s="5">
        <f t="shared" ca="1" si="114"/>
        <v>-5.8862001308044275E-3</v>
      </c>
      <c r="H2491" s="14">
        <f t="shared" si="115"/>
        <v>2025</v>
      </c>
      <c r="I2491" s="5">
        <f t="shared" ca="1" si="116"/>
        <v>1.9540196561621224E-2</v>
      </c>
      <c r="J2491" s="16"/>
    </row>
    <row r="2492" spans="1:10" x14ac:dyDescent="0.2">
      <c r="A2492" s="3">
        <v>45896</v>
      </c>
      <c r="B2492" s="1">
        <f ca="1">IFERROR(__xludf.DUMMYFUNCTION("""COMPUTED_VALUE"""),351.94)</f>
        <v>351.94</v>
      </c>
      <c r="C2492" s="1">
        <f ca="1">IFERROR(__xludf.DUMMYFUNCTION("""COMPUTED_VALUE"""),355.39)</f>
        <v>355.39</v>
      </c>
      <c r="D2492" s="1">
        <f ca="1">IFERROR(__xludf.DUMMYFUNCTION("""COMPUTED_VALUE"""),349.16)</f>
        <v>349.16</v>
      </c>
      <c r="E2492" s="1">
        <f ca="1">IFERROR(__xludf.DUMMYFUNCTION("""COMPUTED_VALUE"""),349.6)</f>
        <v>349.6</v>
      </c>
      <c r="F2492" s="1">
        <f ca="1">IFERROR(__xludf.DUMMYFUNCTION("""COMPUTED_VALUE"""),65519012)</f>
        <v>65519012</v>
      </c>
      <c r="G2492" s="5">
        <f t="shared" ca="1" si="114"/>
        <v>-1.0354691075514887E-2</v>
      </c>
      <c r="H2492" s="14">
        <f t="shared" si="115"/>
        <v>2025</v>
      </c>
      <c r="I2492" s="5">
        <f t="shared" ca="1" si="116"/>
        <v>-6.6488606012387761E-3</v>
      </c>
      <c r="J2492" s="16"/>
    </row>
    <row r="2493" spans="1:10" x14ac:dyDescent="0.2">
      <c r="A2493" s="3">
        <v>45897</v>
      </c>
      <c r="B2493" s="1">
        <f ca="1">IFERROR(__xludf.DUMMYFUNCTION("""COMPUTED_VALUE"""),350.91)</f>
        <v>350.91</v>
      </c>
      <c r="C2493" s="1">
        <f ca="1">IFERROR(__xludf.DUMMYFUNCTION("""COMPUTED_VALUE"""),353.55)</f>
        <v>353.55</v>
      </c>
      <c r="D2493" s="1">
        <f ca="1">IFERROR(__xludf.DUMMYFUNCTION("""COMPUTED_VALUE"""),340.26)</f>
        <v>340.26</v>
      </c>
      <c r="E2493" s="1">
        <f ca="1">IFERROR(__xludf.DUMMYFUNCTION("""COMPUTED_VALUE"""),345.98)</f>
        <v>345.98</v>
      </c>
      <c r="F2493" s="1">
        <f ca="1">IFERROR(__xludf.DUMMYFUNCTION("""COMPUTED_VALUE"""),67903224)</f>
        <v>67903224</v>
      </c>
      <c r="G2493" s="5">
        <f t="shared" ca="1" si="114"/>
        <v>-3.5002023238337517E-2</v>
      </c>
      <c r="H2493" s="14">
        <f t="shared" si="115"/>
        <v>2025</v>
      </c>
      <c r="I2493" s="5">
        <f t="shared" ca="1" si="116"/>
        <v>-1.4049186401071518E-2</v>
      </c>
      <c r="J2493" s="16"/>
    </row>
    <row r="2494" spans="1:10" x14ac:dyDescent="0.2">
      <c r="A2494" s="3">
        <v>45898</v>
      </c>
      <c r="B2494" s="1">
        <f ca="1">IFERROR(__xludf.DUMMYFUNCTION("""COMPUTED_VALUE"""),347.23)</f>
        <v>347.23</v>
      </c>
      <c r="C2494" s="1">
        <f ca="1">IFERROR(__xludf.DUMMYFUNCTION("""COMPUTED_VALUE"""),348.75)</f>
        <v>348.75</v>
      </c>
      <c r="D2494" s="1">
        <f ca="1">IFERROR(__xludf.DUMMYFUNCTION("""COMPUTED_VALUE"""),331.7)</f>
        <v>331.7</v>
      </c>
      <c r="E2494" s="1">
        <f ca="1">IFERROR(__xludf.DUMMYFUNCTION("""COMPUTED_VALUE"""),333.87)</f>
        <v>333.87</v>
      </c>
      <c r="F2494" s="1">
        <f ca="1">IFERROR(__xludf.DUMMYFUNCTION("""COMPUTED_VALUE"""),81145660)</f>
        <v>81145660</v>
      </c>
      <c r="G2494" s="5">
        <f t="shared" ca="1" si="114"/>
        <v>-1.3508251714739242E-2</v>
      </c>
      <c r="H2494" s="14">
        <f t="shared" si="115"/>
        <v>2025</v>
      </c>
      <c r="I2494" s="5">
        <f t="shared" ca="1" si="116"/>
        <v>-3.8475938138985727E-2</v>
      </c>
      <c r="J2494" s="16"/>
    </row>
    <row r="2495" spans="1:10" x14ac:dyDescent="0.2">
      <c r="A2495" s="3">
        <v>45902</v>
      </c>
      <c r="B2495" s="1">
        <f ca="1">IFERROR(__xludf.DUMMYFUNCTION("""COMPUTED_VALUE"""),328.23)</f>
        <v>328.23</v>
      </c>
      <c r="C2495" s="1">
        <f ca="1">IFERROR(__xludf.DUMMYFUNCTION("""COMPUTED_VALUE"""),333.33)</f>
        <v>333.33</v>
      </c>
      <c r="D2495" s="1">
        <f ca="1">IFERROR(__xludf.DUMMYFUNCTION("""COMPUTED_VALUE"""),325.6)</f>
        <v>325.60000000000002</v>
      </c>
      <c r="E2495" s="1">
        <f ca="1">IFERROR(__xludf.DUMMYFUNCTION("""COMPUTED_VALUE"""),329.36)</f>
        <v>329.36</v>
      </c>
      <c r="F2495" s="1">
        <f ca="1">IFERROR(__xludf.DUMMYFUNCTION("""COMPUTED_VALUE"""),58391952)</f>
        <v>58391952</v>
      </c>
      <c r="G2495" s="5">
        <f t="shared" ca="1" si="114"/>
        <v>1.4361185329123029E-2</v>
      </c>
      <c r="H2495" s="14">
        <f t="shared" si="115"/>
        <v>2025</v>
      </c>
      <c r="I2495" s="5">
        <f t="shared" ca="1" si="116"/>
        <v>3.4427078572951751E-3</v>
      </c>
      <c r="J2495" s="16"/>
    </row>
    <row r="2496" spans="1:10" x14ac:dyDescent="0.2">
      <c r="A2496" s="3">
        <v>45903</v>
      </c>
      <c r="B2496" s="1">
        <f ca="1">IFERROR(__xludf.DUMMYFUNCTION("""COMPUTED_VALUE"""),335.2)</f>
        <v>335.2</v>
      </c>
      <c r="C2496" s="1">
        <f ca="1">IFERROR(__xludf.DUMMYFUNCTION("""COMPUTED_VALUE"""),343.33)</f>
        <v>343.33</v>
      </c>
      <c r="D2496" s="1">
        <f ca="1">IFERROR(__xludf.DUMMYFUNCTION("""COMPUTED_VALUE"""),328.51)</f>
        <v>328.51</v>
      </c>
      <c r="E2496" s="1">
        <f ca="1">IFERROR(__xludf.DUMMYFUNCTION("""COMPUTED_VALUE"""),334.09)</f>
        <v>334.09</v>
      </c>
      <c r="F2496" s="1">
        <f ca="1">IFERROR(__xludf.DUMMYFUNCTION("""COMPUTED_VALUE"""),88733288)</f>
        <v>88733288</v>
      </c>
      <c r="G2496" s="5">
        <f t="shared" ca="1" si="114"/>
        <v>1.3289832081175726E-2</v>
      </c>
      <c r="H2496" s="14">
        <f t="shared" si="115"/>
        <v>2025</v>
      </c>
      <c r="I2496" s="5">
        <f t="shared" ca="1" si="116"/>
        <v>-3.3114558472554108E-3</v>
      </c>
      <c r="J2496" s="16"/>
    </row>
    <row r="2497" spans="1:10" x14ac:dyDescent="0.2">
      <c r="A2497" s="3">
        <v>45904</v>
      </c>
      <c r="B2497" s="1">
        <f ca="1">IFERROR(__xludf.DUMMYFUNCTION("""COMPUTED_VALUE"""),336.15)</f>
        <v>336.15</v>
      </c>
      <c r="C2497" s="1">
        <f ca="1">IFERROR(__xludf.DUMMYFUNCTION("""COMPUTED_VALUE"""),338.89)</f>
        <v>338.89</v>
      </c>
      <c r="D2497" s="1">
        <f ca="1">IFERROR(__xludf.DUMMYFUNCTION("""COMPUTED_VALUE"""),331.48)</f>
        <v>331.48</v>
      </c>
      <c r="E2497" s="1">
        <f ca="1">IFERROR(__xludf.DUMMYFUNCTION("""COMPUTED_VALUE"""),338.53)</f>
        <v>338.53</v>
      </c>
      <c r="F2497" s="1">
        <f ca="1">IFERROR(__xludf.DUMMYFUNCTION("""COMPUTED_VALUE"""),60711033)</f>
        <v>60711033</v>
      </c>
      <c r="G2497" s="5">
        <f t="shared" ca="1" si="114"/>
        <v>3.6363099282190656E-2</v>
      </c>
      <c r="H2497" s="14">
        <f t="shared" si="115"/>
        <v>2025</v>
      </c>
      <c r="I2497" s="5">
        <f t="shared" ca="1" si="116"/>
        <v>7.0801725420199186E-3</v>
      </c>
      <c r="J2497" s="16"/>
    </row>
    <row r="2498" spans="1:10" x14ac:dyDescent="0.2">
      <c r="A2498" s="3">
        <v>45905</v>
      </c>
      <c r="B2498" s="1">
        <f ca="1">IFERROR(__xludf.DUMMYFUNCTION("""COMPUTED_VALUE"""),348)</f>
        <v>348</v>
      </c>
      <c r="C2498" s="1">
        <f ca="1">IFERROR(__xludf.DUMMYFUNCTION("""COMPUTED_VALUE"""),355.87)</f>
        <v>355.87</v>
      </c>
      <c r="D2498" s="1">
        <f ca="1">IFERROR(__xludf.DUMMYFUNCTION("""COMPUTED_VALUE"""),344.68)</f>
        <v>344.68</v>
      </c>
      <c r="E2498" s="1">
        <f ca="1">IFERROR(__xludf.DUMMYFUNCTION("""COMPUTED_VALUE"""),350.84)</f>
        <v>350.84</v>
      </c>
      <c r="F2498" s="1">
        <f ca="1">IFERROR(__xludf.DUMMYFUNCTION("""COMPUTED_VALUE"""),108989785)</f>
        <v>108989785</v>
      </c>
      <c r="G2498" s="5">
        <f t="shared" ca="1" si="114"/>
        <v>-1.2655341466195411E-2</v>
      </c>
      <c r="H2498" s="14">
        <f t="shared" si="115"/>
        <v>2025</v>
      </c>
      <c r="I2498" s="5">
        <f t="shared" ca="1" si="116"/>
        <v>8.1609195402298131E-3</v>
      </c>
      <c r="J2498" s="16"/>
    </row>
    <row r="2499" spans="1:10" x14ac:dyDescent="0.2">
      <c r="A2499" s="3">
        <v>45908</v>
      </c>
      <c r="B2499" s="1">
        <f ca="1">IFERROR(__xludf.DUMMYFUNCTION("""COMPUTED_VALUE"""),354.64)</f>
        <v>354.64</v>
      </c>
      <c r="C2499" s="1">
        <f ca="1">IFERROR(__xludf.DUMMYFUNCTION("""COMPUTED_VALUE"""),358.44)</f>
        <v>358.44</v>
      </c>
      <c r="D2499" s="1">
        <f ca="1">IFERROR(__xludf.DUMMYFUNCTION("""COMPUTED_VALUE"""),344.84)</f>
        <v>344.84</v>
      </c>
      <c r="E2499" s="1">
        <f ca="1">IFERROR(__xludf.DUMMYFUNCTION("""COMPUTED_VALUE"""),346.4)</f>
        <v>346.4</v>
      </c>
      <c r="F2499" s="1">
        <f ca="1">IFERROR(__xludf.DUMMYFUNCTION("""COMPUTED_VALUE"""),75208290)</f>
        <v>75208290</v>
      </c>
      <c r="G2499" s="5">
        <f t="shared" ref="G2499:G2514" ca="1" si="117">(E2500-E2499)/E2499</f>
        <v>1.6454965357969112E-3</v>
      </c>
      <c r="H2499" s="14">
        <f t="shared" ref="H2499:H2514" si="118">YEAR(A2499)</f>
        <v>2025</v>
      </c>
      <c r="I2499" s="5">
        <f t="shared" ref="I2499:I2514" ca="1" si="119">((E2499 - B2499) / B2499)</f>
        <v>-2.3234829686442617E-2</v>
      </c>
      <c r="J2499" s="16"/>
    </row>
    <row r="2500" spans="1:10" x14ac:dyDescent="0.2">
      <c r="A2500" s="3">
        <v>45909</v>
      </c>
      <c r="B2500" s="1">
        <f ca="1">IFERROR(__xludf.DUMMYFUNCTION("""COMPUTED_VALUE"""),348.44)</f>
        <v>348.44</v>
      </c>
      <c r="C2500" s="1">
        <f ca="1">IFERROR(__xludf.DUMMYFUNCTION("""COMPUTED_VALUE"""),350.77)</f>
        <v>350.77</v>
      </c>
      <c r="D2500" s="1">
        <f ca="1">IFERROR(__xludf.DUMMYFUNCTION("""COMPUTED_VALUE"""),343.82)</f>
        <v>343.82</v>
      </c>
      <c r="E2500" s="1">
        <f ca="1">IFERROR(__xludf.DUMMYFUNCTION("""COMPUTED_VALUE"""),346.97)</f>
        <v>346.97</v>
      </c>
      <c r="F2500" s="1">
        <f ca="1">IFERROR(__xludf.DUMMYFUNCTION("""COMPUTED_VALUE"""),53815991)</f>
        <v>53815991</v>
      </c>
      <c r="G2500" s="5">
        <f t="shared" ca="1" si="117"/>
        <v>2.3633167132604926E-3</v>
      </c>
      <c r="H2500" s="14">
        <f t="shared" si="118"/>
        <v>2025</v>
      </c>
      <c r="I2500" s="5">
        <f t="shared" ca="1" si="119"/>
        <v>-4.2188038112730185E-3</v>
      </c>
      <c r="J2500" s="16"/>
    </row>
    <row r="2501" spans="1:10" x14ac:dyDescent="0.2">
      <c r="A2501" s="3">
        <v>45910</v>
      </c>
      <c r="B2501" s="1">
        <f ca="1">IFERROR(__xludf.DUMMYFUNCTION("""COMPUTED_VALUE"""),350.55)</f>
        <v>350.55</v>
      </c>
      <c r="C2501" s="1">
        <f ca="1">IFERROR(__xludf.DUMMYFUNCTION("""COMPUTED_VALUE"""),356.33)</f>
        <v>356.33</v>
      </c>
      <c r="D2501" s="1">
        <f ca="1">IFERROR(__xludf.DUMMYFUNCTION("""COMPUTED_VALUE"""),346.07)</f>
        <v>346.07</v>
      </c>
      <c r="E2501" s="1">
        <f ca="1">IFERROR(__xludf.DUMMYFUNCTION("""COMPUTED_VALUE"""),347.79)</f>
        <v>347.79</v>
      </c>
      <c r="F2501" s="1">
        <f ca="1">IFERROR(__xludf.DUMMYFUNCTION("""COMPUTED_VALUE"""),72121679)</f>
        <v>72121679</v>
      </c>
      <c r="G2501" s="5">
        <f t="shared" ca="1" si="117"/>
        <v>6.0438770522441648E-2</v>
      </c>
      <c r="H2501" s="14">
        <f t="shared" si="118"/>
        <v>2025</v>
      </c>
      <c r="I2501" s="5">
        <f t="shared" ca="1" si="119"/>
        <v>-7.8733418913136243E-3</v>
      </c>
      <c r="J2501" s="16"/>
    </row>
    <row r="2502" spans="1:10" x14ac:dyDescent="0.2">
      <c r="A2502" s="3">
        <v>45911</v>
      </c>
      <c r="B2502" s="1">
        <f ca="1">IFERROR(__xludf.DUMMYFUNCTION("""COMPUTED_VALUE"""),350.17)</f>
        <v>350.17</v>
      </c>
      <c r="C2502" s="1">
        <f ca="1">IFERROR(__xludf.DUMMYFUNCTION("""COMPUTED_VALUE"""),368.99)</f>
        <v>368.99</v>
      </c>
      <c r="D2502" s="1">
        <f ca="1">IFERROR(__xludf.DUMMYFUNCTION("""COMPUTED_VALUE"""),347.6)</f>
        <v>347.6</v>
      </c>
      <c r="E2502" s="1">
        <f ca="1">IFERROR(__xludf.DUMMYFUNCTION("""COMPUTED_VALUE"""),368.81)</f>
        <v>368.81</v>
      </c>
      <c r="F2502" s="1">
        <f ca="1">IFERROR(__xludf.DUMMYFUNCTION("""COMPUTED_VALUE"""),103756010)</f>
        <v>103756010</v>
      </c>
      <c r="G2502" s="5">
        <f t="shared" ca="1" si="117"/>
        <v>7.3560912122773228E-2</v>
      </c>
      <c r="H2502" s="14">
        <f t="shared" si="118"/>
        <v>2025</v>
      </c>
      <c r="I2502" s="5">
        <f t="shared" ca="1" si="119"/>
        <v>5.323128766027925E-2</v>
      </c>
      <c r="J2502" s="16"/>
    </row>
    <row r="2503" spans="1:10" x14ac:dyDescent="0.2">
      <c r="A2503" s="3">
        <v>45912</v>
      </c>
      <c r="B2503" s="1">
        <f ca="1">IFERROR(__xludf.DUMMYFUNCTION("""COMPUTED_VALUE"""),370.94)</f>
        <v>370.94</v>
      </c>
      <c r="C2503" s="1">
        <f ca="1">IFERROR(__xludf.DUMMYFUNCTION("""COMPUTED_VALUE"""),396.69)</f>
        <v>396.69</v>
      </c>
      <c r="D2503" s="1">
        <f ca="1">IFERROR(__xludf.DUMMYFUNCTION("""COMPUTED_VALUE"""),370.24)</f>
        <v>370.24</v>
      </c>
      <c r="E2503" s="1">
        <f ca="1">IFERROR(__xludf.DUMMYFUNCTION("""COMPUTED_VALUE"""),395.94)</f>
        <v>395.94</v>
      </c>
      <c r="F2503" s="1">
        <f ca="1">IFERROR(__xludf.DUMMYFUNCTION("""COMPUTED_VALUE"""),168156391)</f>
        <v>168156391</v>
      </c>
      <c r="G2503" s="5">
        <f t="shared" ca="1" si="117"/>
        <v>3.561145628125479E-2</v>
      </c>
      <c r="H2503" s="14">
        <f t="shared" si="118"/>
        <v>2025</v>
      </c>
      <c r="I2503" s="5">
        <f t="shared" ca="1" si="119"/>
        <v>6.7396344422278542E-2</v>
      </c>
      <c r="J2503" s="16"/>
    </row>
    <row r="2504" spans="1:10" x14ac:dyDescent="0.2">
      <c r="A2504" s="3">
        <v>45915</v>
      </c>
      <c r="B2504" s="1">
        <f ca="1">IFERROR(__xludf.DUMMYFUNCTION("""COMPUTED_VALUE"""),423.13)</f>
        <v>423.13</v>
      </c>
      <c r="C2504" s="1">
        <f ca="1">IFERROR(__xludf.DUMMYFUNCTION("""COMPUTED_VALUE"""),425.7)</f>
        <v>425.7</v>
      </c>
      <c r="D2504" s="1">
        <f ca="1">IFERROR(__xludf.DUMMYFUNCTION("""COMPUTED_VALUE"""),402.43)</f>
        <v>402.43</v>
      </c>
      <c r="E2504" s="1">
        <f ca="1">IFERROR(__xludf.DUMMYFUNCTION("""COMPUTED_VALUE"""),410.04)</f>
        <v>410.04</v>
      </c>
      <c r="F2504" s="1">
        <f ca="1">IFERROR(__xludf.DUMMYFUNCTION("""COMPUTED_VALUE"""),163823667)</f>
        <v>163823667</v>
      </c>
      <c r="G2504" s="5">
        <f t="shared" ca="1" si="117"/>
        <v>2.8241147205150675E-2</v>
      </c>
      <c r="H2504" s="14">
        <f t="shared" si="118"/>
        <v>2025</v>
      </c>
      <c r="I2504" s="5">
        <f t="shared" ca="1" si="119"/>
        <v>-3.0936118923262295E-2</v>
      </c>
      <c r="J2504" s="16"/>
    </row>
    <row r="2505" spans="1:10" x14ac:dyDescent="0.2">
      <c r="A2505" s="3">
        <v>45916</v>
      </c>
      <c r="B2505" s="1">
        <f ca="1">IFERROR(__xludf.DUMMYFUNCTION("""COMPUTED_VALUE"""),414.5)</f>
        <v>414.5</v>
      </c>
      <c r="C2505" s="1">
        <f ca="1">IFERROR(__xludf.DUMMYFUNCTION("""COMPUTED_VALUE"""),423.25)</f>
        <v>423.25</v>
      </c>
      <c r="D2505" s="1">
        <f ca="1">IFERROR(__xludf.DUMMYFUNCTION("""COMPUTED_VALUE"""),411.43)</f>
        <v>411.43</v>
      </c>
      <c r="E2505" s="1">
        <f ca="1">IFERROR(__xludf.DUMMYFUNCTION("""COMPUTED_VALUE"""),421.62)</f>
        <v>421.62</v>
      </c>
      <c r="F2505" s="1">
        <f ca="1">IFERROR(__xludf.DUMMYFUNCTION("""COMPUTED_VALUE"""),104285721)</f>
        <v>104285721</v>
      </c>
      <c r="G2505" s="5">
        <f t="shared" ca="1" si="117"/>
        <v>1.0056448935060028E-2</v>
      </c>
      <c r="H2505" s="14">
        <f t="shared" si="118"/>
        <v>2025</v>
      </c>
      <c r="I2505" s="5">
        <f t="shared" ca="1" si="119"/>
        <v>1.7177322074788913E-2</v>
      </c>
      <c r="J2505" s="16"/>
    </row>
    <row r="2506" spans="1:10" x14ac:dyDescent="0.2">
      <c r="A2506" s="3">
        <v>45917</v>
      </c>
      <c r="B2506" s="1">
        <f ca="1">IFERROR(__xludf.DUMMYFUNCTION("""COMPUTED_VALUE"""),415.75)</f>
        <v>415.75</v>
      </c>
      <c r="C2506" s="1">
        <f ca="1">IFERROR(__xludf.DUMMYFUNCTION("""COMPUTED_VALUE"""),428.31)</f>
        <v>428.31</v>
      </c>
      <c r="D2506" s="1">
        <f ca="1">IFERROR(__xludf.DUMMYFUNCTION("""COMPUTED_VALUE"""),409.67)</f>
        <v>409.67</v>
      </c>
      <c r="E2506" s="1">
        <f ca="1">IFERROR(__xludf.DUMMYFUNCTION("""COMPUTED_VALUE"""),425.86)</f>
        <v>425.86</v>
      </c>
      <c r="F2506" s="1">
        <f ca="1">IFERROR(__xludf.DUMMYFUNCTION("""COMPUTED_VALUE"""),106133532)</f>
        <v>106133532</v>
      </c>
      <c r="G2506" s="5">
        <f t="shared" ca="1" si="117"/>
        <v>-2.1157187808199855E-2</v>
      </c>
      <c r="H2506" s="14">
        <f t="shared" si="118"/>
        <v>2025</v>
      </c>
      <c r="I2506" s="5">
        <f t="shared" ca="1" si="119"/>
        <v>2.4317498496692756E-2</v>
      </c>
      <c r="J2506" s="16"/>
    </row>
    <row r="2507" spans="1:10" x14ac:dyDescent="0.2">
      <c r="A2507" s="3">
        <v>45918</v>
      </c>
      <c r="B2507" s="1">
        <f ca="1">IFERROR(__xludf.DUMMYFUNCTION("""COMPUTED_VALUE"""),428.87)</f>
        <v>428.87</v>
      </c>
      <c r="C2507" s="1">
        <f ca="1">IFERROR(__xludf.DUMMYFUNCTION("""COMPUTED_VALUE"""),432.22)</f>
        <v>432.22</v>
      </c>
      <c r="D2507" s="1">
        <f ca="1">IFERROR(__xludf.DUMMYFUNCTION("""COMPUTED_VALUE"""),416.56)</f>
        <v>416.56</v>
      </c>
      <c r="E2507" s="1">
        <f ca="1">IFERROR(__xludf.DUMMYFUNCTION("""COMPUTED_VALUE"""),416.85)</f>
        <v>416.85</v>
      </c>
      <c r="F2507" s="1">
        <f ca="1">IFERROR(__xludf.DUMMYFUNCTION("""COMPUTED_VALUE"""),90454509)</f>
        <v>90454509</v>
      </c>
      <c r="G2507" s="5">
        <f t="shared" ca="1" si="117"/>
        <v>2.2118267962096604E-2</v>
      </c>
      <c r="H2507" s="14">
        <f t="shared" si="118"/>
        <v>2025</v>
      </c>
      <c r="I2507" s="5">
        <f t="shared" ca="1" si="119"/>
        <v>-2.8027141091706068E-2</v>
      </c>
      <c r="J2507" s="16"/>
    </row>
    <row r="2508" spans="1:10" x14ac:dyDescent="0.2">
      <c r="A2508" s="3">
        <v>45919</v>
      </c>
      <c r="B2508" s="1">
        <f ca="1">IFERROR(__xludf.DUMMYFUNCTION("""COMPUTED_VALUE"""),421.82)</f>
        <v>421.82</v>
      </c>
      <c r="C2508" s="1">
        <f ca="1">IFERROR(__xludf.DUMMYFUNCTION("""COMPUTED_VALUE"""),429.47)</f>
        <v>429.47</v>
      </c>
      <c r="D2508" s="1">
        <f ca="1">IFERROR(__xludf.DUMMYFUNCTION("""COMPUTED_VALUE"""),421.72)</f>
        <v>421.72</v>
      </c>
      <c r="E2508" s="1">
        <f ca="1">IFERROR(__xludf.DUMMYFUNCTION("""COMPUTED_VALUE"""),426.07)</f>
        <v>426.07</v>
      </c>
      <c r="F2508" s="1">
        <f ca="1">IFERROR(__xludf.DUMMYFUNCTION("""COMPUTED_VALUE"""),93131034)</f>
        <v>93131034</v>
      </c>
      <c r="G2508" s="5">
        <f t="shared" ca="1" si="117"/>
        <v>1.9104841927382793E-2</v>
      </c>
      <c r="H2508" s="14">
        <f t="shared" si="118"/>
        <v>2025</v>
      </c>
      <c r="I2508" s="5">
        <f t="shared" ca="1" si="119"/>
        <v>1.0075387606087905E-2</v>
      </c>
      <c r="J2508" s="16"/>
    </row>
    <row r="2509" spans="1:10" x14ac:dyDescent="0.2">
      <c r="A2509" s="3">
        <v>45922</v>
      </c>
      <c r="B2509" s="1">
        <f ca="1">IFERROR(__xludf.DUMMYFUNCTION("""COMPUTED_VALUE"""),431.11)</f>
        <v>431.11</v>
      </c>
      <c r="C2509" s="1">
        <f ca="1">IFERROR(__xludf.DUMMYFUNCTION("""COMPUTED_VALUE"""),444.98)</f>
        <v>444.98</v>
      </c>
      <c r="D2509" s="1">
        <f ca="1">IFERROR(__xludf.DUMMYFUNCTION("""COMPUTED_VALUE"""),429.13)</f>
        <v>429.13</v>
      </c>
      <c r="E2509" s="1">
        <f ca="1">IFERROR(__xludf.DUMMYFUNCTION("""COMPUTED_VALUE"""),434.21)</f>
        <v>434.21</v>
      </c>
      <c r="F2509" s="1">
        <f ca="1">IFERROR(__xludf.DUMMYFUNCTION("""COMPUTED_VALUE"""),97108777)</f>
        <v>97108777</v>
      </c>
      <c r="G2509" s="5">
        <f t="shared" ca="1" si="117"/>
        <v>-1.9253356670735258E-2</v>
      </c>
      <c r="H2509" s="14">
        <f t="shared" si="118"/>
        <v>2025</v>
      </c>
      <c r="I2509" s="5">
        <f t="shared" ca="1" si="119"/>
        <v>7.1907401823199778E-3</v>
      </c>
      <c r="J2509" s="16"/>
    </row>
    <row r="2510" spans="1:10" x14ac:dyDescent="0.2">
      <c r="A2510" s="3">
        <v>45923</v>
      </c>
      <c r="B2510" s="1">
        <f ca="1">IFERROR(__xludf.DUMMYFUNCTION("""COMPUTED_VALUE"""),439.88)</f>
        <v>439.88</v>
      </c>
      <c r="C2510" s="1">
        <f ca="1">IFERROR(__xludf.DUMMYFUNCTION("""COMPUTED_VALUE"""),440.97)</f>
        <v>440.97</v>
      </c>
      <c r="D2510" s="1">
        <f ca="1">IFERROR(__xludf.DUMMYFUNCTION("""COMPUTED_VALUE"""),423.72)</f>
        <v>423.72</v>
      </c>
      <c r="E2510" s="1">
        <f ca="1">IFERROR(__xludf.DUMMYFUNCTION("""COMPUTED_VALUE"""),425.85)</f>
        <v>425.85</v>
      </c>
      <c r="F2510" s="1">
        <f ca="1">IFERROR(__xludf.DUMMYFUNCTION("""COMPUTED_VALUE"""),83422691)</f>
        <v>83422691</v>
      </c>
      <c r="G2510" s="5">
        <f t="shared" ca="1" si="117"/>
        <v>0</v>
      </c>
      <c r="H2510" s="14">
        <f t="shared" si="118"/>
        <v>2025</v>
      </c>
      <c r="I2510" s="5">
        <f t="shared" ca="1" si="119"/>
        <v>-3.1895062289715316E-2</v>
      </c>
      <c r="J2510" s="16"/>
    </row>
    <row r="2511" spans="1:10" x14ac:dyDescent="0.2">
      <c r="A2511" s="3">
        <v>45924</v>
      </c>
      <c r="B2511" s="1">
        <f ca="1">IFERROR(__xludf.DUMMYFUNCTION("""COMPUTED_VALUE"""),439.88)</f>
        <v>439.88</v>
      </c>
      <c r="C2511" s="1">
        <f ca="1">IFERROR(__xludf.DUMMYFUNCTION("""COMPUTED_VALUE"""),440.97)</f>
        <v>440.97</v>
      </c>
      <c r="D2511" s="1">
        <f ca="1">IFERROR(__xludf.DUMMYFUNCTION("""COMPUTED_VALUE"""),423.72)</f>
        <v>423.72</v>
      </c>
      <c r="E2511" s="1">
        <f ca="1">IFERROR(__xludf.DUMMYFUNCTION("""COMPUTED_VALUE"""),425.85)</f>
        <v>425.85</v>
      </c>
      <c r="F2511" s="1">
        <f ca="1">IFERROR(__xludf.DUMMYFUNCTION("""COMPUTED_VALUE"""),1669878)</f>
        <v>1669878</v>
      </c>
      <c r="G2511" s="5">
        <f t="shared" ca="1" si="117"/>
        <v>3.4166960197252447E-2</v>
      </c>
      <c r="H2511" s="14">
        <f t="shared" si="118"/>
        <v>2025</v>
      </c>
      <c r="I2511" s="5">
        <f t="shared" ca="1" si="119"/>
        <v>-3.1895062289715316E-2</v>
      </c>
      <c r="J2511" s="16"/>
    </row>
    <row r="2512" spans="1:10" x14ac:dyDescent="0.2">
      <c r="A2512" s="3">
        <v>45926</v>
      </c>
      <c r="B2512" s="1">
        <f ca="1">IFERROR(__xludf.DUMMYFUNCTION("""COMPUTED_VALUE"""),428.3)</f>
        <v>428.3</v>
      </c>
      <c r="C2512" s="1">
        <f ca="1">IFERROR(__xludf.DUMMYFUNCTION("""COMPUTED_VALUE"""),440.47)</f>
        <v>440.47</v>
      </c>
      <c r="D2512" s="1">
        <f ca="1">IFERROR(__xludf.DUMMYFUNCTION("""COMPUTED_VALUE"""),421.02)</f>
        <v>421.02</v>
      </c>
      <c r="E2512" s="1">
        <f ca="1">IFERROR(__xludf.DUMMYFUNCTION("""COMPUTED_VALUE"""),440.4)</f>
        <v>440.4</v>
      </c>
      <c r="F2512" s="1">
        <f ca="1">IFERROR(__xludf.DUMMYFUNCTION("""COMPUTED_VALUE"""),101628160)</f>
        <v>101628160</v>
      </c>
      <c r="G2512" s="5">
        <f t="shared" ca="1" si="117"/>
        <v>6.38056312443234E-3</v>
      </c>
      <c r="H2512" s="14">
        <f t="shared" si="118"/>
        <v>2025</v>
      </c>
      <c r="I2512" s="5">
        <f t="shared" ca="1" si="119"/>
        <v>2.8251225776324926E-2</v>
      </c>
      <c r="J2512" s="16"/>
    </row>
    <row r="2513" spans="1:10" x14ac:dyDescent="0.2">
      <c r="A2513" s="3">
        <v>45929</v>
      </c>
      <c r="B2513" s="1">
        <f ca="1">IFERROR(__xludf.DUMMYFUNCTION("""COMPUTED_VALUE"""),444.35)</f>
        <v>444.35</v>
      </c>
      <c r="C2513" s="1">
        <f ca="1">IFERROR(__xludf.DUMMYFUNCTION("""COMPUTED_VALUE"""),450.98)</f>
        <v>450.98</v>
      </c>
      <c r="D2513" s="1">
        <f ca="1">IFERROR(__xludf.DUMMYFUNCTION("""COMPUTED_VALUE"""),439.5)</f>
        <v>439.5</v>
      </c>
      <c r="E2513" s="1">
        <f ca="1">IFERROR(__xludf.DUMMYFUNCTION("""COMPUTED_VALUE"""),443.21)</f>
        <v>443.21</v>
      </c>
      <c r="F2513" s="1">
        <f ca="1">IFERROR(__xludf.DUMMYFUNCTION("""COMPUTED_VALUE"""),79491510)</f>
        <v>79491510</v>
      </c>
      <c r="G2513" s="5">
        <f t="shared" ca="1" si="117"/>
        <v>3.4069628392862251E-3</v>
      </c>
      <c r="H2513" s="14">
        <f t="shared" si="118"/>
        <v>2025</v>
      </c>
      <c r="I2513" s="5">
        <f t="shared" ca="1" si="119"/>
        <v>-2.5655451783504965E-3</v>
      </c>
      <c r="J2513" s="16"/>
    </row>
    <row r="2514" spans="1:10" x14ac:dyDescent="0.2">
      <c r="A2514" s="3">
        <v>45930</v>
      </c>
      <c r="B2514" s="1">
        <f ca="1">IFERROR(__xludf.DUMMYFUNCTION("""COMPUTED_VALUE"""),441.52)</f>
        <v>441.52</v>
      </c>
      <c r="C2514" s="1">
        <f ca="1">IFERROR(__xludf.DUMMYFUNCTION("""COMPUTED_VALUE"""),445)</f>
        <v>445</v>
      </c>
      <c r="D2514" s="1">
        <f ca="1">IFERROR(__xludf.DUMMYFUNCTION("""COMPUTED_VALUE"""),433.12)</f>
        <v>433.12</v>
      </c>
      <c r="E2514" s="1">
        <f ca="1">IFERROR(__xludf.DUMMYFUNCTION("""COMPUTED_VALUE"""),444.72)</f>
        <v>444.72</v>
      </c>
      <c r="F2514" s="1">
        <f ca="1">IFERROR(__xludf.DUMMYFUNCTION("""COMPUTED_VALUE"""),74357960)</f>
        <v>74357960</v>
      </c>
      <c r="G2514" s="5">
        <f t="shared" ca="1" si="117"/>
        <v>-1</v>
      </c>
      <c r="H2514" s="14">
        <f t="shared" si="118"/>
        <v>2025</v>
      </c>
      <c r="I2514" s="5">
        <f t="shared" ca="1" si="119"/>
        <v>7.2476897988767112E-3</v>
      </c>
      <c r="J2514" s="16"/>
    </row>
  </sheetData>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iconSet" priority="1" id="{08A1F420-1119-406C-8463-F007F5A858E3}">
            <x14:iconSet iconSet="3Triangles">
              <x14:cfvo type="percent">
                <xm:f>0</xm:f>
              </x14:cfvo>
              <x14:cfvo type="num">
                <xm:f>0</xm:f>
              </x14:cfvo>
              <x14:cfvo type="num" gte="0">
                <xm:f>0</xm:f>
              </x14:cfvo>
            </x14:iconSet>
          </x14:cfRule>
          <xm:sqref>G1:G1048576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11"/>
  <sheetViews>
    <sheetView topLeftCell="A16" workbookViewId="0">
      <selection activeCell="C26" sqref="C26"/>
    </sheetView>
  </sheetViews>
  <sheetFormatPr defaultRowHeight="12.75" x14ac:dyDescent="0.2"/>
  <cols>
    <col min="1" max="1" width="13.85546875" customWidth="1"/>
    <col min="2" max="2" width="24.42578125" bestFit="1" customWidth="1"/>
    <col min="3" max="3" width="13.85546875" customWidth="1"/>
    <col min="4" max="4" width="20.85546875" customWidth="1"/>
    <col min="5" max="5" width="21.7109375" customWidth="1"/>
    <col min="6" max="12" width="5" customWidth="1"/>
    <col min="13" max="13" width="11.7109375" bestFit="1" customWidth="1"/>
  </cols>
  <sheetData>
    <row r="1" spans="1:4" x14ac:dyDescent="0.2">
      <c r="A1" s="6" t="s">
        <v>2</v>
      </c>
      <c r="B1" t="s">
        <v>4</v>
      </c>
      <c r="C1" t="s">
        <v>5</v>
      </c>
      <c r="D1" t="s">
        <v>6</v>
      </c>
    </row>
    <row r="2" spans="1:4" x14ac:dyDescent="0.2">
      <c r="A2" s="7">
        <v>2015</v>
      </c>
      <c r="B2" s="5">
        <v>16.5</v>
      </c>
      <c r="C2" s="5">
        <v>13.8</v>
      </c>
      <c r="D2" s="5">
        <v>14.963124999999996</v>
      </c>
    </row>
    <row r="3" spans="1:4" x14ac:dyDescent="0.2">
      <c r="A3" s="7">
        <v>2016</v>
      </c>
      <c r="B3" s="5">
        <v>17.690000000000001</v>
      </c>
      <c r="C3" s="5">
        <v>9.58</v>
      </c>
      <c r="D3" s="5">
        <v>13.984642857142857</v>
      </c>
    </row>
    <row r="4" spans="1:4" x14ac:dyDescent="0.2">
      <c r="A4" s="7">
        <v>2017</v>
      </c>
      <c r="B4" s="5">
        <v>25.67</v>
      </c>
      <c r="C4" s="5">
        <v>14.47</v>
      </c>
      <c r="D4" s="5">
        <v>20.954621513944218</v>
      </c>
    </row>
    <row r="5" spans="1:4" x14ac:dyDescent="0.2">
      <c r="A5" s="7">
        <v>2018</v>
      </c>
      <c r="B5" s="5">
        <v>25.3</v>
      </c>
      <c r="C5" s="5">
        <v>16.7</v>
      </c>
      <c r="D5" s="5">
        <v>21.155856573705162</v>
      </c>
    </row>
    <row r="6" spans="1:4" x14ac:dyDescent="0.2">
      <c r="A6" s="7">
        <v>2019</v>
      </c>
      <c r="B6" s="5">
        <v>28.73</v>
      </c>
      <c r="C6" s="5">
        <v>11.93</v>
      </c>
      <c r="D6" s="5">
        <v>18.235198412698406</v>
      </c>
    </row>
    <row r="7" spans="1:4" x14ac:dyDescent="0.2">
      <c r="A7" s="7">
        <v>2020</v>
      </c>
      <c r="B7" s="5">
        <v>235.22</v>
      </c>
      <c r="C7" s="5">
        <v>24.08</v>
      </c>
      <c r="D7" s="5">
        <v>96.665770750988116</v>
      </c>
    </row>
    <row r="8" spans="1:4" x14ac:dyDescent="0.2">
      <c r="A8" s="7">
        <v>2021</v>
      </c>
      <c r="B8" s="5">
        <v>409.97</v>
      </c>
      <c r="C8" s="5">
        <v>187.67</v>
      </c>
      <c r="D8" s="5">
        <v>259.99817460317468</v>
      </c>
    </row>
    <row r="9" spans="1:4" x14ac:dyDescent="0.2">
      <c r="A9" s="7">
        <v>2022</v>
      </c>
      <c r="B9" s="5">
        <v>399.93</v>
      </c>
      <c r="C9" s="5">
        <v>109.1</v>
      </c>
      <c r="D9" s="5">
        <v>263.09314741035854</v>
      </c>
    </row>
    <row r="10" spans="1:4" x14ac:dyDescent="0.2">
      <c r="A10" s="7">
        <v>2023</v>
      </c>
      <c r="B10" s="5">
        <v>293.33999999999997</v>
      </c>
      <c r="C10" s="5">
        <v>108.1</v>
      </c>
      <c r="D10" s="5">
        <v>217.4752400000001</v>
      </c>
    </row>
    <row r="11" spans="1:4" x14ac:dyDescent="0.2">
      <c r="A11" s="7">
        <v>2024</v>
      </c>
      <c r="B11" s="5">
        <v>479.86</v>
      </c>
      <c r="C11" s="5">
        <v>142.05000000000001</v>
      </c>
      <c r="D11" s="5">
        <v>230.61496031746017</v>
      </c>
    </row>
    <row r="12" spans="1:4" x14ac:dyDescent="0.2">
      <c r="A12" s="7">
        <v>2025</v>
      </c>
      <c r="B12" s="5">
        <v>444.72</v>
      </c>
      <c r="C12" s="5">
        <v>221.86</v>
      </c>
      <c r="D12" s="5">
        <v>326.62529729729721</v>
      </c>
    </row>
    <row r="13" spans="1:4" x14ac:dyDescent="0.2">
      <c r="A13" s="7" t="s">
        <v>3</v>
      </c>
      <c r="B13" s="8">
        <v>479.86</v>
      </c>
      <c r="C13" s="8">
        <v>9.58</v>
      </c>
      <c r="D13" s="8">
        <v>138.70616394747319</v>
      </c>
    </row>
    <row r="25" spans="1:2" x14ac:dyDescent="0.2">
      <c r="A25" s="6" t="s">
        <v>2</v>
      </c>
      <c r="B25" t="s">
        <v>26</v>
      </c>
    </row>
    <row r="26" spans="1:2" x14ac:dyDescent="0.2">
      <c r="A26" s="7" t="s">
        <v>15</v>
      </c>
      <c r="B26" s="8">
        <v>16.5</v>
      </c>
    </row>
    <row r="27" spans="1:2" x14ac:dyDescent="0.2">
      <c r="A27" s="7" t="s">
        <v>16</v>
      </c>
      <c r="B27" s="8">
        <v>15.38</v>
      </c>
    </row>
    <row r="28" spans="1:2" x14ac:dyDescent="0.2">
      <c r="A28" s="7" t="s">
        <v>17</v>
      </c>
      <c r="B28" s="8">
        <v>14.32</v>
      </c>
    </row>
    <row r="29" spans="1:2" x14ac:dyDescent="0.2">
      <c r="A29" s="7" t="s">
        <v>18</v>
      </c>
      <c r="B29" s="8">
        <v>20.8</v>
      </c>
    </row>
    <row r="30" spans="1:2" x14ac:dyDescent="0.2">
      <c r="A30" s="7" t="s">
        <v>19</v>
      </c>
      <c r="B30" s="8">
        <v>20.41</v>
      </c>
    </row>
    <row r="31" spans="1:2" x14ac:dyDescent="0.2">
      <c r="A31" s="7" t="s">
        <v>20</v>
      </c>
      <c r="B31" s="8">
        <v>28.3</v>
      </c>
    </row>
    <row r="32" spans="1:2" x14ac:dyDescent="0.2">
      <c r="A32" s="7" t="s">
        <v>21</v>
      </c>
      <c r="B32" s="8">
        <v>239.82</v>
      </c>
    </row>
    <row r="33" spans="1:3" x14ac:dyDescent="0.2">
      <c r="A33" s="7" t="s">
        <v>22</v>
      </c>
      <c r="B33" s="8">
        <v>382.58</v>
      </c>
    </row>
    <row r="34" spans="1:3" x14ac:dyDescent="0.2">
      <c r="A34" s="7" t="s">
        <v>23</v>
      </c>
      <c r="B34" s="8">
        <v>118.47</v>
      </c>
    </row>
    <row r="35" spans="1:3" x14ac:dyDescent="0.2">
      <c r="A35" s="7" t="s">
        <v>24</v>
      </c>
      <c r="B35" s="8">
        <v>250.08</v>
      </c>
    </row>
    <row r="36" spans="1:3" x14ac:dyDescent="0.2">
      <c r="A36" s="7" t="s">
        <v>25</v>
      </c>
      <c r="B36" s="8">
        <v>390.1</v>
      </c>
    </row>
    <row r="37" spans="1:3" x14ac:dyDescent="0.2">
      <c r="A37" s="7" t="s">
        <v>3</v>
      </c>
      <c r="B37" s="8">
        <v>1496.7599999999998</v>
      </c>
    </row>
    <row r="42" spans="1:3" x14ac:dyDescent="0.2">
      <c r="A42" s="6" t="s">
        <v>2</v>
      </c>
      <c r="B42" t="s">
        <v>8</v>
      </c>
      <c r="C42" t="s">
        <v>9</v>
      </c>
    </row>
    <row r="43" spans="1:3" x14ac:dyDescent="0.2">
      <c r="A43" s="17">
        <v>2015</v>
      </c>
      <c r="B43" s="18">
        <v>-7.1758439566008061E-4</v>
      </c>
      <c r="C43" s="18">
        <v>2.8514114223610856E-2</v>
      </c>
    </row>
    <row r="44" spans="1:3" x14ac:dyDescent="0.2">
      <c r="A44" s="17">
        <v>2016</v>
      </c>
      <c r="B44" s="18">
        <v>1.7702129131293832E-4</v>
      </c>
      <c r="C44" s="18">
        <v>2.4049249936928214E-2</v>
      </c>
    </row>
    <row r="45" spans="1:3" x14ac:dyDescent="0.2">
      <c r="A45" s="17">
        <v>2017</v>
      </c>
      <c r="B45" s="18">
        <v>1.8025498557975531E-3</v>
      </c>
      <c r="C45" s="18">
        <v>2.2300076436628312E-2</v>
      </c>
    </row>
    <row r="46" spans="1:3" x14ac:dyDescent="0.2">
      <c r="A46" s="17">
        <v>2018</v>
      </c>
      <c r="B46" s="18">
        <v>5.3848521292879775E-4</v>
      </c>
      <c r="C46" s="18">
        <v>3.7010568745762959E-2</v>
      </c>
    </row>
    <row r="47" spans="1:3" x14ac:dyDescent="0.2">
      <c r="A47" s="17">
        <v>2019</v>
      </c>
      <c r="B47" s="18">
        <v>1.7746587000774673E-3</v>
      </c>
      <c r="C47" s="18">
        <v>3.0801899513090748E-2</v>
      </c>
    </row>
    <row r="48" spans="1:3" x14ac:dyDescent="0.2">
      <c r="A48" s="17">
        <v>2020</v>
      </c>
      <c r="B48" s="18">
        <v>1.0070079691390338E-2</v>
      </c>
      <c r="C48" s="18">
        <v>5.6272880381092044E-2</v>
      </c>
    </row>
    <row r="49" spans="1:3" x14ac:dyDescent="0.2">
      <c r="A49" s="17">
        <v>2021</v>
      </c>
      <c r="B49" s="18">
        <v>2.5898310014847168E-3</v>
      </c>
      <c r="C49" s="18">
        <v>3.5442721068413542E-2</v>
      </c>
    </row>
    <row r="50" spans="1:3" x14ac:dyDescent="0.2">
      <c r="A50" s="17">
        <v>2022</v>
      </c>
      <c r="B50" s="18">
        <v>-4.3199493580609819E-3</v>
      </c>
      <c r="C50" s="18">
        <v>4.1749267225423325E-2</v>
      </c>
    </row>
    <row r="51" spans="1:3" x14ac:dyDescent="0.2">
      <c r="A51" s="17">
        <v>2023</v>
      </c>
      <c r="B51" s="18">
        <v>3.8761857894046236E-3</v>
      </c>
      <c r="C51" s="18">
        <v>3.3099977127708347E-2</v>
      </c>
    </row>
    <row r="52" spans="1:3" x14ac:dyDescent="0.2">
      <c r="A52" s="17">
        <v>2024</v>
      </c>
      <c r="B52" s="18">
        <v>2.4685602944369478E-3</v>
      </c>
      <c r="C52" s="18">
        <v>4.0197801252630935E-2</v>
      </c>
    </row>
    <row r="53" spans="1:3" x14ac:dyDescent="0.2">
      <c r="A53" s="17">
        <v>2025</v>
      </c>
      <c r="B53" s="18">
        <v>-3.6478321664259027E-3</v>
      </c>
      <c r="C53" s="18">
        <v>8.5105252274323764E-2</v>
      </c>
    </row>
    <row r="54" spans="1:3" x14ac:dyDescent="0.2">
      <c r="A54" s="17" t="s">
        <v>3</v>
      </c>
      <c r="B54" s="18">
        <v>1.6179199104423107E-3</v>
      </c>
      <c r="C54" s="18">
        <v>4.2307807999756107E-2</v>
      </c>
    </row>
    <row r="60" spans="1:3" x14ac:dyDescent="0.2">
      <c r="A60" s="19"/>
    </row>
    <row r="62" spans="1:3" x14ac:dyDescent="0.2">
      <c r="A62" s="19"/>
    </row>
    <row r="64" spans="1:3" x14ac:dyDescent="0.2">
      <c r="A64" s="19"/>
    </row>
    <row r="67" spans="1:2" x14ac:dyDescent="0.2">
      <c r="A67" t="s">
        <v>10</v>
      </c>
    </row>
    <row r="69" spans="1:2" x14ac:dyDescent="0.2">
      <c r="A69" t="s">
        <v>11</v>
      </c>
    </row>
    <row r="71" spans="1:2" x14ac:dyDescent="0.2">
      <c r="A71" t="s">
        <v>12</v>
      </c>
    </row>
    <row r="74" spans="1:2" x14ac:dyDescent="0.2">
      <c r="A74" s="6" t="s">
        <v>2</v>
      </c>
      <c r="B74" t="s">
        <v>13</v>
      </c>
    </row>
    <row r="75" spans="1:2" x14ac:dyDescent="0.2">
      <c r="A75" s="17">
        <v>2015</v>
      </c>
      <c r="B75" s="14">
        <v>3737425.609375</v>
      </c>
    </row>
    <row r="76" spans="1:2" x14ac:dyDescent="0.2">
      <c r="A76" s="17">
        <v>2016</v>
      </c>
      <c r="B76" s="14">
        <v>4602061.0912698414</v>
      </c>
    </row>
    <row r="77" spans="1:2" x14ac:dyDescent="0.2">
      <c r="A77" s="17">
        <v>2017</v>
      </c>
      <c r="B77" s="14">
        <v>6334939.8486055778</v>
      </c>
    </row>
    <row r="78" spans="1:2" x14ac:dyDescent="0.2">
      <c r="A78" s="17">
        <v>2018</v>
      </c>
      <c r="B78" s="14">
        <v>8583576.4183266927</v>
      </c>
    </row>
    <row r="79" spans="1:2" x14ac:dyDescent="0.2">
      <c r="A79" s="17">
        <v>2019</v>
      </c>
      <c r="B79" s="14">
        <v>9193539.8095238097</v>
      </c>
    </row>
    <row r="80" spans="1:2" x14ac:dyDescent="0.2">
      <c r="A80" s="17">
        <v>2020</v>
      </c>
      <c r="B80" s="14">
        <v>29836881.845849801</v>
      </c>
    </row>
    <row r="81" spans="1:2" x14ac:dyDescent="0.2">
      <c r="A81" s="17">
        <v>2021</v>
      </c>
      <c r="B81" s="14">
        <v>27398330.404761903</v>
      </c>
    </row>
    <row r="82" spans="1:2" x14ac:dyDescent="0.2">
      <c r="A82" s="17">
        <v>2022</v>
      </c>
      <c r="B82" s="14">
        <v>50551494.266932271</v>
      </c>
    </row>
    <row r="83" spans="1:2" x14ac:dyDescent="0.2">
      <c r="A83" s="17">
        <v>2023</v>
      </c>
      <c r="B83" s="14">
        <v>137375221.088</v>
      </c>
    </row>
    <row r="84" spans="1:2" x14ac:dyDescent="0.2">
      <c r="A84" s="17">
        <v>2024</v>
      </c>
      <c r="B84" s="14">
        <v>94857230.099206343</v>
      </c>
    </row>
    <row r="85" spans="1:2" x14ac:dyDescent="0.2">
      <c r="A85" s="17">
        <v>2025</v>
      </c>
      <c r="B85" s="14">
        <v>101931570.21081081</v>
      </c>
    </row>
    <row r="86" spans="1:2" x14ac:dyDescent="0.2">
      <c r="A86" s="17" t="s">
        <v>3</v>
      </c>
      <c r="B86" s="8">
        <v>44451626.512136891</v>
      </c>
    </row>
    <row r="100" spans="3:5" x14ac:dyDescent="0.2">
      <c r="C100" s="17"/>
      <c r="D100" s="8"/>
      <c r="E100" s="8"/>
    </row>
    <row r="101" spans="3:5" x14ac:dyDescent="0.2">
      <c r="C101" s="17"/>
      <c r="D101" s="8"/>
      <c r="E101" s="8"/>
    </row>
    <row r="102" spans="3:5" x14ac:dyDescent="0.2">
      <c r="C102" s="17"/>
      <c r="D102" s="8"/>
      <c r="E102" s="8"/>
    </row>
    <row r="103" spans="3:5" x14ac:dyDescent="0.2">
      <c r="C103" s="17"/>
      <c r="D103" s="8"/>
      <c r="E103" s="8"/>
    </row>
    <row r="104" spans="3:5" x14ac:dyDescent="0.2">
      <c r="C104" s="17"/>
      <c r="D104" s="8"/>
      <c r="E104" s="8"/>
    </row>
    <row r="105" spans="3:5" x14ac:dyDescent="0.2">
      <c r="C105" s="17"/>
      <c r="D105" s="8"/>
      <c r="E105" s="8"/>
    </row>
    <row r="106" spans="3:5" x14ac:dyDescent="0.2">
      <c r="C106" s="17"/>
      <c r="D106" s="8"/>
      <c r="E106" s="8"/>
    </row>
    <row r="107" spans="3:5" x14ac:dyDescent="0.2">
      <c r="C107" s="17"/>
      <c r="D107" s="8"/>
      <c r="E107" s="8"/>
    </row>
    <row r="108" spans="3:5" x14ac:dyDescent="0.2">
      <c r="C108" s="17"/>
      <c r="D108" s="8"/>
      <c r="E108" s="8"/>
    </row>
    <row r="109" spans="3:5" x14ac:dyDescent="0.2">
      <c r="C109" s="17"/>
      <c r="D109" s="8"/>
      <c r="E109" s="8"/>
    </row>
    <row r="110" spans="3:5" x14ac:dyDescent="0.2">
      <c r="C110" s="17"/>
      <c r="D110" s="8"/>
      <c r="E110" s="8"/>
    </row>
    <row r="111" spans="3:5" x14ac:dyDescent="0.2">
      <c r="C111" s="17"/>
      <c r="D111" s="8"/>
      <c r="E111" s="8"/>
    </row>
  </sheetData>
  <pageMargins left="0.7" right="0.7" top="0.75" bottom="0.75" header="0.3" footer="0.3"/>
  <pageSetup orientation="portrait" horizontalDpi="1200" verticalDpi="12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6"/>
  <sheetViews>
    <sheetView tabSelected="1" workbookViewId="0">
      <selection activeCell="F45" sqref="F45"/>
    </sheetView>
  </sheetViews>
  <sheetFormatPr defaultRowHeight="12.75" x14ac:dyDescent="0.2"/>
  <sheetData>
    <row r="1" spans="1:24" ht="12.75" customHeight="1" x14ac:dyDescent="0.2">
      <c r="A1" s="20" t="s">
        <v>14</v>
      </c>
      <c r="B1" s="20"/>
      <c r="C1" s="20"/>
      <c r="D1" s="20"/>
      <c r="E1" s="20"/>
      <c r="F1" s="20"/>
      <c r="G1" s="20"/>
      <c r="H1" s="20"/>
      <c r="I1" s="20"/>
      <c r="J1" s="20"/>
      <c r="K1" s="20"/>
      <c r="L1" s="20"/>
      <c r="M1" s="20"/>
      <c r="N1" s="20"/>
      <c r="O1" s="20"/>
      <c r="P1" s="20"/>
      <c r="Q1" s="20"/>
      <c r="R1" s="20"/>
      <c r="S1" s="20"/>
      <c r="T1" s="20"/>
      <c r="U1" s="20"/>
      <c r="V1" s="20"/>
      <c r="W1" s="20"/>
      <c r="X1" s="20"/>
    </row>
    <row r="2" spans="1:24" ht="12.75" customHeight="1" x14ac:dyDescent="0.2">
      <c r="A2" s="20"/>
      <c r="B2" s="20"/>
      <c r="C2" s="20"/>
      <c r="D2" s="20"/>
      <c r="E2" s="20"/>
      <c r="F2" s="20"/>
      <c r="G2" s="20"/>
      <c r="H2" s="20"/>
      <c r="I2" s="20"/>
      <c r="J2" s="20"/>
      <c r="K2" s="20"/>
      <c r="L2" s="20"/>
      <c r="M2" s="20"/>
      <c r="N2" s="20"/>
      <c r="O2" s="20"/>
      <c r="P2" s="20"/>
      <c r="Q2" s="20"/>
      <c r="R2" s="20"/>
      <c r="S2" s="20"/>
      <c r="T2" s="20"/>
      <c r="U2" s="20"/>
      <c r="V2" s="20"/>
      <c r="W2" s="20"/>
      <c r="X2" s="20"/>
    </row>
    <row r="3" spans="1:24" ht="12.75" customHeight="1" x14ac:dyDescent="0.2">
      <c r="A3" s="20"/>
      <c r="B3" s="20"/>
      <c r="C3" s="20"/>
      <c r="D3" s="20"/>
      <c r="E3" s="20"/>
      <c r="F3" s="20"/>
      <c r="G3" s="20"/>
      <c r="H3" s="20"/>
      <c r="I3" s="20"/>
      <c r="J3" s="20"/>
      <c r="K3" s="20"/>
      <c r="L3" s="20"/>
      <c r="M3" s="20"/>
      <c r="N3" s="20"/>
      <c r="O3" s="20"/>
      <c r="P3" s="20"/>
      <c r="Q3" s="20"/>
      <c r="R3" s="20"/>
      <c r="S3" s="20"/>
      <c r="T3" s="20"/>
      <c r="U3" s="20"/>
      <c r="V3" s="20"/>
      <c r="W3" s="20"/>
      <c r="X3" s="20"/>
    </row>
    <row r="4" spans="1:24" ht="12.75" customHeight="1" x14ac:dyDescent="0.2">
      <c r="A4" s="20"/>
      <c r="B4" s="20"/>
      <c r="C4" s="20"/>
      <c r="D4" s="20"/>
      <c r="E4" s="20"/>
      <c r="F4" s="20"/>
      <c r="G4" s="20"/>
      <c r="H4" s="20"/>
      <c r="I4" s="20"/>
      <c r="J4" s="20"/>
      <c r="K4" s="20"/>
      <c r="L4" s="20"/>
      <c r="M4" s="20"/>
      <c r="N4" s="20"/>
      <c r="O4" s="20"/>
      <c r="P4" s="20"/>
      <c r="Q4" s="20"/>
      <c r="R4" s="20"/>
      <c r="S4" s="20"/>
      <c r="T4" s="20"/>
      <c r="U4" s="20"/>
      <c r="V4" s="20"/>
      <c r="W4" s="20"/>
      <c r="X4" s="20"/>
    </row>
    <row r="5" spans="1:24" ht="12.75" customHeight="1" x14ac:dyDescent="0.2">
      <c r="A5" s="20"/>
      <c r="B5" s="20"/>
      <c r="C5" s="20"/>
      <c r="D5" s="20"/>
      <c r="E5" s="20"/>
      <c r="F5" s="20"/>
      <c r="G5" s="20"/>
      <c r="H5" s="20"/>
      <c r="I5" s="20"/>
      <c r="J5" s="20"/>
      <c r="K5" s="20"/>
      <c r="L5" s="20"/>
      <c r="M5" s="20"/>
      <c r="N5" s="20"/>
      <c r="O5" s="20"/>
      <c r="P5" s="20"/>
      <c r="Q5" s="20"/>
      <c r="R5" s="20"/>
      <c r="S5" s="20"/>
      <c r="T5" s="20"/>
      <c r="U5" s="20"/>
      <c r="V5" s="20"/>
      <c r="W5" s="20"/>
      <c r="X5" s="20"/>
    </row>
    <row r="6" spans="1:24" ht="12.75" customHeight="1" x14ac:dyDescent="0.2">
      <c r="A6" s="20"/>
      <c r="B6" s="20"/>
      <c r="C6" s="20"/>
      <c r="D6" s="20"/>
      <c r="E6" s="20"/>
      <c r="F6" s="20"/>
      <c r="G6" s="20"/>
      <c r="H6" s="20"/>
      <c r="I6" s="20"/>
      <c r="J6" s="20"/>
      <c r="K6" s="20"/>
      <c r="L6" s="20"/>
      <c r="M6" s="20"/>
      <c r="N6" s="20"/>
      <c r="O6" s="20"/>
      <c r="P6" s="20"/>
      <c r="Q6" s="20"/>
      <c r="R6" s="20"/>
      <c r="S6" s="20"/>
      <c r="T6" s="20"/>
      <c r="U6" s="20"/>
      <c r="V6" s="20"/>
      <c r="W6" s="20"/>
      <c r="X6" s="20"/>
    </row>
  </sheetData>
  <mergeCells count="1">
    <mergeCell ref="A1:X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Hassan Al-Qadi</cp:lastModifiedBy>
  <dcterms:modified xsi:type="dcterms:W3CDTF">2025-10-07T11:08:13Z</dcterms:modified>
</cp:coreProperties>
</file>