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\Anprop\tubes\"/>
    </mc:Choice>
  </mc:AlternateContent>
  <xr:revisionPtr revIDLastSave="0" documentId="13_ncr:1_{8BE9E6C8-4714-4229-B606-1B34785AE2EA}" xr6:coauthVersionLast="47" xr6:coauthVersionMax="47" xr10:uidLastSave="{00000000-0000-0000-0000-000000000000}"/>
  <bookViews>
    <workbookView xWindow="-108" yWindow="-108" windowWidth="23256" windowHeight="12456" xr2:uid="{1D68283C-BAF7-484D-BBF9-2A1CACB566F0}"/>
  </bookViews>
  <sheets>
    <sheet name="simulasi" sheetId="1" r:id="rId1"/>
    <sheet name="hasil simula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3" l="1"/>
  <c r="O28" i="3"/>
  <c r="N28" i="3"/>
  <c r="K28" i="3"/>
  <c r="I28" i="3"/>
  <c r="V28" i="3"/>
  <c r="O3" i="3"/>
  <c r="O6" i="3"/>
  <c r="K6" i="3"/>
  <c r="K5" i="3"/>
  <c r="K4" i="3"/>
  <c r="L5" i="3"/>
  <c r="H4" i="3"/>
  <c r="V26" i="3"/>
  <c r="K26" i="3"/>
  <c r="I26" i="3"/>
  <c r="L26" i="3" s="1"/>
  <c r="N26" i="3" s="1"/>
  <c r="O26" i="3" s="1"/>
  <c r="E26" i="3" s="1"/>
  <c r="G26" i="3"/>
  <c r="C26" i="3"/>
  <c r="B26" i="3"/>
  <c r="K34" i="3"/>
  <c r="I34" i="3"/>
  <c r="L34" i="3" s="1"/>
  <c r="N34" i="3" s="1"/>
  <c r="O34" i="3" s="1"/>
  <c r="E34" i="3" s="1"/>
  <c r="G34" i="3"/>
  <c r="C34" i="3"/>
  <c r="B34" i="3"/>
  <c r="V33" i="3"/>
  <c r="K33" i="3"/>
  <c r="I33" i="3"/>
  <c r="L33" i="3" s="1"/>
  <c r="N33" i="3" s="1"/>
  <c r="O33" i="3" s="1"/>
  <c r="E33" i="3" s="1"/>
  <c r="G33" i="3"/>
  <c r="C33" i="3"/>
  <c r="B33" i="3"/>
  <c r="V30" i="3"/>
  <c r="K30" i="3"/>
  <c r="I30" i="3"/>
  <c r="L30" i="3" s="1"/>
  <c r="N30" i="3" s="1"/>
  <c r="O30" i="3" s="1"/>
  <c r="E30" i="3" s="1"/>
  <c r="G30" i="3"/>
  <c r="C30" i="3"/>
  <c r="B30" i="3"/>
  <c r="V32" i="3"/>
  <c r="K32" i="3"/>
  <c r="I32" i="3"/>
  <c r="L32" i="3" s="1"/>
  <c r="N32" i="3" s="1"/>
  <c r="O32" i="3" s="1"/>
  <c r="E32" i="3" s="1"/>
  <c r="G32" i="3"/>
  <c r="C32" i="3"/>
  <c r="B32" i="3"/>
  <c r="V31" i="3"/>
  <c r="K31" i="3"/>
  <c r="I31" i="3"/>
  <c r="L31" i="3" s="1"/>
  <c r="N31" i="3" s="1"/>
  <c r="O31" i="3" s="1"/>
  <c r="E31" i="3" s="1"/>
  <c r="G31" i="3"/>
  <c r="C31" i="3"/>
  <c r="B31" i="3"/>
  <c r="V29" i="3"/>
  <c r="K29" i="3"/>
  <c r="I29" i="3"/>
  <c r="L29" i="3" s="1"/>
  <c r="N29" i="3" s="1"/>
  <c r="O29" i="3" s="1"/>
  <c r="E29" i="3" s="1"/>
  <c r="G29" i="3"/>
  <c r="C29" i="3"/>
  <c r="B29" i="3"/>
  <c r="E28" i="3"/>
  <c r="G28" i="3"/>
  <c r="C28" i="3"/>
  <c r="B28" i="3"/>
  <c r="K23" i="3"/>
  <c r="I23" i="3"/>
  <c r="L23" i="3" s="1"/>
  <c r="N23" i="3" s="1"/>
  <c r="O23" i="3" s="1"/>
  <c r="E23" i="3" s="1"/>
  <c r="G23" i="3"/>
  <c r="C23" i="3"/>
  <c r="B23" i="3"/>
  <c r="V25" i="3"/>
  <c r="K25" i="3"/>
  <c r="I25" i="3"/>
  <c r="L25" i="3" s="1"/>
  <c r="N25" i="3" s="1"/>
  <c r="O25" i="3" s="1"/>
  <c r="E25" i="3" s="1"/>
  <c r="G25" i="3"/>
  <c r="C25" i="3"/>
  <c r="B25" i="3"/>
  <c r="K24" i="3"/>
  <c r="I24" i="3"/>
  <c r="L24" i="3" s="1"/>
  <c r="N24" i="3" s="1"/>
  <c r="O24" i="3" s="1"/>
  <c r="E24" i="3" s="1"/>
  <c r="G24" i="3"/>
  <c r="C24" i="3"/>
  <c r="B24" i="3"/>
  <c r="V22" i="3"/>
  <c r="L22" i="3"/>
  <c r="N22" i="3" s="1"/>
  <c r="O22" i="3" s="1"/>
  <c r="E22" i="3" s="1"/>
  <c r="K22" i="3"/>
  <c r="I22" i="3"/>
  <c r="G22" i="3"/>
  <c r="C22" i="3"/>
  <c r="B22" i="3"/>
  <c r="K20" i="3"/>
  <c r="I20" i="3"/>
  <c r="L20" i="3" s="1"/>
  <c r="N20" i="3" s="1"/>
  <c r="O20" i="3" s="1"/>
  <c r="E20" i="3" s="1"/>
  <c r="G20" i="3"/>
  <c r="C20" i="3"/>
  <c r="B20" i="3"/>
  <c r="V21" i="3"/>
  <c r="K21" i="3"/>
  <c r="I21" i="3"/>
  <c r="L21" i="3" s="1"/>
  <c r="N21" i="3" s="1"/>
  <c r="O21" i="3" s="1"/>
  <c r="E21" i="3" s="1"/>
  <c r="G21" i="3"/>
  <c r="C21" i="3"/>
  <c r="B21" i="3"/>
  <c r="K19" i="3"/>
  <c r="I19" i="3"/>
  <c r="L19" i="3" s="1"/>
  <c r="N19" i="3" s="1"/>
  <c r="O19" i="3" s="1"/>
  <c r="E19" i="3" s="1"/>
  <c r="G19" i="3"/>
  <c r="C19" i="3"/>
  <c r="B19" i="3"/>
  <c r="K17" i="3"/>
  <c r="I17" i="3"/>
  <c r="L17" i="3" s="1"/>
  <c r="N17" i="3" s="1"/>
  <c r="O17" i="3" s="1"/>
  <c r="E17" i="3" s="1"/>
  <c r="G17" i="3"/>
  <c r="C17" i="3"/>
  <c r="B17" i="3"/>
  <c r="K18" i="3"/>
  <c r="I18" i="3"/>
  <c r="L18" i="3" s="1"/>
  <c r="N18" i="3" s="1"/>
  <c r="O18" i="3" s="1"/>
  <c r="E18" i="3" s="1"/>
  <c r="G18" i="3"/>
  <c r="C18" i="3"/>
  <c r="B18" i="3"/>
  <c r="K16" i="3"/>
  <c r="I16" i="3"/>
  <c r="L16" i="3" s="1"/>
  <c r="N16" i="3" s="1"/>
  <c r="O16" i="3" s="1"/>
  <c r="E16" i="3" s="1"/>
  <c r="G16" i="3"/>
  <c r="C16" i="3"/>
  <c r="B16" i="3"/>
  <c r="V15" i="3"/>
  <c r="K15" i="3"/>
  <c r="I15" i="3"/>
  <c r="L15" i="3" s="1"/>
  <c r="N15" i="3" s="1"/>
  <c r="O15" i="3" s="1"/>
  <c r="E15" i="3" s="1"/>
  <c r="G15" i="3"/>
  <c r="C15" i="3"/>
  <c r="B15" i="3"/>
  <c r="K13" i="3"/>
  <c r="I13" i="3"/>
  <c r="L13" i="3" s="1"/>
  <c r="N13" i="3" s="1"/>
  <c r="O13" i="3" s="1"/>
  <c r="E13" i="3" s="1"/>
  <c r="G13" i="3"/>
  <c r="C13" i="3"/>
  <c r="B13" i="3"/>
  <c r="V12" i="3"/>
  <c r="K12" i="3"/>
  <c r="I12" i="3"/>
  <c r="L12" i="3" s="1"/>
  <c r="N12" i="3" s="1"/>
  <c r="O12" i="3" s="1"/>
  <c r="E12" i="3" s="1"/>
  <c r="G12" i="3"/>
  <c r="C12" i="3"/>
  <c r="B12" i="3"/>
  <c r="V14" i="3"/>
  <c r="K14" i="3"/>
  <c r="I14" i="3"/>
  <c r="L14" i="3" s="1"/>
  <c r="N14" i="3" s="1"/>
  <c r="O14" i="3" s="1"/>
  <c r="E14" i="3" s="1"/>
  <c r="G14" i="3"/>
  <c r="C14" i="3"/>
  <c r="B14" i="3"/>
  <c r="V11" i="3"/>
  <c r="K11" i="3"/>
  <c r="I11" i="3"/>
  <c r="L11" i="3" s="1"/>
  <c r="N11" i="3" s="1"/>
  <c r="O11" i="3" s="1"/>
  <c r="E11" i="3" s="1"/>
  <c r="G11" i="3"/>
  <c r="C11" i="3"/>
  <c r="B11" i="3"/>
  <c r="V10" i="3"/>
  <c r="K10" i="3"/>
  <c r="I10" i="3"/>
  <c r="L10" i="3" s="1"/>
  <c r="N10" i="3" s="1"/>
  <c r="O10" i="3" s="1"/>
  <c r="E10" i="3" s="1"/>
  <c r="G10" i="3"/>
  <c r="C10" i="3"/>
  <c r="B10" i="3"/>
  <c r="K9" i="3"/>
  <c r="I9" i="3"/>
  <c r="L9" i="3" s="1"/>
  <c r="N9" i="3" s="1"/>
  <c r="O9" i="3" s="1"/>
  <c r="E9" i="3" s="1"/>
  <c r="G9" i="3"/>
  <c r="C9" i="3"/>
  <c r="B9" i="3"/>
  <c r="V8" i="3"/>
  <c r="K8" i="3"/>
  <c r="I8" i="3"/>
  <c r="L8" i="3" s="1"/>
  <c r="N8" i="3" s="1"/>
  <c r="O8" i="3" s="1"/>
  <c r="E8" i="3" s="1"/>
  <c r="G8" i="3"/>
  <c r="C8" i="3"/>
  <c r="B8" i="3"/>
  <c r="V7" i="3"/>
  <c r="K7" i="3"/>
  <c r="I7" i="3"/>
  <c r="L7" i="3" s="1"/>
  <c r="N7" i="3" s="1"/>
  <c r="O7" i="3" s="1"/>
  <c r="E7" i="3" s="1"/>
  <c r="G7" i="3"/>
  <c r="C7" i="3"/>
  <c r="B7" i="3"/>
  <c r="V6" i="3"/>
  <c r="G6" i="3"/>
  <c r="C6" i="3"/>
  <c r="B6" i="3"/>
  <c r="H6" i="3" s="1"/>
  <c r="G5" i="3"/>
  <c r="O5" i="3" s="1"/>
  <c r="E5" i="3" s="1"/>
  <c r="C5" i="3"/>
  <c r="H5" i="3" s="1"/>
  <c r="B5" i="3"/>
  <c r="G4" i="3"/>
  <c r="O4" i="3" s="1"/>
  <c r="E4" i="3" s="1"/>
  <c r="C4" i="3"/>
  <c r="B4" i="3"/>
  <c r="V3" i="3"/>
  <c r="G3" i="3"/>
  <c r="C3" i="3"/>
  <c r="B3" i="3"/>
  <c r="H3" i="3" s="1"/>
  <c r="V27" i="3"/>
  <c r="G27" i="3"/>
  <c r="E27" i="3"/>
  <c r="C27" i="3"/>
  <c r="B27" i="3"/>
  <c r="V34" i="1"/>
  <c r="H37" i="1"/>
  <c r="K37" i="1" s="1"/>
  <c r="V27" i="1"/>
  <c r="V28" i="1"/>
  <c r="V32" i="1"/>
  <c r="E3" i="1"/>
  <c r="G3" i="1"/>
  <c r="V31" i="1"/>
  <c r="I31" i="1"/>
  <c r="L31" i="1" s="1"/>
  <c r="V30" i="1"/>
  <c r="V29" i="1"/>
  <c r="B35" i="1"/>
  <c r="C35" i="1"/>
  <c r="G35" i="1"/>
  <c r="H35" i="1"/>
  <c r="I35" i="1" s="1"/>
  <c r="L35" i="1" s="1"/>
  <c r="N35" i="1" s="1"/>
  <c r="O35" i="1" s="1"/>
  <c r="E35" i="1" s="1"/>
  <c r="B36" i="1"/>
  <c r="C36" i="1"/>
  <c r="G36" i="1"/>
  <c r="H36" i="1"/>
  <c r="K36" i="1" s="1"/>
  <c r="B37" i="1"/>
  <c r="C37" i="1"/>
  <c r="G37" i="1"/>
  <c r="B33" i="1"/>
  <c r="C33" i="1"/>
  <c r="G33" i="1"/>
  <c r="I33" i="1"/>
  <c r="L33" i="1" s="1"/>
  <c r="N33" i="1" s="1"/>
  <c r="O33" i="1" s="1"/>
  <c r="E33" i="1" s="1"/>
  <c r="B34" i="1"/>
  <c r="C34" i="1"/>
  <c r="G34" i="1"/>
  <c r="K34" i="1"/>
  <c r="I28" i="1"/>
  <c r="L28" i="1" s="1"/>
  <c r="N28" i="1" s="1"/>
  <c r="K29" i="1"/>
  <c r="I30" i="1"/>
  <c r="L30" i="1" s="1"/>
  <c r="I32" i="1"/>
  <c r="L32" i="1" s="1"/>
  <c r="N32" i="1" s="1"/>
  <c r="V25" i="1"/>
  <c r="I25" i="1"/>
  <c r="L25" i="1" s="1"/>
  <c r="N25" i="1" s="1"/>
  <c r="O25" i="1" s="1"/>
  <c r="V23" i="1"/>
  <c r="I24" i="1"/>
  <c r="L24" i="1" s="1"/>
  <c r="N24" i="1" s="1"/>
  <c r="I26" i="1"/>
  <c r="L26" i="1" s="1"/>
  <c r="I27" i="1"/>
  <c r="L27" i="1" s="1"/>
  <c r="I23" i="1"/>
  <c r="L23" i="1" s="1"/>
  <c r="N23" i="1" s="1"/>
  <c r="O23" i="1" s="1"/>
  <c r="E23" i="1" s="1"/>
  <c r="I22" i="1"/>
  <c r="L22" i="1" s="1"/>
  <c r="N22" i="1" s="1"/>
  <c r="O22" i="1" s="1"/>
  <c r="E22" i="1" s="1"/>
  <c r="V21" i="1"/>
  <c r="K21" i="1"/>
  <c r="B32" i="1"/>
  <c r="C32" i="1"/>
  <c r="G32" i="1"/>
  <c r="B24" i="1"/>
  <c r="C24" i="1"/>
  <c r="G24" i="1"/>
  <c r="B25" i="1"/>
  <c r="C25" i="1"/>
  <c r="G25" i="1"/>
  <c r="B26" i="1"/>
  <c r="C26" i="1"/>
  <c r="G26" i="1"/>
  <c r="B27" i="1"/>
  <c r="C27" i="1"/>
  <c r="G27" i="1"/>
  <c r="B28" i="1"/>
  <c r="C28" i="1"/>
  <c r="G28" i="1"/>
  <c r="B29" i="1"/>
  <c r="C29" i="1"/>
  <c r="G29" i="1"/>
  <c r="B30" i="1"/>
  <c r="C30" i="1"/>
  <c r="G30" i="1"/>
  <c r="B31" i="1"/>
  <c r="C31" i="1"/>
  <c r="G31" i="1"/>
  <c r="B23" i="1"/>
  <c r="C23" i="1"/>
  <c r="G23" i="1"/>
  <c r="I20" i="1"/>
  <c r="L20" i="1" s="1"/>
  <c r="N20" i="1" s="1"/>
  <c r="O20" i="1" s="1"/>
  <c r="E20" i="1" s="1"/>
  <c r="V16" i="1"/>
  <c r="K19" i="1"/>
  <c r="I18" i="1"/>
  <c r="L18" i="1" s="1"/>
  <c r="N18" i="1" s="1"/>
  <c r="O18" i="1" s="1"/>
  <c r="E18" i="1" s="1"/>
  <c r="K17" i="1"/>
  <c r="C13" i="1"/>
  <c r="C14" i="1"/>
  <c r="C15" i="1"/>
  <c r="C16" i="1"/>
  <c r="C17" i="1"/>
  <c r="C18" i="1"/>
  <c r="C19" i="1"/>
  <c r="C20" i="1"/>
  <c r="C21" i="1"/>
  <c r="C22" i="1"/>
  <c r="B13" i="1"/>
  <c r="B14" i="1"/>
  <c r="B15" i="1"/>
  <c r="B16" i="1"/>
  <c r="B17" i="1"/>
  <c r="B18" i="1"/>
  <c r="B19" i="1"/>
  <c r="B20" i="1"/>
  <c r="B21" i="1"/>
  <c r="B22" i="1"/>
  <c r="K15" i="1"/>
  <c r="I15" i="1"/>
  <c r="L15" i="1" s="1"/>
  <c r="N15" i="1" s="1"/>
  <c r="V14" i="1"/>
  <c r="I16" i="1"/>
  <c r="L16" i="1" s="1"/>
  <c r="N16" i="1" s="1"/>
  <c r="O16" i="1" s="1"/>
  <c r="E16" i="1" s="1"/>
  <c r="I14" i="1"/>
  <c r="L14" i="1" s="1"/>
  <c r="N14" i="1" s="1"/>
  <c r="O14" i="1" s="1"/>
  <c r="E14" i="1" s="1"/>
  <c r="V13" i="1"/>
  <c r="I13" i="1"/>
  <c r="L13" i="1"/>
  <c r="N13" i="1" s="1"/>
  <c r="O13" i="1" s="1"/>
  <c r="E13" i="1" s="1"/>
  <c r="V12" i="1"/>
  <c r="V11" i="1"/>
  <c r="K12" i="1"/>
  <c r="I12" i="1"/>
  <c r="L12" i="1" s="1"/>
  <c r="N12" i="1" s="1"/>
  <c r="O12" i="1" s="1"/>
  <c r="E12" i="1" s="1"/>
  <c r="G11" i="1"/>
  <c r="O4" i="1"/>
  <c r="G13" i="1"/>
  <c r="G14" i="1"/>
  <c r="G15" i="1"/>
  <c r="G16" i="1"/>
  <c r="G17" i="1"/>
  <c r="G18" i="1"/>
  <c r="G19" i="1"/>
  <c r="G20" i="1"/>
  <c r="G21" i="1"/>
  <c r="G22" i="1"/>
  <c r="V9" i="1"/>
  <c r="K10" i="1"/>
  <c r="K9" i="1"/>
  <c r="V8" i="1"/>
  <c r="V3" i="1"/>
  <c r="V4" i="1"/>
  <c r="V7" i="1"/>
  <c r="I8" i="1"/>
  <c r="L8" i="1" s="1"/>
  <c r="N8" i="1" s="1"/>
  <c r="O8" i="1" s="1"/>
  <c r="K11" i="1"/>
  <c r="G6" i="1"/>
  <c r="O6" i="1" s="1"/>
  <c r="G5" i="1"/>
  <c r="O5" i="1" s="1"/>
  <c r="G7" i="1"/>
  <c r="O7" i="1" s="1"/>
  <c r="E7" i="1" s="1"/>
  <c r="G8" i="1"/>
  <c r="G9" i="1"/>
  <c r="G10" i="1"/>
  <c r="G12" i="1"/>
  <c r="G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E3" i="3" l="1"/>
  <c r="E6" i="3"/>
  <c r="I6" i="3"/>
  <c r="L6" i="3" s="1"/>
  <c r="N6" i="3" s="1"/>
  <c r="I5" i="3"/>
  <c r="N5" i="3" s="1"/>
  <c r="I3" i="3"/>
  <c r="L3" i="3" s="1"/>
  <c r="N3" i="3" s="1"/>
  <c r="K3" i="3"/>
  <c r="I4" i="3"/>
  <c r="L4" i="3" s="1"/>
  <c r="N4" i="3" s="1"/>
  <c r="O15" i="1"/>
  <c r="E15" i="1" s="1"/>
  <c r="K4" i="1"/>
  <c r="O24" i="1"/>
  <c r="E24" i="1" s="1"/>
  <c r="H7" i="1"/>
  <c r="H6" i="1"/>
  <c r="K6" i="1" s="1"/>
  <c r="H5" i="1"/>
  <c r="I5" i="1" s="1"/>
  <c r="L5" i="1" s="1"/>
  <c r="N5" i="1" s="1"/>
  <c r="H4" i="1"/>
  <c r="E5" i="1"/>
  <c r="I37" i="1"/>
  <c r="L37" i="1" s="1"/>
  <c r="N37" i="1" s="1"/>
  <c r="O37" i="1" s="1"/>
  <c r="E37" i="1" s="1"/>
  <c r="I36" i="1"/>
  <c r="L36" i="1" s="1"/>
  <c r="N36" i="1" s="1"/>
  <c r="O36" i="1" s="1"/>
  <c r="E36" i="1" s="1"/>
  <c r="K35" i="1"/>
  <c r="I34" i="1"/>
  <c r="L34" i="1" s="1"/>
  <c r="N34" i="1" s="1"/>
  <c r="O34" i="1" s="1"/>
  <c r="E34" i="1" s="1"/>
  <c r="K33" i="1"/>
  <c r="N31" i="1"/>
  <c r="O31" i="1" s="1"/>
  <c r="E31" i="1" s="1"/>
  <c r="O28" i="1"/>
  <c r="E28" i="1" s="1"/>
  <c r="O32" i="1"/>
  <c r="E32" i="1" s="1"/>
  <c r="N30" i="1"/>
  <c r="O30" i="1" s="1"/>
  <c r="E30" i="1" s="1"/>
  <c r="N27" i="1"/>
  <c r="O27" i="1" s="1"/>
  <c r="E27" i="1" s="1"/>
  <c r="N26" i="1"/>
  <c r="O26" i="1" s="1"/>
  <c r="E26" i="1" s="1"/>
  <c r="E25" i="1"/>
  <c r="K25" i="1"/>
  <c r="I29" i="1"/>
  <c r="L29" i="1" s="1"/>
  <c r="K23" i="1"/>
  <c r="K32" i="1"/>
  <c r="K27" i="1"/>
  <c r="K28" i="1"/>
  <c r="K31" i="1"/>
  <c r="K24" i="1"/>
  <c r="K30" i="1"/>
  <c r="K26" i="1"/>
  <c r="K20" i="1"/>
  <c r="I19" i="1"/>
  <c r="L19" i="1" s="1"/>
  <c r="N19" i="1" s="1"/>
  <c r="O19" i="1" s="1"/>
  <c r="E19" i="1" s="1"/>
  <c r="K16" i="1"/>
  <c r="K18" i="1"/>
  <c r="K22" i="1"/>
  <c r="I17" i="1"/>
  <c r="L17" i="1" s="1"/>
  <c r="N17" i="1" s="1"/>
  <c r="O17" i="1" s="1"/>
  <c r="E17" i="1" s="1"/>
  <c r="K14" i="1"/>
  <c r="I21" i="1"/>
  <c r="L21" i="1" s="1"/>
  <c r="N21" i="1" s="1"/>
  <c r="O21" i="1" s="1"/>
  <c r="E21" i="1" s="1"/>
  <c r="K13" i="1"/>
  <c r="I7" i="1"/>
  <c r="L7" i="1" s="1"/>
  <c r="N7" i="1" s="1"/>
  <c r="K7" i="1"/>
  <c r="I6" i="1"/>
  <c r="L6" i="1" s="1"/>
  <c r="N6" i="1" s="1"/>
  <c r="I10" i="1"/>
  <c r="L10" i="1" s="1"/>
  <c r="N10" i="1" s="1"/>
  <c r="E8" i="1"/>
  <c r="I11" i="1"/>
  <c r="L11" i="1" s="1"/>
  <c r="N11" i="1" s="1"/>
  <c r="O11" i="1" s="1"/>
  <c r="E11" i="1" s="1"/>
  <c r="I9" i="1"/>
  <c r="L9" i="1" s="1"/>
  <c r="N9" i="1" s="1"/>
  <c r="K8" i="1"/>
  <c r="E6" i="1"/>
  <c r="K5" i="1"/>
  <c r="E4" i="1"/>
  <c r="I4" i="1"/>
  <c r="L4" i="1" s="1"/>
  <c r="N4" i="1" s="1"/>
  <c r="E10" i="1" l="1"/>
  <c r="O10" i="1"/>
  <c r="N29" i="1"/>
  <c r="O29" i="1" s="1"/>
  <c r="E29" i="1" s="1"/>
  <c r="O9" i="1"/>
  <c r="E9" i="1" s="1"/>
</calcChain>
</file>

<file path=xl/sharedStrings.xml><?xml version="1.0" encoding="utf-8"?>
<sst xmlns="http://schemas.openxmlformats.org/spreadsheetml/2006/main" count="178" uniqueCount="27">
  <si>
    <t>a</t>
  </si>
  <si>
    <t>t</t>
  </si>
  <si>
    <t>xs</t>
  </si>
  <si>
    <t>ys</t>
  </si>
  <si>
    <t>hs</t>
  </si>
  <si>
    <t>hp</t>
  </si>
  <si>
    <t>Lf</t>
  </si>
  <si>
    <t>Wf</t>
  </si>
  <si>
    <t>VSWR</t>
  </si>
  <si>
    <t>Polarisasi</t>
  </si>
  <si>
    <t>Optimasi ke-</t>
  </si>
  <si>
    <t>Target parameter</t>
  </si>
  <si>
    <t>Return Loss (dB)</t>
  </si>
  <si>
    <t>Axial Ratio</t>
  </si>
  <si>
    <t>Linear</t>
  </si>
  <si>
    <t>40 dB</t>
  </si>
  <si>
    <t>Gain (dBi)</t>
  </si>
  <si>
    <t>Er</t>
  </si>
  <si>
    <t>B</t>
  </si>
  <si>
    <t>Zo</t>
  </si>
  <si>
    <t>Eff</t>
  </si>
  <si>
    <t>Konstanta</t>
  </si>
  <si>
    <t>Fr (Hz)</t>
  </si>
  <si>
    <t>c (m/s)</t>
  </si>
  <si>
    <t>Bandwidth (GHz)</t>
  </si>
  <si>
    <t>Rizd. Gain (dBi)</t>
  </si>
  <si>
    <t>Dimensi antena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</si>
</sst>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FFF7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2" borderId="4" xfId="0" applyFill="1" applyBorder="1" applyAlignment="1">
      <alignment horizontal="center" vertical="center" wrapText="1"/>
    </xf>
    <xf numFmtId="0" fontId="0" fillId="0" borderId="4" xfId="0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7" xfId="0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0" fillId="3" borderId="12" xfId="0" applyFill="1" applyBorder="1"/>
    <xf numFmtId="0" fontId="0" fillId="3" borderId="13" xfId="0" applyFill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7" xfId="0" applyNumberFormat="1" applyFill="1" applyBorder="1"/>
    <xf numFmtId="165" fontId="0" fillId="0" borderId="3" xfId="0" applyNumberFormat="1" applyFill="1" applyBorder="1"/>
    <xf numFmtId="165" fontId="0" fillId="2" borderId="2" xfId="0" applyNumberFormat="1" applyFill="1" applyBorder="1"/>
    <xf numFmtId="165" fontId="0" fillId="4" borderId="1" xfId="0" applyNumberFormat="1" applyFill="1" applyBorder="1"/>
    <xf numFmtId="165" fontId="0" fillId="2" borderId="3" xfId="0" applyNumberFormat="1" applyFill="1" applyBorder="1"/>
    <xf numFmtId="165" fontId="0" fillId="4" borderId="3" xfId="0" applyNumberFormat="1" applyFill="1" applyBorder="1"/>
    <xf numFmtId="0" fontId="0" fillId="0" borderId="4" xfId="0" applyFill="1" applyBorder="1" applyAlignment="1">
      <alignment horizontal="center" vertical="center" wrapText="1"/>
    </xf>
    <xf numFmtId="165" fontId="0" fillId="2" borderId="1" xfId="0" applyNumberFormat="1" applyFill="1" applyBorder="1"/>
    <xf numFmtId="0" fontId="0" fillId="4" borderId="3" xfId="0" applyFill="1" applyBorder="1"/>
    <xf numFmtId="0" fontId="0" fillId="4" borderId="2" xfId="0" applyFill="1" applyBorder="1"/>
    <xf numFmtId="164" fontId="0" fillId="4" borderId="2" xfId="0" applyNumberFormat="1" applyFill="1" applyBorder="1"/>
    <xf numFmtId="0" fontId="0" fillId="4" borderId="8" xfId="0" applyFill="1" applyBorder="1"/>
    <xf numFmtId="164" fontId="0" fillId="4" borderId="16" xfId="0" applyNumberFormat="1" applyFill="1" applyBorder="1"/>
    <xf numFmtId="164" fontId="0" fillId="4" borderId="17" xfId="0" applyNumberFormat="1" applyFill="1" applyBorder="1"/>
    <xf numFmtId="164" fontId="0" fillId="4" borderId="11" xfId="0" applyNumberFormat="1" applyFill="1" applyBorder="1"/>
    <xf numFmtId="164" fontId="0" fillId="4" borderId="3" xfId="0" applyNumberFormat="1" applyFill="1" applyBorder="1"/>
    <xf numFmtId="0" fontId="0" fillId="5" borderId="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8" xfId="0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1" xfId="0" applyNumberFormat="1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0" fontId="0" fillId="0" borderId="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FF7A"/>
      <color rgb="FFFF7979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24CC-A701-48EE-B379-6C97F8FA7C8C}">
  <sheetPr>
    <pageSetUpPr fitToPage="1"/>
  </sheetPr>
  <dimension ref="A1:V3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" sqref="H2"/>
    </sheetView>
  </sheetViews>
  <sheetFormatPr defaultRowHeight="16.2" customHeight="1" x14ac:dyDescent="0.3"/>
  <cols>
    <col min="1" max="1" width="9.109375" style="5" customWidth="1"/>
    <col min="2" max="2" width="7.109375" style="5" customWidth="1"/>
    <col min="3" max="3" width="10.109375" style="5" customWidth="1"/>
    <col min="4" max="4" width="4" style="5" bestFit="1" customWidth="1"/>
    <col min="5" max="5" width="5.5546875" style="5" bestFit="1" customWidth="1"/>
    <col min="6" max="6" width="3" style="5" bestFit="1" customWidth="1"/>
    <col min="7" max="7" width="9.88671875" style="5" customWidth="1"/>
    <col min="8" max="15" width="8.88671875" style="5"/>
    <col min="16" max="16" width="14.21875" style="5" bestFit="1" customWidth="1"/>
    <col min="17" max="17" width="8.88671875" style="5"/>
    <col min="18" max="18" width="8.77734375" style="5" bestFit="1" customWidth="1"/>
    <col min="19" max="19" width="13.21875" style="5" bestFit="1" customWidth="1"/>
    <col min="20" max="20" width="9.6640625" style="5" bestFit="1" customWidth="1"/>
    <col min="21" max="21" width="8.6640625" style="5" bestFit="1" customWidth="1"/>
    <col min="22" max="22" width="14.5546875" style="5" bestFit="1" customWidth="1"/>
    <col min="23" max="16384" width="8.88671875" style="5"/>
  </cols>
  <sheetData>
    <row r="1" spans="1:22" ht="16.2" customHeight="1" x14ac:dyDescent="0.3">
      <c r="A1" s="49" t="s">
        <v>10</v>
      </c>
      <c r="B1" s="54" t="s">
        <v>21</v>
      </c>
      <c r="C1" s="55"/>
      <c r="D1" s="55"/>
      <c r="E1" s="55"/>
      <c r="F1" s="55"/>
      <c r="G1" s="55"/>
      <c r="H1" s="50" t="s">
        <v>26</v>
      </c>
      <c r="I1" s="51"/>
      <c r="J1" s="51"/>
      <c r="K1" s="51"/>
      <c r="L1" s="51"/>
      <c r="M1" s="51"/>
      <c r="N1" s="51"/>
      <c r="O1" s="52"/>
      <c r="P1" s="53" t="s">
        <v>11</v>
      </c>
      <c r="Q1" s="51"/>
      <c r="R1" s="51"/>
      <c r="S1" s="51"/>
      <c r="T1" s="51"/>
      <c r="U1" s="51"/>
    </row>
    <row r="2" spans="1:22" ht="16.2" customHeight="1" x14ac:dyDescent="0.3">
      <c r="A2" s="49"/>
      <c r="B2" s="6" t="s">
        <v>23</v>
      </c>
      <c r="C2" s="6" t="s">
        <v>22</v>
      </c>
      <c r="D2" s="1" t="s">
        <v>17</v>
      </c>
      <c r="E2" s="11" t="s">
        <v>20</v>
      </c>
      <c r="F2" s="6" t="s">
        <v>19</v>
      </c>
      <c r="G2" s="13" t="s">
        <v>18</v>
      </c>
      <c r="H2" s="19" t="s">
        <v>0</v>
      </c>
      <c r="I2" s="12" t="s">
        <v>1</v>
      </c>
      <c r="J2" s="7" t="s">
        <v>5</v>
      </c>
      <c r="K2" s="12" t="s">
        <v>2</v>
      </c>
      <c r="L2" s="12" t="s">
        <v>3</v>
      </c>
      <c r="M2" s="7" t="s">
        <v>4</v>
      </c>
      <c r="N2" s="12" t="s">
        <v>6</v>
      </c>
      <c r="O2" s="20" t="s">
        <v>7</v>
      </c>
      <c r="P2" s="15" t="s">
        <v>12</v>
      </c>
      <c r="Q2" s="7" t="s">
        <v>8</v>
      </c>
      <c r="R2" s="7" t="s">
        <v>16</v>
      </c>
      <c r="S2" s="7" t="s">
        <v>25</v>
      </c>
      <c r="T2" s="7" t="s">
        <v>13</v>
      </c>
      <c r="U2" s="7" t="s">
        <v>9</v>
      </c>
      <c r="V2" s="7" t="s">
        <v>24</v>
      </c>
    </row>
    <row r="3" spans="1:22" ht="16.2" customHeight="1" x14ac:dyDescent="0.3">
      <c r="A3" s="2">
        <v>1</v>
      </c>
      <c r="B3" s="2">
        <f>3*10^8</f>
        <v>300000000</v>
      </c>
      <c r="C3" s="2">
        <f>12.65*10^9</f>
        <v>12650000000</v>
      </c>
      <c r="D3" s="2">
        <v>4.3</v>
      </c>
      <c r="E3" s="9">
        <f>((D3+1)/2)+((D3-1)/2)*(1+12*(M3/O3))^-0.5</f>
        <v>3.2583836122744287</v>
      </c>
      <c r="F3" s="2">
        <v>50</v>
      </c>
      <c r="G3" s="14">
        <f>(60*PI()^2)/(F3*D3^0.5)</f>
        <v>5.7114550561042225</v>
      </c>
      <c r="H3" s="21">
        <v>39.076000000000001</v>
      </c>
      <c r="I3" s="8">
        <v>33.840000000000003</v>
      </c>
      <c r="J3" s="8">
        <v>3.5000000000000003E-2</v>
      </c>
      <c r="K3" s="8">
        <v>48.676000000000002</v>
      </c>
      <c r="L3" s="8">
        <v>47.441000000000003</v>
      </c>
      <c r="M3" s="8">
        <v>1.6</v>
      </c>
      <c r="N3" s="8">
        <v>16.760000000000002</v>
      </c>
      <c r="O3" s="22">
        <v>3.0209999999999999</v>
      </c>
      <c r="P3" s="16">
        <v>-18.622415</v>
      </c>
      <c r="Q3" s="8">
        <v>1.2654852999999999</v>
      </c>
      <c r="R3" s="8">
        <v>5.0709999999999997</v>
      </c>
      <c r="S3" s="8">
        <v>4.6079999999999997</v>
      </c>
      <c r="T3" s="8" t="s">
        <v>15</v>
      </c>
      <c r="U3" s="2" t="s">
        <v>14</v>
      </c>
      <c r="V3" s="27">
        <f>13.2107-12.22711</f>
        <v>0.98358999999999952</v>
      </c>
    </row>
    <row r="4" spans="1:22" ht="16.2" customHeight="1" x14ac:dyDescent="0.3">
      <c r="A4" s="3">
        <v>2</v>
      </c>
      <c r="B4" s="3">
        <f t="shared" ref="B4:B37" si="0">3*10^8</f>
        <v>300000000</v>
      </c>
      <c r="C4" s="3">
        <f t="shared" ref="C4:C37" si="1">12.65*10^9</f>
        <v>12650000000</v>
      </c>
      <c r="D4" s="3">
        <v>4.4000000000000004</v>
      </c>
      <c r="E4" s="9">
        <f>((D4+1)/2)+((D4-1)/2)*(1+12*(M4/O4))^-0.5</f>
        <v>3.3304099389288537</v>
      </c>
      <c r="F4" s="3">
        <v>50</v>
      </c>
      <c r="G4" s="14">
        <f>(60*PI()^2)/(F4*D4^0.5)</f>
        <v>5.6461791402554109</v>
      </c>
      <c r="H4" s="23">
        <f>(2*B4/(3*C4*D4^0.5))*1000</f>
        <v>7.5372536699256312</v>
      </c>
      <c r="I4" s="9">
        <f>(H4^2-(H4/2)^2)^0.5</f>
        <v>6.5274531529230861</v>
      </c>
      <c r="J4" s="9">
        <v>3.5000000000000003E-2</v>
      </c>
      <c r="K4" s="9">
        <f>6*M4+H4</f>
        <v>17.137253669925634</v>
      </c>
      <c r="L4" s="9">
        <f>6*M4+I4</f>
        <v>16.127453152923088</v>
      </c>
      <c r="M4" s="9">
        <v>1.6</v>
      </c>
      <c r="N4" s="9">
        <f>L4/2-I4/4</f>
        <v>6.4318632882307725</v>
      </c>
      <c r="O4" s="24">
        <f>(2*M4/PI())*(G4-1-LN(2*G4-1)+((D4-1)/(2*D4))*(LN(G4-1)+0.39-0.61/D4))</f>
        <v>3.0612419018779424</v>
      </c>
      <c r="P4" s="17">
        <v>-6.2668514999999996</v>
      </c>
      <c r="Q4" s="9">
        <v>2.8912298000000001</v>
      </c>
      <c r="R4" s="9">
        <v>5.0250000000000004</v>
      </c>
      <c r="S4" s="9">
        <v>3.4420000000000002</v>
      </c>
      <c r="T4" s="3" t="s">
        <v>15</v>
      </c>
      <c r="U4" s="3" t="s">
        <v>14</v>
      </c>
      <c r="V4" s="26">
        <f>12.13867-6.645428</f>
        <v>5.4932419999999995</v>
      </c>
    </row>
    <row r="5" spans="1:22" ht="16.2" customHeight="1" x14ac:dyDescent="0.3">
      <c r="A5" s="3">
        <v>3</v>
      </c>
      <c r="B5" s="3">
        <f t="shared" si="0"/>
        <v>300000000</v>
      </c>
      <c r="C5" s="3">
        <f t="shared" si="1"/>
        <v>12650000000</v>
      </c>
      <c r="D5" s="3">
        <v>4.3</v>
      </c>
      <c r="E5" s="9">
        <f>((D5+1)/2)+((D5-1)/2)*(1+12*(M5/O5))^-0.5</f>
        <v>3.2664118394578319</v>
      </c>
      <c r="F5" s="3">
        <v>50</v>
      </c>
      <c r="G5" s="14">
        <f t="shared" ref="G5:G22" si="2">(60*PI()^2)/(F5*D5^0.5)</f>
        <v>5.7114550561042225</v>
      </c>
      <c r="H5" s="23">
        <f t="shared" ref="H5:H7" si="3">(2*B5/(3*C5*D5^0.5))*1000</f>
        <v>7.6243924453820107</v>
      </c>
      <c r="I5" s="9">
        <f t="shared" ref="I5:I11" si="4">(H5^2-(H5/2)^2)^0.5</f>
        <v>6.6029175461229794</v>
      </c>
      <c r="J5" s="9">
        <v>3.5000000000000003E-2</v>
      </c>
      <c r="K5" s="9">
        <f t="shared" ref="K5:K11" si="5">6*M5+H5</f>
        <v>13.624392445382011</v>
      </c>
      <c r="L5" s="9">
        <f t="shared" ref="L5:L11" si="6">6*M5+I5</f>
        <v>12.602917546122979</v>
      </c>
      <c r="M5" s="9">
        <v>1</v>
      </c>
      <c r="N5" s="9">
        <f>L5/2-I5/4</f>
        <v>4.6507293865307453</v>
      </c>
      <c r="O5" s="24">
        <f>(2*M5/PI())*(G5-1-LN(2*G5-1)+((D5-1)/(2*D5))*(LN(G5-1)+0.39-0.61/D5))</f>
        <v>1.9464212312346307</v>
      </c>
      <c r="P5" s="17">
        <v>-7.5761398</v>
      </c>
      <c r="Q5" s="9">
        <v>2.4365242999999999</v>
      </c>
      <c r="R5" s="9">
        <v>-0.95469999999999999</v>
      </c>
      <c r="S5" s="9">
        <v>-2.7930000000000001</v>
      </c>
      <c r="T5" s="3" t="s">
        <v>15</v>
      </c>
      <c r="U5" s="3" t="s">
        <v>14</v>
      </c>
      <c r="V5" s="26"/>
    </row>
    <row r="6" spans="1:22" ht="16.2" customHeight="1" x14ac:dyDescent="0.3">
      <c r="A6" s="3">
        <v>4</v>
      </c>
      <c r="B6" s="3">
        <f t="shared" si="0"/>
        <v>300000000</v>
      </c>
      <c r="C6" s="3">
        <f t="shared" si="1"/>
        <v>12650000000</v>
      </c>
      <c r="D6" s="3">
        <v>4.3</v>
      </c>
      <c r="E6" s="9">
        <f t="shared" ref="E6:E22" si="7">((D6+1)/2)+((D6-1)/2)*(1+12*(M6/O6))^-0.5</f>
        <v>3.2664118394578319</v>
      </c>
      <c r="F6" s="3">
        <v>50</v>
      </c>
      <c r="G6" s="14">
        <f>(60*PI()^2)/(F6*D6^0.5)</f>
        <v>5.7114550561042225</v>
      </c>
      <c r="H6" s="23">
        <f t="shared" si="3"/>
        <v>7.6243924453820107</v>
      </c>
      <c r="I6" s="9">
        <f t="shared" si="4"/>
        <v>6.6029175461229794</v>
      </c>
      <c r="J6" s="9">
        <v>3.5000000000000003E-2</v>
      </c>
      <c r="K6" s="9">
        <f>6*M6+H6</f>
        <v>17.82439244538201</v>
      </c>
      <c r="L6" s="9">
        <f t="shared" si="6"/>
        <v>16.802917546122977</v>
      </c>
      <c r="M6" s="9">
        <v>1.7</v>
      </c>
      <c r="N6" s="9">
        <f>L6/2-I6/4</f>
        <v>6.7507293865307432</v>
      </c>
      <c r="O6" s="24">
        <f>(2*M6/PI())*(G6-1-LN(2*G6-1)+((D6-1)/(2*D6))*(LN(G6-1)+0.39-0.61/D6))</f>
        <v>3.3089160930988721</v>
      </c>
      <c r="P6" s="17">
        <v>-3.3240658999999999</v>
      </c>
      <c r="Q6" s="9">
        <v>5.2899769000000001</v>
      </c>
      <c r="R6" s="9">
        <v>5.1269999999999998</v>
      </c>
      <c r="S6" s="9">
        <v>2.8719999999999999</v>
      </c>
      <c r="T6" s="3" t="s">
        <v>15</v>
      </c>
      <c r="U6" s="3" t="s">
        <v>14</v>
      </c>
      <c r="V6" s="26"/>
    </row>
    <row r="7" spans="1:22" ht="16.2" customHeight="1" x14ac:dyDescent="0.3">
      <c r="A7" s="3">
        <v>5</v>
      </c>
      <c r="B7" s="3">
        <f t="shared" si="0"/>
        <v>300000000</v>
      </c>
      <c r="C7" s="3">
        <f t="shared" si="1"/>
        <v>12650000000</v>
      </c>
      <c r="D7" s="3">
        <v>4.3</v>
      </c>
      <c r="E7" s="9">
        <f t="shared" si="7"/>
        <v>3.2664118394578319</v>
      </c>
      <c r="F7" s="3">
        <v>50</v>
      </c>
      <c r="G7" s="14">
        <f t="shared" si="2"/>
        <v>5.7114550561042225</v>
      </c>
      <c r="H7" s="23">
        <f t="shared" si="3"/>
        <v>7.6243924453820107</v>
      </c>
      <c r="I7" s="9">
        <f t="shared" si="4"/>
        <v>6.6029175461229794</v>
      </c>
      <c r="J7" s="9">
        <v>3.5000000000000003E-2</v>
      </c>
      <c r="K7" s="9">
        <f>6*M7+H7</f>
        <v>17.224392445382012</v>
      </c>
      <c r="L7" s="9">
        <f t="shared" si="6"/>
        <v>16.202917546122983</v>
      </c>
      <c r="M7" s="9">
        <v>1.6</v>
      </c>
      <c r="N7" s="9">
        <f>L7/2-I7/4</f>
        <v>6.450729386530746</v>
      </c>
      <c r="O7" s="24">
        <f>(2*M7/PI())*(G7-1-LN(2*G7-1)+((D7-1)/(2*D7))*(LN(G7-1)+0.39-0.61/D7))</f>
        <v>3.1142739699754092</v>
      </c>
      <c r="P7" s="17">
        <v>-5.1733114000000002</v>
      </c>
      <c r="Q7" s="9">
        <v>3.4566460000000001</v>
      </c>
      <c r="R7" s="9">
        <v>4.96</v>
      </c>
      <c r="S7" s="9">
        <v>3.3450000000000002</v>
      </c>
      <c r="T7" s="3" t="s">
        <v>15</v>
      </c>
      <c r="U7" s="3" t="s">
        <v>14</v>
      </c>
      <c r="V7" s="26">
        <f>12.1415-6.558257</f>
        <v>5.5832430000000004</v>
      </c>
    </row>
    <row r="8" spans="1:22" ht="16.2" customHeight="1" x14ac:dyDescent="0.3">
      <c r="A8" s="3">
        <v>6</v>
      </c>
      <c r="B8" s="3">
        <f t="shared" si="0"/>
        <v>300000000</v>
      </c>
      <c r="C8" s="3">
        <f t="shared" si="1"/>
        <v>12650000000</v>
      </c>
      <c r="D8" s="3">
        <v>4.3</v>
      </c>
      <c r="E8" s="9">
        <f t="shared" si="7"/>
        <v>3.2343066009931403</v>
      </c>
      <c r="F8" s="3">
        <v>50</v>
      </c>
      <c r="G8" s="14">
        <f t="shared" si="2"/>
        <v>5.7114550561042225</v>
      </c>
      <c r="H8" s="23">
        <v>9.6269579662768905</v>
      </c>
      <c r="I8" s="9">
        <f t="shared" si="4"/>
        <v>8.3371901599607625</v>
      </c>
      <c r="J8" s="9">
        <v>3.5000000000000003E-2</v>
      </c>
      <c r="K8" s="9">
        <f t="shared" si="5"/>
        <v>19.226957966276892</v>
      </c>
      <c r="L8" s="9">
        <f t="shared" si="6"/>
        <v>17.937190159960764</v>
      </c>
      <c r="M8" s="9">
        <v>1.6</v>
      </c>
      <c r="N8" s="9">
        <f>(L8/2)-(I8/6)</f>
        <v>7.5790633866535879</v>
      </c>
      <c r="O8" s="24">
        <f>N8^0.5</f>
        <v>2.7530098776890699</v>
      </c>
      <c r="P8" s="17">
        <v>-0.97408317</v>
      </c>
      <c r="Q8" s="9">
        <v>17.852667</v>
      </c>
      <c r="R8" s="9">
        <v>4.7279999999999998</v>
      </c>
      <c r="S8" s="9">
        <v>-0.96079999999999999</v>
      </c>
      <c r="T8" s="3" t="s">
        <v>15</v>
      </c>
      <c r="U8" s="3" t="s">
        <v>14</v>
      </c>
      <c r="V8" s="26">
        <f>8.908918-6.358942</f>
        <v>2.549976</v>
      </c>
    </row>
    <row r="9" spans="1:22" ht="16.2" customHeight="1" x14ac:dyDescent="0.3">
      <c r="A9" s="3">
        <v>7</v>
      </c>
      <c r="B9" s="3">
        <f t="shared" si="0"/>
        <v>300000000</v>
      </c>
      <c r="C9" s="3">
        <f t="shared" si="1"/>
        <v>12650000000</v>
      </c>
      <c r="D9" s="3">
        <v>4.3</v>
      </c>
      <c r="E9" s="9">
        <f t="shared" si="7"/>
        <v>3.1526720084434725</v>
      </c>
      <c r="F9" s="3">
        <v>50</v>
      </c>
      <c r="G9" s="14">
        <f t="shared" si="2"/>
        <v>5.7114550561042225</v>
      </c>
      <c r="H9" s="23">
        <v>9.6269579662768905</v>
      </c>
      <c r="I9" s="9">
        <f t="shared" si="4"/>
        <v>8.3371901599607625</v>
      </c>
      <c r="J9" s="9">
        <v>3.5000000000000003E-2</v>
      </c>
      <c r="K9" s="9">
        <f t="shared" si="5"/>
        <v>19.226957966276892</v>
      </c>
      <c r="L9" s="9">
        <f t="shared" si="6"/>
        <v>17.937190159960764</v>
      </c>
      <c r="M9" s="9">
        <v>1.6</v>
      </c>
      <c r="N9" s="9">
        <f t="shared" ref="N9:N10" si="8">(L9/2)-(I9/6)</f>
        <v>7.5790633866535879</v>
      </c>
      <c r="O9" s="24">
        <f>N9^(1/3)</f>
        <v>1.9642880734478534</v>
      </c>
      <c r="P9" s="17">
        <v>-1.0391253</v>
      </c>
      <c r="Q9" s="9">
        <v>16.737625999999999</v>
      </c>
      <c r="R9" s="9">
        <v>4.2930000000000001</v>
      </c>
      <c r="S9" s="9">
        <v>-1.861</v>
      </c>
      <c r="T9" s="3" t="s">
        <v>15</v>
      </c>
      <c r="U9" s="3" t="s">
        <v>14</v>
      </c>
      <c r="V9" s="26">
        <f>8.423863-7.055827</f>
        <v>1.3680360000000009</v>
      </c>
    </row>
    <row r="10" spans="1:22" ht="16.2" customHeight="1" x14ac:dyDescent="0.3">
      <c r="A10" s="3">
        <v>8</v>
      </c>
      <c r="B10" s="3">
        <f t="shared" si="0"/>
        <v>300000000</v>
      </c>
      <c r="C10" s="3">
        <f t="shared" si="1"/>
        <v>12650000000</v>
      </c>
      <c r="D10" s="3">
        <v>4.3</v>
      </c>
      <c r="E10" s="9">
        <f t="shared" si="7"/>
        <v>3.2457819790891014</v>
      </c>
      <c r="F10" s="3">
        <v>50</v>
      </c>
      <c r="G10" s="14">
        <f t="shared" si="2"/>
        <v>5.7114550561042225</v>
      </c>
      <c r="H10" s="23">
        <v>12.0765801445927</v>
      </c>
      <c r="I10" s="9">
        <f t="shared" si="4"/>
        <v>10.458625196056028</v>
      </c>
      <c r="J10" s="9">
        <v>3.5000000000000003E-2</v>
      </c>
      <c r="K10" s="9">
        <f t="shared" si="5"/>
        <v>21.676580144592702</v>
      </c>
      <c r="L10" s="9">
        <f t="shared" si="6"/>
        <v>20.058625196056028</v>
      </c>
      <c r="M10" s="9">
        <v>1.6</v>
      </c>
      <c r="N10" s="9">
        <f t="shared" si="8"/>
        <v>8.2862083986853428</v>
      </c>
      <c r="O10" s="24">
        <f>N10^0.5</f>
        <v>2.8785774956886852</v>
      </c>
      <c r="P10" s="17">
        <v>-0.99495679000000004</v>
      </c>
      <c r="Q10" s="9">
        <v>17.478925</v>
      </c>
      <c r="R10" s="9">
        <v>4.4420000000000002</v>
      </c>
      <c r="S10" s="9">
        <v>-0.91910000000000003</v>
      </c>
      <c r="T10" s="3" t="s">
        <v>15</v>
      </c>
      <c r="U10" s="3" t="s">
        <v>14</v>
      </c>
      <c r="V10" s="26"/>
    </row>
    <row r="11" spans="1:22" ht="16.2" customHeight="1" x14ac:dyDescent="0.3">
      <c r="A11" s="3">
        <v>9</v>
      </c>
      <c r="B11" s="3">
        <f t="shared" si="0"/>
        <v>300000000</v>
      </c>
      <c r="C11" s="3">
        <f t="shared" si="1"/>
        <v>12650000000</v>
      </c>
      <c r="D11" s="3">
        <v>4.3</v>
      </c>
      <c r="E11" s="9">
        <f t="shared" si="7"/>
        <v>3.1151022399783432</v>
      </c>
      <c r="F11" s="3">
        <v>50</v>
      </c>
      <c r="G11" s="14">
        <f>(60*PI()^2)/(F11*D11^0.5)</f>
        <v>5.7114550561042225</v>
      </c>
      <c r="H11" s="23">
        <v>12.0765801445927</v>
      </c>
      <c r="I11" s="9">
        <f t="shared" si="4"/>
        <v>10.458625196056028</v>
      </c>
      <c r="J11" s="9">
        <v>3.5000000000000003E-2</v>
      </c>
      <c r="K11" s="9">
        <f t="shared" si="5"/>
        <v>21.676580144592702</v>
      </c>
      <c r="L11" s="9">
        <f t="shared" si="6"/>
        <v>20.058625196056028</v>
      </c>
      <c r="M11" s="9">
        <v>1.6</v>
      </c>
      <c r="N11" s="9">
        <f>(L11/2)-(I11/6)</f>
        <v>8.2862083986853428</v>
      </c>
      <c r="O11" s="24">
        <f>N11/5</f>
        <v>1.6572416797370686</v>
      </c>
      <c r="P11" s="17">
        <v>-1.2356175</v>
      </c>
      <c r="Q11" s="9">
        <v>14.082891</v>
      </c>
      <c r="R11" s="9">
        <v>4.7789999999999999</v>
      </c>
      <c r="S11" s="9">
        <v>-1.008</v>
      </c>
      <c r="T11" s="3" t="s">
        <v>15</v>
      </c>
      <c r="U11" s="3" t="s">
        <v>14</v>
      </c>
      <c r="V11" s="26">
        <f>6.748322-6.085257</f>
        <v>0.66306499999999957</v>
      </c>
    </row>
    <row r="12" spans="1:22" ht="16.2" customHeight="1" x14ac:dyDescent="0.3">
      <c r="A12" s="4">
        <v>10</v>
      </c>
      <c r="B12" s="4">
        <f t="shared" si="0"/>
        <v>300000000</v>
      </c>
      <c r="C12" s="4">
        <f t="shared" si="1"/>
        <v>12650000000</v>
      </c>
      <c r="D12" s="3">
        <v>4.3</v>
      </c>
      <c r="E12" s="9">
        <f>((D12+1)/2)+((D12-1)/2)*(1+12*(M12/O12))^-0.5</f>
        <v>3.1452816023767931</v>
      </c>
      <c r="F12" s="4">
        <v>50</v>
      </c>
      <c r="G12" s="14">
        <f t="shared" si="2"/>
        <v>5.7114550561042225</v>
      </c>
      <c r="H12" s="23">
        <v>12.0765801445927</v>
      </c>
      <c r="I12" s="9">
        <f t="shared" ref="I12" si="9">(H12^2-(H12/2)^2)^0.5</f>
        <v>10.458625196056028</v>
      </c>
      <c r="J12" s="9">
        <v>3.5000000000000003E-2</v>
      </c>
      <c r="K12" s="9">
        <f t="shared" ref="K12" si="10">6*M12+H12</f>
        <v>21.676580144592702</v>
      </c>
      <c r="L12" s="9">
        <f t="shared" ref="L12" si="11">6*M12+I12</f>
        <v>20.058625196056028</v>
      </c>
      <c r="M12" s="9">
        <v>1.6</v>
      </c>
      <c r="N12" s="9">
        <f>(L12/2)-(I12/20)</f>
        <v>9.5063813382252125</v>
      </c>
      <c r="O12" s="24">
        <f>N12/5</f>
        <v>1.9012762676450425</v>
      </c>
      <c r="P12" s="18">
        <v>-3.3836474000000001</v>
      </c>
      <c r="Q12" s="10">
        <v>5.1988018</v>
      </c>
      <c r="R12" s="10">
        <v>2.79</v>
      </c>
      <c r="S12" s="10">
        <v>0.2747</v>
      </c>
      <c r="T12" s="4" t="s">
        <v>15</v>
      </c>
      <c r="U12" s="3" t="s">
        <v>14</v>
      </c>
      <c r="V12" s="28">
        <f>6.818011-6.246188</f>
        <v>0.57182300000000019</v>
      </c>
    </row>
    <row r="13" spans="1:22" ht="16.2" customHeight="1" x14ac:dyDescent="0.3">
      <c r="A13" s="3">
        <v>11</v>
      </c>
      <c r="B13" s="4">
        <f t="shared" si="0"/>
        <v>300000000</v>
      </c>
      <c r="C13" s="4">
        <f t="shared" si="1"/>
        <v>12650000000</v>
      </c>
      <c r="D13" s="3">
        <v>4.3</v>
      </c>
      <c r="E13" s="9">
        <f>((D13+1)/2)+((D13-1)/2)*(1+12*(M13/O13))^-0.5</f>
        <v>3.1927903000157394</v>
      </c>
      <c r="F13" s="3">
        <v>50</v>
      </c>
      <c r="G13" s="14">
        <f t="shared" si="2"/>
        <v>5.7114550561042225</v>
      </c>
      <c r="H13" s="23">
        <v>17.5759022825739</v>
      </c>
      <c r="I13" s="9">
        <f>(H13^2-(H13/2)^2)^0.5</f>
        <v>15.221177871141899</v>
      </c>
      <c r="J13" s="9">
        <v>3.5000000000000003E-2</v>
      </c>
      <c r="K13" s="9">
        <f t="shared" ref="K13:K22" si="12">6*M13+H13</f>
        <v>27.175902282573901</v>
      </c>
      <c r="L13" s="9">
        <f t="shared" ref="L13:L22" si="13">6*M13+I13</f>
        <v>24.821177871141899</v>
      </c>
      <c r="M13" s="9">
        <v>1.6</v>
      </c>
      <c r="N13" s="9">
        <f t="shared" ref="N13:N21" si="14">(L13/2)-(I13/20)</f>
        <v>11.649530042013854</v>
      </c>
      <c r="O13" s="24">
        <f t="shared" ref="O13:O22" si="15">N13/5</f>
        <v>2.3299060084027707</v>
      </c>
      <c r="P13" s="18">
        <v>-8.9136579999999999</v>
      </c>
      <c r="Q13" s="10">
        <v>2.1170029000000001</v>
      </c>
      <c r="R13" s="10">
        <v>4.2119999999999997</v>
      </c>
      <c r="S13" s="10">
        <v>3.464</v>
      </c>
      <c r="T13" s="4" t="s">
        <v>15</v>
      </c>
      <c r="U13" s="3" t="s">
        <v>14</v>
      </c>
      <c r="V13" s="28">
        <f>12.51607-10.32368</f>
        <v>2.1923899999999996</v>
      </c>
    </row>
    <row r="14" spans="1:22" ht="16.2" customHeight="1" x14ac:dyDescent="0.3">
      <c r="A14" s="4">
        <v>12</v>
      </c>
      <c r="B14" s="4">
        <f t="shared" si="0"/>
        <v>300000000</v>
      </c>
      <c r="C14" s="4">
        <f t="shared" si="1"/>
        <v>12650000000</v>
      </c>
      <c r="D14" s="3">
        <v>4.3</v>
      </c>
      <c r="E14" s="9">
        <f t="shared" si="7"/>
        <v>3.1771798682229231</v>
      </c>
      <c r="F14" s="3">
        <v>50</v>
      </c>
      <c r="G14" s="14">
        <f t="shared" si="2"/>
        <v>5.7114550561042225</v>
      </c>
      <c r="H14" s="23">
        <v>15.6885582276755</v>
      </c>
      <c r="I14" s="9">
        <f t="shared" ref="I14:I22" si="16">(H14^2-(H14/2)^2)^0.5</f>
        <v>13.586689973918352</v>
      </c>
      <c r="J14" s="9">
        <v>3.5000000000000003E-2</v>
      </c>
      <c r="K14" s="9">
        <f t="shared" si="12"/>
        <v>25.288558227675502</v>
      </c>
      <c r="L14" s="9">
        <f t="shared" si="13"/>
        <v>23.186689973918355</v>
      </c>
      <c r="M14" s="9">
        <v>1.6</v>
      </c>
      <c r="N14" s="9">
        <f t="shared" si="14"/>
        <v>10.91401048826326</v>
      </c>
      <c r="O14" s="24">
        <f t="shared" si="15"/>
        <v>2.1828020976526519</v>
      </c>
      <c r="P14" s="18">
        <v>-11.166118000000001</v>
      </c>
      <c r="Q14" s="10">
        <v>1.764</v>
      </c>
      <c r="R14" s="10">
        <v>4.431</v>
      </c>
      <c r="S14" s="10">
        <v>3.794</v>
      </c>
      <c r="T14" s="4" t="s">
        <v>15</v>
      </c>
      <c r="U14" s="3" t="s">
        <v>14</v>
      </c>
      <c r="V14" s="29">
        <f>13.08721-11.93036</f>
        <v>1.1568500000000004</v>
      </c>
    </row>
    <row r="15" spans="1:22" ht="16.2" customHeight="1" x14ac:dyDescent="0.3">
      <c r="A15" s="3">
        <v>13</v>
      </c>
      <c r="B15" s="4">
        <f t="shared" si="0"/>
        <v>300000000</v>
      </c>
      <c r="C15" s="4">
        <f t="shared" si="1"/>
        <v>12650000000</v>
      </c>
      <c r="D15" s="3">
        <v>4.3</v>
      </c>
      <c r="E15" s="9">
        <f t="shared" si="7"/>
        <v>3.1124908050178899</v>
      </c>
      <c r="F15" s="4">
        <v>50</v>
      </c>
      <c r="G15" s="14">
        <f t="shared" si="2"/>
        <v>5.7114550561042225</v>
      </c>
      <c r="H15" s="23">
        <v>15.6885582276755</v>
      </c>
      <c r="I15" s="9">
        <f t="shared" ref="I15" si="17">(H15^2-(H15/2)^2)^0.5</f>
        <v>13.586689973918352</v>
      </c>
      <c r="J15" s="9">
        <v>3.5000000000000003E-2</v>
      </c>
      <c r="K15" s="9">
        <f t="shared" ref="K15" si="18">6*M15+H15</f>
        <v>25.288558227675502</v>
      </c>
      <c r="L15" s="9">
        <f t="shared" ref="L15" si="19">6*M15+I15</f>
        <v>23.186689973918355</v>
      </c>
      <c r="M15" s="9">
        <v>1.6</v>
      </c>
      <c r="N15" s="9">
        <f t="shared" ref="N15" si="20">(L15/2)-(I15/20)</f>
        <v>10.91401048826326</v>
      </c>
      <c r="O15" s="24">
        <f>N15*0.15</f>
        <v>1.6371015732394889</v>
      </c>
      <c r="P15" s="18">
        <v>-8.0271796999999996</v>
      </c>
      <c r="Q15" s="10">
        <v>2.3159980999999998</v>
      </c>
      <c r="R15" s="10">
        <v>4.4569999999999999</v>
      </c>
      <c r="S15" s="10">
        <v>3.5870000000000002</v>
      </c>
      <c r="T15" s="4" t="s">
        <v>15</v>
      </c>
      <c r="U15" s="3" t="s">
        <v>14</v>
      </c>
      <c r="V15" s="28"/>
    </row>
    <row r="16" spans="1:22" ht="16.2" customHeight="1" x14ac:dyDescent="0.3">
      <c r="A16" s="4">
        <v>14</v>
      </c>
      <c r="B16" s="4">
        <f t="shared" si="0"/>
        <v>300000000</v>
      </c>
      <c r="C16" s="4">
        <f t="shared" si="1"/>
        <v>12650000000</v>
      </c>
      <c r="D16" s="3">
        <v>4.3</v>
      </c>
      <c r="E16" s="9">
        <f t="shared" si="7"/>
        <v>3.1985361733638644</v>
      </c>
      <c r="F16" s="3">
        <v>50</v>
      </c>
      <c r="G16" s="14">
        <f t="shared" si="2"/>
        <v>5.7114550561042225</v>
      </c>
      <c r="H16" s="23">
        <v>18.2911819459651</v>
      </c>
      <c r="I16" s="9">
        <f t="shared" si="16"/>
        <v>15.84062823044906</v>
      </c>
      <c r="J16" s="9">
        <v>3.5000000000000003E-2</v>
      </c>
      <c r="K16" s="9">
        <f t="shared" si="12"/>
        <v>27.891181945965101</v>
      </c>
      <c r="L16" s="9">
        <f t="shared" si="13"/>
        <v>25.440628230449061</v>
      </c>
      <c r="M16" s="9">
        <v>1.6</v>
      </c>
      <c r="N16" s="9">
        <f t="shared" si="14"/>
        <v>11.928282703702077</v>
      </c>
      <c r="O16" s="24">
        <f t="shared" si="15"/>
        <v>2.3856565407404156</v>
      </c>
      <c r="P16" s="18">
        <v>-9.2922153999999999</v>
      </c>
      <c r="Q16" s="10">
        <v>2.0444882</v>
      </c>
      <c r="R16" s="10">
        <v>3.7080000000000002</v>
      </c>
      <c r="S16" s="10">
        <v>3.0920000000000001</v>
      </c>
      <c r="T16" s="4" t="s">
        <v>15</v>
      </c>
      <c r="U16" s="3" t="s">
        <v>14</v>
      </c>
      <c r="V16" s="28">
        <f>12.38238-11.33394</f>
        <v>1.0484399999999994</v>
      </c>
    </row>
    <row r="17" spans="1:22" ht="16.2" customHeight="1" x14ac:dyDescent="0.3">
      <c r="A17" s="3">
        <v>15</v>
      </c>
      <c r="B17" s="4">
        <f t="shared" si="0"/>
        <v>300000000</v>
      </c>
      <c r="C17" s="4">
        <f t="shared" si="1"/>
        <v>12650000000</v>
      </c>
      <c r="D17" s="3">
        <v>4.3</v>
      </c>
      <c r="E17" s="9">
        <f t="shared" si="7"/>
        <v>3.2103849820333248</v>
      </c>
      <c r="F17" s="3">
        <v>50</v>
      </c>
      <c r="G17" s="14">
        <f t="shared" si="2"/>
        <v>5.7114550561042225</v>
      </c>
      <c r="H17" s="23">
        <v>19.802049779888701</v>
      </c>
      <c r="I17" s="9">
        <f t="shared" si="16"/>
        <v>17.149078156387667</v>
      </c>
      <c r="J17" s="9">
        <v>3.5000000000000003E-2</v>
      </c>
      <c r="K17" s="9">
        <f t="shared" si="12"/>
        <v>29.402049779888703</v>
      </c>
      <c r="L17" s="9">
        <f t="shared" si="13"/>
        <v>26.749078156387668</v>
      </c>
      <c r="M17" s="9">
        <v>1.6</v>
      </c>
      <c r="N17" s="9">
        <f t="shared" si="14"/>
        <v>12.51708517037445</v>
      </c>
      <c r="O17" s="24">
        <f t="shared" si="15"/>
        <v>2.5034170340748902</v>
      </c>
      <c r="P17" s="18">
        <v>-6.7057450999999997</v>
      </c>
      <c r="Q17" s="10">
        <v>2.7179924</v>
      </c>
      <c r="R17" s="10">
        <v>3.403</v>
      </c>
      <c r="S17" s="10">
        <v>2.6920000000000002</v>
      </c>
      <c r="T17" s="4" t="s">
        <v>15</v>
      </c>
      <c r="U17" s="3" t="s">
        <v>14</v>
      </c>
      <c r="V17" s="25"/>
    </row>
    <row r="18" spans="1:22" ht="16.2" customHeight="1" x14ac:dyDescent="0.3">
      <c r="A18" s="4">
        <v>16</v>
      </c>
      <c r="B18" s="4">
        <f t="shared" si="0"/>
        <v>300000000</v>
      </c>
      <c r="C18" s="4">
        <f t="shared" si="1"/>
        <v>12650000000</v>
      </c>
      <c r="D18" s="3">
        <v>4.3</v>
      </c>
      <c r="E18" s="9">
        <f t="shared" si="7"/>
        <v>3.2219135179838614</v>
      </c>
      <c r="F18" s="4">
        <v>50</v>
      </c>
      <c r="G18" s="14">
        <f t="shared" si="2"/>
        <v>5.7114550561042225</v>
      </c>
      <c r="H18" s="23">
        <v>21.3194820403486</v>
      </c>
      <c r="I18" s="9">
        <f t="shared" si="16"/>
        <v>18.463213042467984</v>
      </c>
      <c r="J18" s="9">
        <v>3.5000000000000003E-2</v>
      </c>
      <c r="K18" s="9">
        <f t="shared" si="12"/>
        <v>30.919482040348601</v>
      </c>
      <c r="L18" s="9">
        <f t="shared" si="13"/>
        <v>28.063213042467986</v>
      </c>
      <c r="M18" s="9">
        <v>1.6</v>
      </c>
      <c r="N18" s="9">
        <f t="shared" si="14"/>
        <v>13.108445869110593</v>
      </c>
      <c r="O18" s="24">
        <f t="shared" si="15"/>
        <v>2.6216891738221184</v>
      </c>
      <c r="P18" s="18">
        <v>-3.2894684000000001</v>
      </c>
      <c r="Q18" s="10">
        <v>5.3439978999999997</v>
      </c>
      <c r="R18" s="10">
        <v>5.34</v>
      </c>
      <c r="S18" s="10">
        <v>3.4390000000000001</v>
      </c>
      <c r="T18" s="4" t="s">
        <v>15</v>
      </c>
      <c r="U18" s="3" t="s">
        <v>14</v>
      </c>
      <c r="V18" s="25"/>
    </row>
    <row r="19" spans="1:22" ht="16.2" customHeight="1" x14ac:dyDescent="0.3">
      <c r="A19" s="3">
        <v>17</v>
      </c>
      <c r="B19" s="4">
        <f t="shared" si="0"/>
        <v>300000000</v>
      </c>
      <c r="C19" s="4">
        <f t="shared" si="1"/>
        <v>12650000000</v>
      </c>
      <c r="D19" s="3">
        <v>4.3</v>
      </c>
      <c r="E19" s="9">
        <f t="shared" si="7"/>
        <v>3.2188032777562734</v>
      </c>
      <c r="F19" s="3">
        <v>50</v>
      </c>
      <c r="G19" s="14">
        <f t="shared" si="2"/>
        <v>5.7114550561042225</v>
      </c>
      <c r="H19" s="23">
        <v>20.905421851964999</v>
      </c>
      <c r="I19" s="9">
        <f t="shared" si="16"/>
        <v>18.104626400632014</v>
      </c>
      <c r="J19" s="9">
        <v>3.5000000000000003E-2</v>
      </c>
      <c r="K19" s="9">
        <f t="shared" si="12"/>
        <v>30.505421851965</v>
      </c>
      <c r="L19" s="9">
        <f t="shared" si="13"/>
        <v>27.704626400632016</v>
      </c>
      <c r="M19" s="9">
        <v>1.6</v>
      </c>
      <c r="N19" s="9">
        <f t="shared" si="14"/>
        <v>12.947081880284408</v>
      </c>
      <c r="O19" s="24">
        <f t="shared" si="15"/>
        <v>2.5894163760568816</v>
      </c>
      <c r="P19" s="18">
        <v>-4.0037642</v>
      </c>
      <c r="Q19" s="10">
        <v>4.4154160999999998</v>
      </c>
      <c r="R19" s="10">
        <v>4.766</v>
      </c>
      <c r="S19" s="10">
        <v>3.262</v>
      </c>
      <c r="T19" s="4" t="s">
        <v>15</v>
      </c>
      <c r="U19" s="3" t="s">
        <v>14</v>
      </c>
      <c r="V19" s="25"/>
    </row>
    <row r="20" spans="1:22" ht="16.2" customHeight="1" x14ac:dyDescent="0.3">
      <c r="A20" s="4">
        <v>18</v>
      </c>
      <c r="B20" s="4">
        <f t="shared" si="0"/>
        <v>300000000</v>
      </c>
      <c r="C20" s="4">
        <f t="shared" si="1"/>
        <v>12650000000</v>
      </c>
      <c r="D20" s="3">
        <v>4.3</v>
      </c>
      <c r="E20" s="9">
        <f t="shared" si="7"/>
        <v>3.2545865723594556</v>
      </c>
      <c r="F20" s="3">
        <v>50</v>
      </c>
      <c r="G20" s="14">
        <f t="shared" si="2"/>
        <v>5.7114550561042225</v>
      </c>
      <c r="H20" s="23">
        <v>25.885545410125999</v>
      </c>
      <c r="I20" s="9">
        <f t="shared" si="16"/>
        <v>22.417539915984793</v>
      </c>
      <c r="J20" s="9">
        <v>3.5000000000000003E-2</v>
      </c>
      <c r="K20" s="9">
        <f t="shared" si="12"/>
        <v>35.485545410126001</v>
      </c>
      <c r="L20" s="9">
        <f t="shared" si="13"/>
        <v>32.017539915984798</v>
      </c>
      <c r="M20" s="9">
        <v>1.6</v>
      </c>
      <c r="N20" s="9">
        <f t="shared" si="14"/>
        <v>14.88789296219316</v>
      </c>
      <c r="O20" s="24">
        <f t="shared" si="15"/>
        <v>2.9775785924386318</v>
      </c>
      <c r="P20" s="18">
        <v>-0.60446478999999997</v>
      </c>
      <c r="Q20" s="10">
        <v>28.750699000000001</v>
      </c>
      <c r="R20" s="10">
        <v>2.508</v>
      </c>
      <c r="S20" s="10">
        <v>-4.1710000000000003</v>
      </c>
      <c r="T20" s="4" t="s">
        <v>15</v>
      </c>
      <c r="U20" s="3" t="s">
        <v>14</v>
      </c>
      <c r="V20" s="25"/>
    </row>
    <row r="21" spans="1:22" ht="16.2" customHeight="1" x14ac:dyDescent="0.3">
      <c r="A21" s="3">
        <v>19</v>
      </c>
      <c r="B21" s="4">
        <f t="shared" si="0"/>
        <v>300000000</v>
      </c>
      <c r="C21" s="4">
        <f t="shared" si="1"/>
        <v>12650000000</v>
      </c>
      <c r="D21" s="3">
        <v>4.3</v>
      </c>
      <c r="E21" s="9">
        <f t="shared" si="7"/>
        <v>3.2773365338412215</v>
      </c>
      <c r="F21" s="4">
        <v>50</v>
      </c>
      <c r="G21" s="14">
        <f t="shared" si="2"/>
        <v>5.7114550561042225</v>
      </c>
      <c r="H21" s="23">
        <v>29.3096364076012</v>
      </c>
      <c r="I21" s="9">
        <f t="shared" si="16"/>
        <v>25.38288970466791</v>
      </c>
      <c r="J21" s="9">
        <v>3.5000000000000003E-2</v>
      </c>
      <c r="K21" s="9">
        <f t="shared" si="12"/>
        <v>38.909636407601198</v>
      </c>
      <c r="L21" s="9">
        <f t="shared" si="13"/>
        <v>34.982889704667912</v>
      </c>
      <c r="M21" s="9">
        <v>1.6</v>
      </c>
      <c r="N21" s="9">
        <f t="shared" si="14"/>
        <v>16.222300367100559</v>
      </c>
      <c r="O21" s="24">
        <f t="shared" si="15"/>
        <v>3.2444600734201119</v>
      </c>
      <c r="P21" s="18">
        <v>-9.4942732999999997</v>
      </c>
      <c r="Q21" s="10">
        <v>2.0083619000000001</v>
      </c>
      <c r="R21" s="10">
        <v>3.4260000000000002</v>
      </c>
      <c r="S21" s="10">
        <v>2.6840000000000002</v>
      </c>
      <c r="T21" s="4" t="s">
        <v>15</v>
      </c>
      <c r="U21" s="3" t="s">
        <v>14</v>
      </c>
      <c r="V21" s="29">
        <f>13.57737-12.5259</f>
        <v>1.0514700000000001</v>
      </c>
    </row>
    <row r="22" spans="1:22" ht="16.2" customHeight="1" x14ac:dyDescent="0.3">
      <c r="A22" s="4">
        <v>20</v>
      </c>
      <c r="B22" s="4">
        <f t="shared" si="0"/>
        <v>300000000</v>
      </c>
      <c r="C22" s="4">
        <f t="shared" si="1"/>
        <v>12650000000</v>
      </c>
      <c r="D22" s="3">
        <v>4.3</v>
      </c>
      <c r="E22" s="9">
        <f t="shared" si="7"/>
        <v>3.2596214295690791</v>
      </c>
      <c r="F22" s="3">
        <v>50</v>
      </c>
      <c r="G22" s="14">
        <f t="shared" si="2"/>
        <v>5.7114550561042225</v>
      </c>
      <c r="H22" s="23">
        <v>26.625481400606802</v>
      </c>
      <c r="I22" s="9">
        <f t="shared" si="16"/>
        <v>23.058343280915569</v>
      </c>
      <c r="J22" s="9">
        <v>3.5000000000000003E-2</v>
      </c>
      <c r="K22" s="9">
        <f t="shared" si="12"/>
        <v>36.225481400606803</v>
      </c>
      <c r="L22" s="9">
        <f t="shared" si="13"/>
        <v>32.658343280915574</v>
      </c>
      <c r="M22" s="9">
        <v>1.6</v>
      </c>
      <c r="N22" s="9">
        <f>(L22/2)-(I22/20)</f>
        <v>15.176254476412009</v>
      </c>
      <c r="O22" s="24">
        <f t="shared" si="15"/>
        <v>3.0352508952824016</v>
      </c>
      <c r="P22" s="18">
        <v>-0.86717323999999996</v>
      </c>
      <c r="Q22" s="10">
        <v>20.049287</v>
      </c>
      <c r="R22" s="10">
        <v>2.3610000000000002</v>
      </c>
      <c r="S22" s="10">
        <v>-3.1389999999999998</v>
      </c>
      <c r="T22" s="4" t="s">
        <v>15</v>
      </c>
      <c r="U22" s="3" t="s">
        <v>14</v>
      </c>
      <c r="V22" s="25"/>
    </row>
    <row r="23" spans="1:22" ht="16.2" customHeight="1" x14ac:dyDescent="0.3">
      <c r="A23" s="3">
        <v>21</v>
      </c>
      <c r="B23" s="4">
        <f t="shared" si="0"/>
        <v>300000000</v>
      </c>
      <c r="C23" s="4">
        <f t="shared" si="1"/>
        <v>12650000000</v>
      </c>
      <c r="D23" s="3">
        <v>4.3</v>
      </c>
      <c r="E23" s="9">
        <f t="shared" ref="E23:E24" si="21">((D23+1)/2)+((D23-1)/2)*(1+12*(M23/O23))^-0.5</f>
        <v>3.3098786527680359</v>
      </c>
      <c r="F23" s="4">
        <v>50</v>
      </c>
      <c r="G23" s="14">
        <f t="shared" ref="G23:G24" si="22">(60*PI()^2)/(F23*D23^0.5)</f>
        <v>5.7114550561042225</v>
      </c>
      <c r="H23" s="23">
        <v>34.583822081843998</v>
      </c>
      <c r="I23" s="9">
        <f t="shared" ref="I23:I24" si="23">(H23^2-(H23/2)^2)^0.5</f>
        <v>29.950468482838133</v>
      </c>
      <c r="J23" s="9">
        <v>3.5000000000000003E-2</v>
      </c>
      <c r="K23" s="9">
        <f t="shared" ref="K23:K24" si="24">6*M23+H23</f>
        <v>44.183822081843999</v>
      </c>
      <c r="L23" s="9">
        <f t="shared" ref="L23:L24" si="25">6*M23+I23</f>
        <v>39.550468482838134</v>
      </c>
      <c r="M23" s="9">
        <v>1.6</v>
      </c>
      <c r="N23" s="9">
        <f t="shared" ref="N23" si="26">(L23/2)-(I23/20)</f>
        <v>18.277710817277161</v>
      </c>
      <c r="O23" s="24">
        <f t="shared" ref="O23:O24" si="27">N23/5</f>
        <v>3.6555421634554319</v>
      </c>
      <c r="P23" s="18">
        <v>-6.1949966999999999</v>
      </c>
      <c r="Q23" s="10">
        <v>2.9220380000000001</v>
      </c>
      <c r="R23" s="10">
        <v>6.5389999999999997</v>
      </c>
      <c r="S23" s="10">
        <v>5.8620000000000001</v>
      </c>
      <c r="T23" s="4" t="s">
        <v>15</v>
      </c>
      <c r="U23" s="3" t="s">
        <v>14</v>
      </c>
      <c r="V23" s="28">
        <f>12.00889-10.98472</f>
        <v>1.0241699999999998</v>
      </c>
    </row>
    <row r="24" spans="1:22" ht="16.2" customHeight="1" x14ac:dyDescent="0.3">
      <c r="A24" s="4">
        <v>22</v>
      </c>
      <c r="B24" s="4">
        <f t="shared" si="0"/>
        <v>300000000</v>
      </c>
      <c r="C24" s="4">
        <f t="shared" si="1"/>
        <v>12650000000</v>
      </c>
      <c r="D24" s="3">
        <v>4.3</v>
      </c>
      <c r="E24" s="9">
        <f t="shared" si="21"/>
        <v>3.3307633639961542</v>
      </c>
      <c r="F24" s="3">
        <v>50</v>
      </c>
      <c r="G24" s="14">
        <f t="shared" si="22"/>
        <v>5.7114550561042225</v>
      </c>
      <c r="H24" s="23">
        <v>38.218213372611103</v>
      </c>
      <c r="I24" s="9">
        <f t="shared" si="23"/>
        <v>33.097943667935368</v>
      </c>
      <c r="J24" s="9">
        <v>3.5000000000000003E-2</v>
      </c>
      <c r="K24" s="9">
        <f t="shared" si="24"/>
        <v>47.818213372611105</v>
      </c>
      <c r="L24" s="9">
        <f t="shared" si="25"/>
        <v>42.69794366793537</v>
      </c>
      <c r="M24" s="9">
        <v>1.6</v>
      </c>
      <c r="N24" s="9">
        <f>(L24/2)-(I24/20)</f>
        <v>19.694074650570915</v>
      </c>
      <c r="O24" s="24">
        <f t="shared" si="27"/>
        <v>3.9388149301141828</v>
      </c>
      <c r="P24" s="18">
        <v>-0.70582239999999996</v>
      </c>
      <c r="Q24" s="10">
        <v>24.62565</v>
      </c>
      <c r="R24" s="10">
        <v>6.9690000000000003</v>
      </c>
      <c r="S24" s="10">
        <v>-1.532</v>
      </c>
      <c r="T24" s="4" t="s">
        <v>15</v>
      </c>
      <c r="U24" s="3" t="s">
        <v>14</v>
      </c>
      <c r="V24" s="25"/>
    </row>
    <row r="25" spans="1:22" ht="16.2" customHeight="1" x14ac:dyDescent="0.3">
      <c r="A25" s="3">
        <v>23</v>
      </c>
      <c r="B25" s="4">
        <f t="shared" si="0"/>
        <v>300000000</v>
      </c>
      <c r="C25" s="4">
        <f t="shared" si="1"/>
        <v>12650000000</v>
      </c>
      <c r="D25" s="3">
        <v>4.3</v>
      </c>
      <c r="E25" s="9">
        <f t="shared" ref="E25:E32" si="28">((D25+1)/2)+((D25-1)/2)*(1+12*(M25/O25))^-0.5</f>
        <v>3.2800062302080946</v>
      </c>
      <c r="F25" s="4">
        <v>50</v>
      </c>
      <c r="G25" s="14">
        <f t="shared" ref="G25:G32" si="29">(60*PI()^2)/(F25*D25^0.5)</f>
        <v>5.7114550561042225</v>
      </c>
      <c r="H25" s="23">
        <v>38.218213372611103</v>
      </c>
      <c r="I25" s="9">
        <f t="shared" ref="I25:I32" si="30">(H25^2-(H25/2)^2)^0.5</f>
        <v>33.097943667935368</v>
      </c>
      <c r="J25" s="9">
        <v>3.5000000000000003E-2</v>
      </c>
      <c r="K25" s="9">
        <f t="shared" ref="K25:K32" si="31">6*M25+H25</f>
        <v>47.818213372611105</v>
      </c>
      <c r="L25" s="9">
        <f t="shared" ref="L25:L32" si="32">6*M25+I25</f>
        <v>42.69794366793537</v>
      </c>
      <c r="M25" s="9">
        <v>1.6</v>
      </c>
      <c r="N25" s="9">
        <f>(L25/2)-(I25*0.15)</f>
        <v>16.384280283777379</v>
      </c>
      <c r="O25" s="24">
        <f>N25/5</f>
        <v>3.2768560567554759</v>
      </c>
      <c r="P25" s="18">
        <v>-10.628784</v>
      </c>
      <c r="Q25" s="10">
        <v>1.18334413</v>
      </c>
      <c r="R25" s="10">
        <v>4.9429999999999996</v>
      </c>
      <c r="S25" s="10">
        <v>4.2240000000000002</v>
      </c>
      <c r="T25" s="4" t="s">
        <v>15</v>
      </c>
      <c r="U25" s="3" t="s">
        <v>14</v>
      </c>
      <c r="V25" s="29">
        <f>13.45431-12.46595</f>
        <v>0.98836000000000013</v>
      </c>
    </row>
    <row r="26" spans="1:22" ht="16.2" customHeight="1" x14ac:dyDescent="0.3">
      <c r="A26" s="4">
        <v>24</v>
      </c>
      <c r="B26" s="4">
        <f t="shared" si="0"/>
        <v>300000000</v>
      </c>
      <c r="C26" s="4">
        <f t="shared" si="1"/>
        <v>12650000000</v>
      </c>
      <c r="D26" s="3">
        <v>4.3</v>
      </c>
      <c r="E26" s="9">
        <f t="shared" si="28"/>
        <v>3.278035242172558</v>
      </c>
      <c r="F26" s="3">
        <v>50</v>
      </c>
      <c r="G26" s="14">
        <f t="shared" si="29"/>
        <v>5.7114550561042225</v>
      </c>
      <c r="H26" s="23">
        <v>37.8233112384411</v>
      </c>
      <c r="I26" s="9">
        <f t="shared" si="30"/>
        <v>32.755948387735451</v>
      </c>
      <c r="J26" s="9">
        <v>3.5000000000000003E-2</v>
      </c>
      <c r="K26" s="9">
        <f t="shared" si="31"/>
        <v>47.423311238441102</v>
      </c>
      <c r="L26" s="9">
        <f t="shared" si="32"/>
        <v>42.355948387735452</v>
      </c>
      <c r="M26" s="9">
        <v>1.6</v>
      </c>
      <c r="N26" s="9">
        <f>(L26/2)-(I26*0.15)</f>
        <v>16.264581935707408</v>
      </c>
      <c r="O26" s="24">
        <f t="shared" ref="O26:O32" si="33">N26/5</f>
        <v>3.2529163871414815</v>
      </c>
      <c r="P26" s="18">
        <v>-8.2631464000000001</v>
      </c>
      <c r="Q26" s="10">
        <v>2.2585339000000002</v>
      </c>
      <c r="R26" s="10">
        <v>5.3419999999999996</v>
      </c>
      <c r="S26" s="10">
        <v>4.3490000000000002</v>
      </c>
      <c r="T26" s="4" t="s">
        <v>15</v>
      </c>
      <c r="U26" s="3" t="s">
        <v>14</v>
      </c>
      <c r="V26" s="25"/>
    </row>
    <row r="27" spans="1:22" ht="16.2" customHeight="1" x14ac:dyDescent="0.3">
      <c r="A27" s="3">
        <v>25</v>
      </c>
      <c r="B27" s="4">
        <f t="shared" si="0"/>
        <v>300000000</v>
      </c>
      <c r="C27" s="4">
        <f t="shared" si="1"/>
        <v>12650000000</v>
      </c>
      <c r="D27" s="3">
        <v>4.3</v>
      </c>
      <c r="E27" s="9">
        <f t="shared" si="28"/>
        <v>3.2870384248206852</v>
      </c>
      <c r="F27" s="4">
        <v>50</v>
      </c>
      <c r="G27" s="14">
        <f t="shared" si="29"/>
        <v>5.7114550561042225</v>
      </c>
      <c r="H27" s="23">
        <v>39.644225641757501</v>
      </c>
      <c r="I27" s="9">
        <f t="shared" si="30"/>
        <v>34.332906519124435</v>
      </c>
      <c r="J27" s="9">
        <v>3.5000000000000003E-2</v>
      </c>
      <c r="K27" s="9">
        <f t="shared" si="31"/>
        <v>49.244225641757502</v>
      </c>
      <c r="L27" s="9">
        <f t="shared" si="32"/>
        <v>43.932906519124437</v>
      </c>
      <c r="M27" s="9">
        <v>1.6</v>
      </c>
      <c r="N27" s="9">
        <f>(L27/2)-(I27*0.15)</f>
        <v>16.816517281693553</v>
      </c>
      <c r="O27" s="24">
        <f t="shared" si="33"/>
        <v>3.3633034563387105</v>
      </c>
      <c r="P27" s="18">
        <v>-23.248673</v>
      </c>
      <c r="Q27" s="10">
        <v>1.1477583</v>
      </c>
      <c r="R27" s="10">
        <v>5.7969999999999997</v>
      </c>
      <c r="S27" s="10">
        <v>5.484</v>
      </c>
      <c r="T27" s="4" t="s">
        <v>15</v>
      </c>
      <c r="U27" s="3" t="s">
        <v>14</v>
      </c>
      <c r="V27" s="29">
        <f>13.13756-12.14229</f>
        <v>0.99527000000000143</v>
      </c>
    </row>
    <row r="28" spans="1:22" ht="16.2" customHeight="1" x14ac:dyDescent="0.3">
      <c r="A28" s="4">
        <v>26</v>
      </c>
      <c r="B28" s="4">
        <f t="shared" si="0"/>
        <v>300000000</v>
      </c>
      <c r="C28" s="4">
        <f t="shared" si="1"/>
        <v>12650000000</v>
      </c>
      <c r="D28" s="3">
        <v>4.3</v>
      </c>
      <c r="E28" s="9">
        <f t="shared" si="28"/>
        <v>3.28894236424944</v>
      </c>
      <c r="F28" s="3">
        <v>50</v>
      </c>
      <c r="G28" s="14">
        <f t="shared" si="29"/>
        <v>5.7114550561042225</v>
      </c>
      <c r="H28" s="23">
        <v>40.034941020398598</v>
      </c>
      <c r="I28" s="9">
        <f t="shared" si="30"/>
        <v>34.671275962676887</v>
      </c>
      <c r="J28" s="9">
        <v>3.5000000000000003E-2</v>
      </c>
      <c r="K28" s="9">
        <f t="shared" si="31"/>
        <v>49.6349410203986</v>
      </c>
      <c r="L28" s="9">
        <f t="shared" si="32"/>
        <v>44.271275962676889</v>
      </c>
      <c r="M28" s="9">
        <v>1.6</v>
      </c>
      <c r="N28" s="9">
        <f t="shared" ref="N28:N32" si="34">(L28/2)-(I28*0.15)</f>
        <v>16.93494658693691</v>
      </c>
      <c r="O28" s="24">
        <f t="shared" si="33"/>
        <v>3.386989317387382</v>
      </c>
      <c r="P28" s="18">
        <v>-20.074400000000001</v>
      </c>
      <c r="Q28" s="10">
        <v>1.2031537000000001</v>
      </c>
      <c r="R28" s="10">
        <v>6.3440000000000003</v>
      </c>
      <c r="S28" s="10">
        <v>6.0970000000000004</v>
      </c>
      <c r="T28" s="4" t="s">
        <v>15</v>
      </c>
      <c r="U28" s="3" t="s">
        <v>14</v>
      </c>
      <c r="V28" s="29">
        <f>13.04823-12.0388</f>
        <v>1.00943</v>
      </c>
    </row>
    <row r="29" spans="1:22" ht="16.2" customHeight="1" x14ac:dyDescent="0.3">
      <c r="A29" s="3">
        <v>27</v>
      </c>
      <c r="B29" s="4">
        <f t="shared" si="0"/>
        <v>300000000</v>
      </c>
      <c r="C29" s="4">
        <f t="shared" si="1"/>
        <v>12650000000</v>
      </c>
      <c r="D29" s="3">
        <v>4.3</v>
      </c>
      <c r="E29" s="9">
        <f t="shared" si="28"/>
        <v>3.2936427532605395</v>
      </c>
      <c r="F29" s="4">
        <v>50</v>
      </c>
      <c r="G29" s="14">
        <f t="shared" si="29"/>
        <v>5.7114550561042225</v>
      </c>
      <c r="H29" s="23">
        <v>41.008072943929001</v>
      </c>
      <c r="I29" s="9">
        <f t="shared" si="30"/>
        <v>35.514032929687829</v>
      </c>
      <c r="J29" s="9">
        <v>3.5000000000000003E-2</v>
      </c>
      <c r="K29" s="9">
        <f t="shared" si="31"/>
        <v>50.608072943929002</v>
      </c>
      <c r="L29" s="9">
        <f t="shared" si="32"/>
        <v>45.114032929687831</v>
      </c>
      <c r="M29" s="9">
        <v>1.6</v>
      </c>
      <c r="N29" s="9">
        <f t="shared" si="34"/>
        <v>17.22991152539074</v>
      </c>
      <c r="O29" s="24">
        <f t="shared" si="33"/>
        <v>3.445982305078148</v>
      </c>
      <c r="P29" s="18">
        <v>-15.866668000000001</v>
      </c>
      <c r="Q29" s="10">
        <v>1.3836225</v>
      </c>
      <c r="R29" s="10">
        <v>7.0439999999999996</v>
      </c>
      <c r="S29" s="10">
        <v>6.7610000000000001</v>
      </c>
      <c r="T29" s="4" t="s">
        <v>15</v>
      </c>
      <c r="U29" s="3" t="s">
        <v>14</v>
      </c>
      <c r="V29" s="29">
        <f>12.84476-11.80857</f>
        <v>1.0361900000000013</v>
      </c>
    </row>
    <row r="30" spans="1:22" ht="16.2" customHeight="1" x14ac:dyDescent="0.3">
      <c r="A30" s="4">
        <v>28</v>
      </c>
      <c r="B30" s="4">
        <f t="shared" si="0"/>
        <v>300000000</v>
      </c>
      <c r="C30" s="4">
        <f t="shared" si="1"/>
        <v>12650000000</v>
      </c>
      <c r="D30" s="3">
        <v>4.3</v>
      </c>
      <c r="E30" s="9">
        <f t="shared" si="28"/>
        <v>3.2978337291869515</v>
      </c>
      <c r="F30" s="3">
        <v>50</v>
      </c>
      <c r="G30" s="14">
        <f t="shared" si="29"/>
        <v>5.7114550561042225</v>
      </c>
      <c r="H30" s="23">
        <v>41.886095713126799</v>
      </c>
      <c r="I30" s="9">
        <f t="shared" si="30"/>
        <v>36.274422952914279</v>
      </c>
      <c r="J30" s="9">
        <v>3.5000000000000003E-2</v>
      </c>
      <c r="K30" s="9">
        <f t="shared" si="31"/>
        <v>51.486095713126801</v>
      </c>
      <c r="L30" s="9">
        <f t="shared" si="32"/>
        <v>45.87442295291428</v>
      </c>
      <c r="M30" s="9">
        <v>1.6</v>
      </c>
      <c r="N30" s="9">
        <f t="shared" si="34"/>
        <v>17.496048033519997</v>
      </c>
      <c r="O30" s="24">
        <f t="shared" si="33"/>
        <v>3.4992096067039995</v>
      </c>
      <c r="P30" s="18">
        <v>-9.3853860999999998</v>
      </c>
      <c r="Q30" s="10">
        <v>1.5392243999999999</v>
      </c>
      <c r="R30" s="10">
        <v>6.7670000000000003</v>
      </c>
      <c r="S30" s="10">
        <v>6.1870000000000003</v>
      </c>
      <c r="T30" s="4" t="s">
        <v>15</v>
      </c>
      <c r="U30" s="3" t="s">
        <v>14</v>
      </c>
      <c r="V30" s="28">
        <f>12.6222-11.65768</f>
        <v>0.96452000000000027</v>
      </c>
    </row>
    <row r="31" spans="1:22" ht="16.2" customHeight="1" x14ac:dyDescent="0.3">
      <c r="A31" s="3">
        <v>29</v>
      </c>
      <c r="B31" s="4">
        <f t="shared" si="0"/>
        <v>300000000</v>
      </c>
      <c r="C31" s="4">
        <f t="shared" si="1"/>
        <v>12650000000</v>
      </c>
      <c r="D31" s="3">
        <v>4.3</v>
      </c>
      <c r="E31" s="9">
        <f t="shared" si="28"/>
        <v>3.2908249632341047</v>
      </c>
      <c r="F31" s="4">
        <v>50</v>
      </c>
      <c r="G31" s="14">
        <f t="shared" si="29"/>
        <v>5.7114550561042225</v>
      </c>
      <c r="H31" s="23">
        <v>40.4232345084109</v>
      </c>
      <c r="I31" s="9">
        <f t="shared" si="30"/>
        <v>35.007547987419599</v>
      </c>
      <c r="J31" s="9">
        <v>3.5000000000000003E-2</v>
      </c>
      <c r="K31" s="9">
        <f t="shared" si="31"/>
        <v>50.023234508410901</v>
      </c>
      <c r="L31" s="9">
        <f t="shared" si="32"/>
        <v>44.607547987419601</v>
      </c>
      <c r="M31" s="9">
        <v>1.6</v>
      </c>
      <c r="N31" s="9">
        <f t="shared" si="34"/>
        <v>17.052641795596863</v>
      </c>
      <c r="O31" s="24">
        <f t="shared" si="33"/>
        <v>3.4105283591193727</v>
      </c>
      <c r="P31" s="18">
        <v>-22.190144</v>
      </c>
      <c r="Q31" s="10">
        <v>1.1685220000000001</v>
      </c>
      <c r="R31" s="10">
        <v>6.766</v>
      </c>
      <c r="S31" s="10">
        <v>6.5709999999999997</v>
      </c>
      <c r="T31" s="4" t="s">
        <v>15</v>
      </c>
      <c r="U31" s="3" t="s">
        <v>14</v>
      </c>
      <c r="V31" s="29">
        <f>12.95689-11.91201</f>
        <v>1.0448799999999991</v>
      </c>
    </row>
    <row r="32" spans="1:22" ht="16.2" customHeight="1" x14ac:dyDescent="0.3">
      <c r="A32" s="4">
        <v>30</v>
      </c>
      <c r="B32" s="4">
        <f t="shared" si="0"/>
        <v>300000000</v>
      </c>
      <c r="C32" s="4">
        <f t="shared" si="1"/>
        <v>12650000000</v>
      </c>
      <c r="D32" s="3">
        <v>4.3</v>
      </c>
      <c r="E32" s="9">
        <f t="shared" si="28"/>
        <v>3.298415222964715</v>
      </c>
      <c r="F32" s="3">
        <v>50</v>
      </c>
      <c r="G32" s="14">
        <f t="shared" si="29"/>
        <v>5.7114550561042225</v>
      </c>
      <c r="H32" s="23">
        <v>42.008698219671402</v>
      </c>
      <c r="I32" s="9">
        <f t="shared" si="30"/>
        <v>36.380599838149557</v>
      </c>
      <c r="J32" s="9">
        <v>3.5000000000000003E-2</v>
      </c>
      <c r="K32" s="9">
        <f t="shared" si="31"/>
        <v>51.608698219671403</v>
      </c>
      <c r="L32" s="9">
        <f t="shared" si="32"/>
        <v>45.980599838149558</v>
      </c>
      <c r="M32" s="9">
        <v>1.6</v>
      </c>
      <c r="N32" s="9">
        <f t="shared" si="34"/>
        <v>17.533209943352347</v>
      </c>
      <c r="O32" s="24">
        <f t="shared" si="33"/>
        <v>3.5066419886704692</v>
      </c>
      <c r="P32" s="18">
        <v>-9.0559364000000002</v>
      </c>
      <c r="Q32" s="10">
        <v>2.0889736999999999</v>
      </c>
      <c r="R32" s="10">
        <v>6.9409999999999998</v>
      </c>
      <c r="S32" s="10">
        <v>6.4669999999999996</v>
      </c>
      <c r="T32" s="4" t="s">
        <v>15</v>
      </c>
      <c r="U32" s="3" t="s">
        <v>14</v>
      </c>
      <c r="V32" s="28">
        <f>12.60761-11.53971</f>
        <v>1.0678999999999998</v>
      </c>
    </row>
    <row r="33" spans="1:22" ht="16.2" customHeight="1" x14ac:dyDescent="0.3">
      <c r="A33" s="3">
        <v>31</v>
      </c>
      <c r="B33" s="4">
        <f t="shared" si="0"/>
        <v>300000000</v>
      </c>
      <c r="C33" s="4">
        <f t="shared" si="1"/>
        <v>12650000000</v>
      </c>
      <c r="D33" s="3">
        <v>4.3</v>
      </c>
      <c r="E33" s="9">
        <f t="shared" ref="E33:E36" si="35">((D33+1)/2)+((D33-1)/2)*(1+12*(M33/O33))^-0.5</f>
        <v>3.3049664949748614</v>
      </c>
      <c r="F33" s="4">
        <v>50</v>
      </c>
      <c r="G33" s="14">
        <f t="shared" ref="G33:G36" si="36">(60*PI()^2)/(F33*D33^0.5)</f>
        <v>5.7114550561042225</v>
      </c>
      <c r="H33" s="23">
        <v>43.403200331018297</v>
      </c>
      <c r="I33" s="9">
        <f t="shared" ref="I33:I36" si="37">(H33^2-(H33/2)^2)^0.5</f>
        <v>37.588274092207001</v>
      </c>
      <c r="J33" s="9">
        <v>3.5000000000000003E-2</v>
      </c>
      <c r="K33" s="9">
        <f t="shared" ref="K33:K36" si="38">6*M33+H33</f>
        <v>53.003200331018299</v>
      </c>
      <c r="L33" s="9">
        <f t="shared" ref="L33:L36" si="39">6*M33+I33</f>
        <v>47.188274092207003</v>
      </c>
      <c r="M33" s="9">
        <v>1.6</v>
      </c>
      <c r="N33" s="9">
        <f t="shared" ref="N33:N36" si="40">(L33/2)-(I33*0.15)</f>
        <v>17.955895932272451</v>
      </c>
      <c r="O33" s="24">
        <f t="shared" ref="O33:O36" si="41">N33/5</f>
        <v>3.5911791864544904</v>
      </c>
      <c r="P33" s="18">
        <v>-4.6966184000000002</v>
      </c>
      <c r="Q33" s="10">
        <v>3.7884680999999998</v>
      </c>
      <c r="R33" s="10">
        <v>5.9169999999999998</v>
      </c>
      <c r="S33" s="10">
        <v>4.8250000000000002</v>
      </c>
      <c r="T33" s="4" t="s">
        <v>15</v>
      </c>
      <c r="U33" s="3" t="s">
        <v>14</v>
      </c>
      <c r="V33" s="28"/>
    </row>
    <row r="34" spans="1:22" ht="16.2" customHeight="1" x14ac:dyDescent="0.3">
      <c r="A34" s="4">
        <v>32</v>
      </c>
      <c r="B34" s="4">
        <f t="shared" si="0"/>
        <v>300000000</v>
      </c>
      <c r="C34" s="4">
        <f t="shared" si="1"/>
        <v>12650000000</v>
      </c>
      <c r="D34" s="3">
        <v>4.3</v>
      </c>
      <c r="E34" s="9">
        <f t="shared" si="35"/>
        <v>3.2839235095641044</v>
      </c>
      <c r="F34" s="3">
        <v>50</v>
      </c>
      <c r="G34" s="14">
        <f t="shared" si="36"/>
        <v>5.7114550561042225</v>
      </c>
      <c r="H34" s="23">
        <v>39.009267883359897</v>
      </c>
      <c r="I34" s="9">
        <f t="shared" si="37"/>
        <v>33.783016970022089</v>
      </c>
      <c r="J34" s="9">
        <v>3.5000000000000003E-2</v>
      </c>
      <c r="K34" s="9">
        <f t="shared" si="38"/>
        <v>48.609267883359898</v>
      </c>
      <c r="L34" s="9">
        <f t="shared" si="39"/>
        <v>43.383016970022091</v>
      </c>
      <c r="M34" s="9">
        <v>1.6</v>
      </c>
      <c r="N34" s="9">
        <f t="shared" si="40"/>
        <v>16.624055939507734</v>
      </c>
      <c r="O34" s="24">
        <f t="shared" si="41"/>
        <v>3.3248111879015467</v>
      </c>
      <c r="P34" s="18">
        <v>-20.925481000000001</v>
      </c>
      <c r="Q34" s="10">
        <v>1.1975439000000001</v>
      </c>
      <c r="R34" s="10">
        <v>4.9660000000000002</v>
      </c>
      <c r="S34" s="10">
        <v>4.4610000000000003</v>
      </c>
      <c r="T34" s="4" t="s">
        <v>15</v>
      </c>
      <c r="U34" s="3" t="s">
        <v>14</v>
      </c>
      <c r="V34" s="29">
        <f>13.13756-12.1422</f>
        <v>0.9953599999999998</v>
      </c>
    </row>
    <row r="35" spans="1:22" ht="16.2" customHeight="1" x14ac:dyDescent="0.3">
      <c r="A35" s="3">
        <v>33</v>
      </c>
      <c r="B35" s="4">
        <f t="shared" si="0"/>
        <v>300000000</v>
      </c>
      <c r="C35" s="4">
        <f t="shared" si="1"/>
        <v>12650000000</v>
      </c>
      <c r="D35" s="3">
        <v>4.3</v>
      </c>
      <c r="E35" s="9">
        <f t="shared" ca="1" si="35"/>
        <v>3.3315751725599827</v>
      </c>
      <c r="F35" s="4">
        <v>50</v>
      </c>
      <c r="G35" s="14">
        <f t="shared" si="36"/>
        <v>5.7114550561042225</v>
      </c>
      <c r="H35" s="23">
        <f t="shared" ref="H35:H36" ca="1" si="42">(RAND()*(9999)+40000)/1000</f>
        <v>49.324657343405178</v>
      </c>
      <c r="I35" s="9">
        <f t="shared" ca="1" si="37"/>
        <v>42.71640629235155</v>
      </c>
      <c r="J35" s="9">
        <v>3.5000000000000003E-2</v>
      </c>
      <c r="K35" s="9">
        <f t="shared" ca="1" si="38"/>
        <v>58.92465734340518</v>
      </c>
      <c r="L35" s="9">
        <f t="shared" ca="1" si="39"/>
        <v>52.316406292351552</v>
      </c>
      <c r="M35" s="9">
        <v>1.6</v>
      </c>
      <c r="N35" s="9">
        <f t="shared" ca="1" si="40"/>
        <v>19.750742202323043</v>
      </c>
      <c r="O35" s="24">
        <f t="shared" ca="1" si="41"/>
        <v>3.9501484404646083</v>
      </c>
      <c r="P35" s="18"/>
      <c r="Q35" s="10"/>
      <c r="R35" s="10"/>
      <c r="S35" s="10"/>
      <c r="T35" s="4"/>
      <c r="U35" s="4"/>
      <c r="V35" s="25"/>
    </row>
    <row r="36" spans="1:22" ht="16.2" customHeight="1" x14ac:dyDescent="0.3">
      <c r="A36" s="4">
        <v>34</v>
      </c>
      <c r="B36" s="4">
        <f t="shared" si="0"/>
        <v>300000000</v>
      </c>
      <c r="C36" s="4">
        <f t="shared" si="1"/>
        <v>12650000000</v>
      </c>
      <c r="D36" s="3">
        <v>4.3</v>
      </c>
      <c r="E36" s="9">
        <f t="shared" ca="1" si="35"/>
        <v>3.3083742219295309</v>
      </c>
      <c r="F36" s="3">
        <v>50</v>
      </c>
      <c r="G36" s="14">
        <f t="shared" si="36"/>
        <v>5.7114550561042225</v>
      </c>
      <c r="H36" s="23">
        <f t="shared" ca="1" si="42"/>
        <v>44.138266268413545</v>
      </c>
      <c r="I36" s="9">
        <f t="shared" ca="1" si="37"/>
        <v>38.224859867447911</v>
      </c>
      <c r="J36" s="9">
        <v>3.5000000000000003E-2</v>
      </c>
      <c r="K36" s="9">
        <f t="shared" ca="1" si="38"/>
        <v>53.738266268413547</v>
      </c>
      <c r="L36" s="9">
        <f t="shared" ca="1" si="39"/>
        <v>47.824859867447913</v>
      </c>
      <c r="M36" s="9">
        <v>1.6</v>
      </c>
      <c r="N36" s="9">
        <f t="shared" ca="1" si="40"/>
        <v>18.178700953606771</v>
      </c>
      <c r="O36" s="24">
        <f t="shared" ca="1" si="41"/>
        <v>3.6357401907213545</v>
      </c>
      <c r="P36" s="18"/>
      <c r="Q36" s="10"/>
      <c r="R36" s="10"/>
      <c r="S36" s="10"/>
      <c r="T36" s="4"/>
      <c r="U36" s="4"/>
      <c r="V36" s="25"/>
    </row>
    <row r="37" spans="1:22" ht="16.2" customHeight="1" x14ac:dyDescent="0.3">
      <c r="A37" s="3">
        <v>35</v>
      </c>
      <c r="B37" s="4">
        <f t="shared" si="0"/>
        <v>300000000</v>
      </c>
      <c r="C37" s="4">
        <f t="shared" si="1"/>
        <v>12650000000</v>
      </c>
      <c r="D37" s="3">
        <v>4.3</v>
      </c>
      <c r="E37" s="9">
        <f t="shared" ref="E37" ca="1" si="43">((D37+1)/2)+((D37-1)/2)*(1+12*(M37/O37))^-0.5</f>
        <v>3.2727322950970592</v>
      </c>
      <c r="F37" s="4">
        <v>50</v>
      </c>
      <c r="G37" s="14">
        <f t="shared" ref="G37" si="44">(60*PI()^2)/(F37*D37^0.5)</f>
        <v>5.7114550561042225</v>
      </c>
      <c r="H37" s="23">
        <f ca="1">(RAND()*(9999)+30000)/1000</f>
        <v>36.771092424511963</v>
      </c>
      <c r="I37" s="9">
        <f t="shared" ref="I37" ca="1" si="45">(H37^2-(H37/2)^2)^0.5</f>
        <v>31.844700164532885</v>
      </c>
      <c r="J37" s="9">
        <v>3.5000000000000003E-2</v>
      </c>
      <c r="K37" s="9">
        <f t="shared" ref="K37" ca="1" si="46">6*M37+H37</f>
        <v>46.371092424511964</v>
      </c>
      <c r="L37" s="9">
        <f t="shared" ref="L37" ca="1" si="47">6*M37+I37</f>
        <v>41.44470016453289</v>
      </c>
      <c r="M37" s="9">
        <v>1.6</v>
      </c>
      <c r="N37" s="9">
        <f t="shared" ref="N37" ca="1" si="48">(L37/2)-(I37*0.15)</f>
        <v>15.945645057586512</v>
      </c>
      <c r="O37" s="24">
        <f t="shared" ref="O37" ca="1" si="49">N37/5</f>
        <v>3.1891290115173025</v>
      </c>
      <c r="P37" s="18"/>
      <c r="Q37" s="10"/>
      <c r="R37" s="10"/>
      <c r="S37" s="10"/>
      <c r="T37" s="4"/>
      <c r="U37" s="4"/>
      <c r="V37" s="25"/>
    </row>
  </sheetData>
  <mergeCells count="4">
    <mergeCell ref="A1:A2"/>
    <mergeCell ref="H1:O1"/>
    <mergeCell ref="P1:U1"/>
    <mergeCell ref="B1:G1"/>
  </mergeCells>
  <phoneticPr fontId="1" type="noConversion"/>
  <pageMargins left="0.25" right="0.25" top="0.75" bottom="0.75" header="0.3" footer="0.3"/>
  <pageSetup scale="6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9616-89A6-4531-904F-A2C931161E81}">
  <dimension ref="A1:V34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V28" sqref="V28"/>
    </sheetView>
  </sheetViews>
  <sheetFormatPr defaultRowHeight="14.4" x14ac:dyDescent="0.3"/>
  <cols>
    <col min="1" max="2" width="8.109375" customWidth="1"/>
    <col min="3" max="3" width="10.5546875" customWidth="1"/>
    <col min="4" max="4" width="4" bestFit="1" customWidth="1"/>
    <col min="5" max="5" width="5.5546875" bestFit="1" customWidth="1"/>
    <col min="6" max="6" width="3" bestFit="1" customWidth="1"/>
    <col min="7" max="7" width="12" bestFit="1" customWidth="1"/>
    <col min="8" max="15" width="7.44140625" customWidth="1"/>
    <col min="16" max="16" width="14.21875" bestFit="1" customWidth="1"/>
    <col min="17" max="17" width="6.5546875" bestFit="1" customWidth="1"/>
    <col min="18" max="18" width="8.77734375" bestFit="1" customWidth="1"/>
    <col min="19" max="19" width="13.21875" bestFit="1" customWidth="1"/>
    <col min="20" max="20" width="9.6640625" bestFit="1" customWidth="1"/>
    <col min="21" max="21" width="8.6640625" bestFit="1" customWidth="1"/>
    <col min="22" max="22" width="14.5546875" bestFit="1" customWidth="1"/>
  </cols>
  <sheetData>
    <row r="1" spans="1:22" x14ac:dyDescent="0.3">
      <c r="A1" s="49" t="s">
        <v>10</v>
      </c>
      <c r="B1" s="54" t="s">
        <v>21</v>
      </c>
      <c r="C1" s="55"/>
      <c r="D1" s="55"/>
      <c r="E1" s="55"/>
      <c r="F1" s="55"/>
      <c r="G1" s="55"/>
      <c r="H1" s="50" t="s">
        <v>26</v>
      </c>
      <c r="I1" s="51"/>
      <c r="J1" s="51"/>
      <c r="K1" s="51"/>
      <c r="L1" s="51"/>
      <c r="M1" s="51"/>
      <c r="N1" s="51"/>
      <c r="O1" s="52"/>
      <c r="P1" s="53" t="s">
        <v>11</v>
      </c>
      <c r="Q1" s="51"/>
      <c r="R1" s="51"/>
      <c r="S1" s="51"/>
      <c r="T1" s="51"/>
      <c r="U1" s="51"/>
      <c r="V1" s="5"/>
    </row>
    <row r="2" spans="1:22" x14ac:dyDescent="0.3">
      <c r="A2" s="49"/>
      <c r="B2" s="6" t="s">
        <v>23</v>
      </c>
      <c r="C2" s="6" t="s">
        <v>22</v>
      </c>
      <c r="D2" s="30" t="s">
        <v>17</v>
      </c>
      <c r="E2" s="11" t="s">
        <v>20</v>
      </c>
      <c r="F2" s="6" t="s">
        <v>19</v>
      </c>
      <c r="G2" s="13" t="s">
        <v>18</v>
      </c>
      <c r="H2" s="19" t="s">
        <v>0</v>
      </c>
      <c r="I2" s="12" t="s">
        <v>1</v>
      </c>
      <c r="J2" s="7" t="s">
        <v>5</v>
      </c>
      <c r="K2" s="12" t="s">
        <v>2</v>
      </c>
      <c r="L2" s="12" t="s">
        <v>3</v>
      </c>
      <c r="M2" s="7" t="s">
        <v>4</v>
      </c>
      <c r="N2" s="12" t="s">
        <v>6</v>
      </c>
      <c r="O2" s="20" t="s">
        <v>7</v>
      </c>
      <c r="P2" s="15" t="s">
        <v>12</v>
      </c>
      <c r="Q2" s="7" t="s">
        <v>8</v>
      </c>
      <c r="R2" s="7" t="s">
        <v>16</v>
      </c>
      <c r="S2" s="7" t="s">
        <v>25</v>
      </c>
      <c r="T2" s="7" t="s">
        <v>13</v>
      </c>
      <c r="U2" s="7" t="s">
        <v>9</v>
      </c>
      <c r="V2" s="7" t="s">
        <v>24</v>
      </c>
    </row>
    <row r="3" spans="1:22" x14ac:dyDescent="0.3">
      <c r="A3" s="2">
        <v>2</v>
      </c>
      <c r="B3" s="2">
        <f t="shared" ref="B3:B34" si="0">3*10^8</f>
        <v>300000000</v>
      </c>
      <c r="C3" s="2">
        <f t="shared" ref="C3:C34" si="1">12.65*10^9</f>
        <v>12650000000</v>
      </c>
      <c r="D3" s="2">
        <v>4.4000000000000004</v>
      </c>
      <c r="E3" s="9">
        <f t="shared" ref="E3:E34" si="2">((D3+1)/2)+((D3-1)/2)*(1+12*(M3/O3))^-0.5</f>
        <v>3.3304099389288537</v>
      </c>
      <c r="F3" s="2">
        <v>50</v>
      </c>
      <c r="G3" s="14">
        <f t="shared" ref="G3:G34" si="3">(60*PI()^2)/(F3*D3^0.5)</f>
        <v>5.6461791402554109</v>
      </c>
      <c r="H3" s="21">
        <f>(2*B3/(3*C3*D3^0.5))*1000</f>
        <v>7.5372536699256312</v>
      </c>
      <c r="I3" s="8">
        <f t="shared" ref="I3:I26" si="4">(H3^2-(H3/2)^2)^0.5</f>
        <v>6.5274531529230861</v>
      </c>
      <c r="J3" s="8">
        <v>3.5000000000000003E-2</v>
      </c>
      <c r="K3" s="8">
        <f t="shared" ref="K3:K26" si="5">6*M3+H3</f>
        <v>17.137253669925634</v>
      </c>
      <c r="L3" s="8">
        <f t="shared" ref="L3:L26" si="6">6*M3+I3</f>
        <v>16.127453152923088</v>
      </c>
      <c r="M3" s="8">
        <v>1.6</v>
      </c>
      <c r="N3" s="8">
        <f>L3/2-I3/4</f>
        <v>6.4318632882307725</v>
      </c>
      <c r="O3" s="22">
        <f>(2*M3/PI())*(G3-1-LN(2*G3-1)+((D3-1)/(2*D3))*(LN(G3-1)+0.39-0.61/D3))</f>
        <v>3.0612419018779424</v>
      </c>
      <c r="P3" s="16">
        <v>-6.2668514999999996</v>
      </c>
      <c r="Q3" s="8">
        <v>2.8912298000000001</v>
      </c>
      <c r="R3" s="8">
        <v>5.0250000000000004</v>
      </c>
      <c r="S3" s="8">
        <v>3.4420000000000002</v>
      </c>
      <c r="T3" s="2" t="s">
        <v>15</v>
      </c>
      <c r="U3" s="2" t="s">
        <v>14</v>
      </c>
      <c r="V3" s="31">
        <f>12.13867-6.645428</f>
        <v>5.4932419999999995</v>
      </c>
    </row>
    <row r="4" spans="1:22" x14ac:dyDescent="0.3">
      <c r="A4" s="3">
        <v>3</v>
      </c>
      <c r="B4" s="3">
        <f t="shared" si="0"/>
        <v>300000000</v>
      </c>
      <c r="C4" s="3">
        <f t="shared" si="1"/>
        <v>12650000000</v>
      </c>
      <c r="D4" s="3">
        <v>4.3</v>
      </c>
      <c r="E4" s="9">
        <f t="shared" si="2"/>
        <v>3.2664118394578319</v>
      </c>
      <c r="F4" s="3">
        <v>50</v>
      </c>
      <c r="G4" s="14">
        <f t="shared" si="3"/>
        <v>5.7114550561042225</v>
      </c>
      <c r="H4" s="23">
        <f>(2*B4/(3*C4*D4^0.5))*1000</f>
        <v>7.6243924453820107</v>
      </c>
      <c r="I4" s="9">
        <f t="shared" si="4"/>
        <v>6.6029175461229794</v>
      </c>
      <c r="J4" s="9">
        <v>3.5000000000000003E-2</v>
      </c>
      <c r="K4" s="9">
        <f>6*M4+H4</f>
        <v>13.624392445382011</v>
      </c>
      <c r="L4" s="9">
        <f t="shared" si="6"/>
        <v>12.602917546122979</v>
      </c>
      <c r="M4" s="9">
        <v>1</v>
      </c>
      <c r="N4" s="9">
        <f>L4/2-I4/4</f>
        <v>4.6507293865307453</v>
      </c>
      <c r="O4" s="24">
        <f>(2*M4/PI())*(G4-1-LN(2*G4-1)+((D4-1)/(2*D4))*(LN(G4-1)+0.39-0.61/D4))</f>
        <v>1.9464212312346307</v>
      </c>
      <c r="P4" s="17">
        <v>-7.5761398</v>
      </c>
      <c r="Q4" s="9">
        <v>2.4365242999999999</v>
      </c>
      <c r="R4" s="9">
        <v>-0.95469999999999999</v>
      </c>
      <c r="S4" s="9">
        <v>-2.7930000000000001</v>
      </c>
      <c r="T4" s="3" t="s">
        <v>15</v>
      </c>
      <c r="U4" s="3" t="s">
        <v>14</v>
      </c>
      <c r="V4" s="26"/>
    </row>
    <row r="5" spans="1:22" x14ac:dyDescent="0.3">
      <c r="A5" s="3">
        <v>4</v>
      </c>
      <c r="B5" s="3">
        <f t="shared" si="0"/>
        <v>300000000</v>
      </c>
      <c r="C5" s="3">
        <f t="shared" si="1"/>
        <v>12650000000</v>
      </c>
      <c r="D5" s="3">
        <v>4.3</v>
      </c>
      <c r="E5" s="9">
        <f t="shared" si="2"/>
        <v>3.2664118394578319</v>
      </c>
      <c r="F5" s="3">
        <v>50</v>
      </c>
      <c r="G5" s="14">
        <f t="shared" si="3"/>
        <v>5.7114550561042225</v>
      </c>
      <c r="H5" s="23">
        <f>(2*B5/(3*C5*D5^0.5))*1000</f>
        <v>7.6243924453820107</v>
      </c>
      <c r="I5" s="9">
        <f t="shared" si="4"/>
        <v>6.6029175461229794</v>
      </c>
      <c r="J5" s="9">
        <v>3.5000000000000003E-2</v>
      </c>
      <c r="K5" s="9">
        <f>6*M5+H5</f>
        <v>17.82439244538201</v>
      </c>
      <c r="L5" s="9">
        <f>6*M5+I5</f>
        <v>16.802917546122977</v>
      </c>
      <c r="M5" s="9">
        <v>1.7</v>
      </c>
      <c r="N5" s="9">
        <f>L5/2-I5/4</f>
        <v>6.7507293865307432</v>
      </c>
      <c r="O5" s="24">
        <f>(2*M5/PI())*(G5-1-LN(2*G5-1)+((D5-1)/(2*D5))*(LN(G5-1)+0.39-0.61/D5))</f>
        <v>3.3089160930988721</v>
      </c>
      <c r="P5" s="17">
        <v>-3.3240658999999999</v>
      </c>
      <c r="Q5" s="9">
        <v>5.2899769000000001</v>
      </c>
      <c r="R5" s="9">
        <v>5.1269999999999998</v>
      </c>
      <c r="S5" s="9">
        <v>2.8719999999999999</v>
      </c>
      <c r="T5" s="3" t="s">
        <v>15</v>
      </c>
      <c r="U5" s="3" t="s">
        <v>14</v>
      </c>
      <c r="V5" s="26"/>
    </row>
    <row r="6" spans="1:22" x14ac:dyDescent="0.3">
      <c r="A6" s="3">
        <v>5</v>
      </c>
      <c r="B6" s="3">
        <f t="shared" si="0"/>
        <v>300000000</v>
      </c>
      <c r="C6" s="3">
        <f t="shared" si="1"/>
        <v>12650000000</v>
      </c>
      <c r="D6" s="3">
        <v>4.3</v>
      </c>
      <c r="E6" s="9">
        <f t="shared" si="2"/>
        <v>3.2664118394578319</v>
      </c>
      <c r="F6" s="3">
        <v>50</v>
      </c>
      <c r="G6" s="14">
        <f t="shared" si="3"/>
        <v>5.7114550561042225</v>
      </c>
      <c r="H6" s="23">
        <f>(2*B6/(3*C6*D6^0.5))*1000</f>
        <v>7.6243924453820107</v>
      </c>
      <c r="I6" s="9">
        <f t="shared" si="4"/>
        <v>6.6029175461229794</v>
      </c>
      <c r="J6" s="9">
        <v>3.5000000000000003E-2</v>
      </c>
      <c r="K6" s="9">
        <f>6*M6+H6</f>
        <v>17.224392445382012</v>
      </c>
      <c r="L6" s="9">
        <f t="shared" si="6"/>
        <v>16.202917546122983</v>
      </c>
      <c r="M6" s="9">
        <v>1.6</v>
      </c>
      <c r="N6" s="9">
        <f>L6/2-I6/4</f>
        <v>6.450729386530746</v>
      </c>
      <c r="O6" s="24">
        <f>(2*M6/PI())*(G6-1-LN(2*G6-1)+((D6-1)/(2*D6))*(LN(G6-1)+0.39-0.61/D6))</f>
        <v>3.1142739699754092</v>
      </c>
      <c r="P6" s="17">
        <v>-5.1733114000000002</v>
      </c>
      <c r="Q6" s="9">
        <v>3.4566460000000001</v>
      </c>
      <c r="R6" s="9">
        <v>4.96</v>
      </c>
      <c r="S6" s="9">
        <v>3.3450000000000002</v>
      </c>
      <c r="T6" s="3" t="s">
        <v>15</v>
      </c>
      <c r="U6" s="3" t="s">
        <v>14</v>
      </c>
      <c r="V6" s="26">
        <f>12.1415-6.558257</f>
        <v>5.5832430000000004</v>
      </c>
    </row>
    <row r="7" spans="1:22" x14ac:dyDescent="0.3">
      <c r="A7" s="3">
        <v>6</v>
      </c>
      <c r="B7" s="3">
        <f t="shared" si="0"/>
        <v>300000000</v>
      </c>
      <c r="C7" s="3">
        <f t="shared" si="1"/>
        <v>12650000000</v>
      </c>
      <c r="D7" s="3">
        <v>4.3</v>
      </c>
      <c r="E7" s="9">
        <f t="shared" si="2"/>
        <v>3.2343066009931403</v>
      </c>
      <c r="F7" s="3">
        <v>50</v>
      </c>
      <c r="G7" s="14">
        <f t="shared" si="3"/>
        <v>5.7114550561042225</v>
      </c>
      <c r="H7" s="23">
        <v>9.6269579662768905</v>
      </c>
      <c r="I7" s="9">
        <f t="shared" si="4"/>
        <v>8.3371901599607625</v>
      </c>
      <c r="J7" s="9">
        <v>3.5000000000000003E-2</v>
      </c>
      <c r="K7" s="9">
        <f t="shared" si="5"/>
        <v>19.226957966276892</v>
      </c>
      <c r="L7" s="9">
        <f t="shared" si="6"/>
        <v>17.937190159960764</v>
      </c>
      <c r="M7" s="9">
        <v>1.6</v>
      </c>
      <c r="N7" s="9">
        <f>(L7/2)-(I7/6)</f>
        <v>7.5790633866535879</v>
      </c>
      <c r="O7" s="24">
        <f>N7^0.5</f>
        <v>2.7530098776890699</v>
      </c>
      <c r="P7" s="17">
        <v>-0.97408317</v>
      </c>
      <c r="Q7" s="9">
        <v>17.852667</v>
      </c>
      <c r="R7" s="9">
        <v>4.7279999999999998</v>
      </c>
      <c r="S7" s="9">
        <v>-0.96079999999999999</v>
      </c>
      <c r="T7" s="3" t="s">
        <v>15</v>
      </c>
      <c r="U7" s="3" t="s">
        <v>14</v>
      </c>
      <c r="V7" s="26">
        <f>8.908918-6.358942</f>
        <v>2.549976</v>
      </c>
    </row>
    <row r="8" spans="1:22" x14ac:dyDescent="0.3">
      <c r="A8" s="3">
        <v>7</v>
      </c>
      <c r="B8" s="3">
        <f t="shared" si="0"/>
        <v>300000000</v>
      </c>
      <c r="C8" s="3">
        <f t="shared" si="1"/>
        <v>12650000000</v>
      </c>
      <c r="D8" s="3">
        <v>4.3</v>
      </c>
      <c r="E8" s="9">
        <f t="shared" si="2"/>
        <v>3.1526720084434725</v>
      </c>
      <c r="F8" s="3">
        <v>50</v>
      </c>
      <c r="G8" s="14">
        <f t="shared" si="3"/>
        <v>5.7114550561042225</v>
      </c>
      <c r="H8" s="23">
        <v>9.6269579662768905</v>
      </c>
      <c r="I8" s="9">
        <f t="shared" si="4"/>
        <v>8.3371901599607625</v>
      </c>
      <c r="J8" s="9">
        <v>3.5000000000000003E-2</v>
      </c>
      <c r="K8" s="9">
        <f t="shared" si="5"/>
        <v>19.226957966276892</v>
      </c>
      <c r="L8" s="9">
        <f t="shared" si="6"/>
        <v>17.937190159960764</v>
      </c>
      <c r="M8" s="9">
        <v>1.6</v>
      </c>
      <c r="N8" s="9">
        <f>(L8/2)-(I8/6)</f>
        <v>7.5790633866535879</v>
      </c>
      <c r="O8" s="24">
        <f>N8^(1/3)</f>
        <v>1.9642880734478534</v>
      </c>
      <c r="P8" s="17">
        <v>-1.0391253</v>
      </c>
      <c r="Q8" s="9">
        <v>16.737625999999999</v>
      </c>
      <c r="R8" s="9">
        <v>4.2930000000000001</v>
      </c>
      <c r="S8" s="9">
        <v>-1.861</v>
      </c>
      <c r="T8" s="3" t="s">
        <v>15</v>
      </c>
      <c r="U8" s="3" t="s">
        <v>14</v>
      </c>
      <c r="V8" s="26">
        <f>8.423863-7.055827</f>
        <v>1.3680360000000009</v>
      </c>
    </row>
    <row r="9" spans="1:22" x14ac:dyDescent="0.3">
      <c r="A9" s="3">
        <v>8</v>
      </c>
      <c r="B9" s="3">
        <f t="shared" si="0"/>
        <v>300000000</v>
      </c>
      <c r="C9" s="3">
        <f t="shared" si="1"/>
        <v>12650000000</v>
      </c>
      <c r="D9" s="3">
        <v>4.3</v>
      </c>
      <c r="E9" s="9">
        <f t="shared" si="2"/>
        <v>3.2457819790891014</v>
      </c>
      <c r="F9" s="3">
        <v>50</v>
      </c>
      <c r="G9" s="14">
        <f t="shared" si="3"/>
        <v>5.7114550561042225</v>
      </c>
      <c r="H9" s="23">
        <v>12.0765801445927</v>
      </c>
      <c r="I9" s="9">
        <f t="shared" si="4"/>
        <v>10.458625196056028</v>
      </c>
      <c r="J9" s="9">
        <v>3.5000000000000003E-2</v>
      </c>
      <c r="K9" s="9">
        <f t="shared" si="5"/>
        <v>21.676580144592702</v>
      </c>
      <c r="L9" s="9">
        <f t="shared" si="6"/>
        <v>20.058625196056028</v>
      </c>
      <c r="M9" s="9">
        <v>1.6</v>
      </c>
      <c r="N9" s="9">
        <f>(L9/2)-(I9/6)</f>
        <v>8.2862083986853428</v>
      </c>
      <c r="O9" s="24">
        <f>N9^0.5</f>
        <v>2.8785774956886852</v>
      </c>
      <c r="P9" s="17">
        <v>-0.99495679000000004</v>
      </c>
      <c r="Q9" s="9">
        <v>17.478925</v>
      </c>
      <c r="R9" s="9">
        <v>4.4420000000000002</v>
      </c>
      <c r="S9" s="9">
        <v>-0.91910000000000003</v>
      </c>
      <c r="T9" s="3" t="s">
        <v>15</v>
      </c>
      <c r="U9" s="3" t="s">
        <v>14</v>
      </c>
      <c r="V9" s="26"/>
    </row>
    <row r="10" spans="1:22" x14ac:dyDescent="0.3">
      <c r="A10" s="3">
        <v>9</v>
      </c>
      <c r="B10" s="3">
        <f t="shared" si="0"/>
        <v>300000000</v>
      </c>
      <c r="C10" s="3">
        <f t="shared" si="1"/>
        <v>12650000000</v>
      </c>
      <c r="D10" s="3">
        <v>4.3</v>
      </c>
      <c r="E10" s="9">
        <f t="shared" si="2"/>
        <v>3.1151022399783432</v>
      </c>
      <c r="F10" s="3">
        <v>50</v>
      </c>
      <c r="G10" s="14">
        <f t="shared" si="3"/>
        <v>5.7114550561042225</v>
      </c>
      <c r="H10" s="23">
        <v>12.0765801445927</v>
      </c>
      <c r="I10" s="9">
        <f t="shared" si="4"/>
        <v>10.458625196056028</v>
      </c>
      <c r="J10" s="9">
        <v>3.5000000000000003E-2</v>
      </c>
      <c r="K10" s="9">
        <f t="shared" si="5"/>
        <v>21.676580144592702</v>
      </c>
      <c r="L10" s="9">
        <f t="shared" si="6"/>
        <v>20.058625196056028</v>
      </c>
      <c r="M10" s="9">
        <v>1.6</v>
      </c>
      <c r="N10" s="9">
        <f>(L10/2)-(I10/6)</f>
        <v>8.2862083986853428</v>
      </c>
      <c r="O10" s="24">
        <f>N10/5</f>
        <v>1.6572416797370686</v>
      </c>
      <c r="P10" s="17">
        <v>-1.2356175</v>
      </c>
      <c r="Q10" s="9">
        <v>14.082891</v>
      </c>
      <c r="R10" s="9">
        <v>4.7789999999999999</v>
      </c>
      <c r="S10" s="9">
        <v>-1.008</v>
      </c>
      <c r="T10" s="3" t="s">
        <v>15</v>
      </c>
      <c r="U10" s="3" t="s">
        <v>14</v>
      </c>
      <c r="V10" s="26">
        <f>6.748322-6.085257</f>
        <v>0.66306499999999957</v>
      </c>
    </row>
    <row r="11" spans="1:22" x14ac:dyDescent="0.3">
      <c r="A11" s="3">
        <v>10</v>
      </c>
      <c r="B11" s="3">
        <f t="shared" si="0"/>
        <v>300000000</v>
      </c>
      <c r="C11" s="3">
        <f t="shared" si="1"/>
        <v>12650000000</v>
      </c>
      <c r="D11" s="3">
        <v>4.3</v>
      </c>
      <c r="E11" s="9">
        <f t="shared" si="2"/>
        <v>3.1452816023767931</v>
      </c>
      <c r="F11" s="3">
        <v>50</v>
      </c>
      <c r="G11" s="14">
        <f t="shared" si="3"/>
        <v>5.7114550561042225</v>
      </c>
      <c r="H11" s="23">
        <v>12.0765801445927</v>
      </c>
      <c r="I11" s="9">
        <f t="shared" si="4"/>
        <v>10.458625196056028</v>
      </c>
      <c r="J11" s="9">
        <v>3.5000000000000003E-2</v>
      </c>
      <c r="K11" s="9">
        <f t="shared" si="5"/>
        <v>21.676580144592702</v>
      </c>
      <c r="L11" s="9">
        <f t="shared" si="6"/>
        <v>20.058625196056028</v>
      </c>
      <c r="M11" s="9">
        <v>1.6</v>
      </c>
      <c r="N11" s="9">
        <f t="shared" ref="N11:N22" si="7">(L11/2)-(I11/20)</f>
        <v>9.5063813382252125</v>
      </c>
      <c r="O11" s="24">
        <f>N11/5</f>
        <v>1.9012762676450425</v>
      </c>
      <c r="P11" s="17">
        <v>-3.3836474000000001</v>
      </c>
      <c r="Q11" s="9">
        <v>5.1988018</v>
      </c>
      <c r="R11" s="9">
        <v>2.79</v>
      </c>
      <c r="S11" s="9">
        <v>0.2747</v>
      </c>
      <c r="T11" s="3" t="s">
        <v>15</v>
      </c>
      <c r="U11" s="3" t="s">
        <v>14</v>
      </c>
      <c r="V11" s="26">
        <f>6.818011-6.246188</f>
        <v>0.57182300000000019</v>
      </c>
    </row>
    <row r="12" spans="1:22" x14ac:dyDescent="0.3">
      <c r="A12" s="32">
        <v>12</v>
      </c>
      <c r="B12" s="32">
        <f t="shared" si="0"/>
        <v>300000000</v>
      </c>
      <c r="C12" s="32">
        <f t="shared" si="1"/>
        <v>12650000000</v>
      </c>
      <c r="D12" s="33">
        <v>4.3</v>
      </c>
      <c r="E12" s="34">
        <f t="shared" si="2"/>
        <v>3.1771798682229231</v>
      </c>
      <c r="F12" s="32">
        <v>50</v>
      </c>
      <c r="G12" s="35">
        <f t="shared" si="3"/>
        <v>5.7114550561042225</v>
      </c>
      <c r="H12" s="36">
        <v>15.6885582276755</v>
      </c>
      <c r="I12" s="34">
        <f t="shared" si="4"/>
        <v>13.586689973918352</v>
      </c>
      <c r="J12" s="34">
        <v>3.5000000000000003E-2</v>
      </c>
      <c r="K12" s="34">
        <f t="shared" si="5"/>
        <v>25.288558227675502</v>
      </c>
      <c r="L12" s="34">
        <f t="shared" si="6"/>
        <v>23.186689973918355</v>
      </c>
      <c r="M12" s="34">
        <v>1.6</v>
      </c>
      <c r="N12" s="34">
        <f t="shared" si="7"/>
        <v>10.91401048826326</v>
      </c>
      <c r="O12" s="37">
        <f>N12/5</f>
        <v>2.1828020976526519</v>
      </c>
      <c r="P12" s="38">
        <v>-11.166118000000001</v>
      </c>
      <c r="Q12" s="39">
        <v>1.764</v>
      </c>
      <c r="R12" s="39">
        <v>4.431</v>
      </c>
      <c r="S12" s="39">
        <v>3.794</v>
      </c>
      <c r="T12" s="32" t="s">
        <v>15</v>
      </c>
      <c r="U12" s="33" t="s">
        <v>14</v>
      </c>
      <c r="V12" s="29">
        <f>13.08721-11.93036</f>
        <v>1.1568500000000004</v>
      </c>
    </row>
    <row r="13" spans="1:22" x14ac:dyDescent="0.3">
      <c r="A13" s="3">
        <v>13</v>
      </c>
      <c r="B13" s="4">
        <f t="shared" si="0"/>
        <v>300000000</v>
      </c>
      <c r="C13" s="4">
        <f t="shared" si="1"/>
        <v>12650000000</v>
      </c>
      <c r="D13" s="3">
        <v>4.3</v>
      </c>
      <c r="E13" s="9">
        <f t="shared" si="2"/>
        <v>3.1124908050178899</v>
      </c>
      <c r="F13" s="3">
        <v>50</v>
      </c>
      <c r="G13" s="14">
        <f t="shared" si="3"/>
        <v>5.7114550561042225</v>
      </c>
      <c r="H13" s="23">
        <v>15.6885582276755</v>
      </c>
      <c r="I13" s="9">
        <f t="shared" si="4"/>
        <v>13.586689973918352</v>
      </c>
      <c r="J13" s="9">
        <v>3.5000000000000003E-2</v>
      </c>
      <c r="K13" s="9">
        <f t="shared" si="5"/>
        <v>25.288558227675502</v>
      </c>
      <c r="L13" s="9">
        <f t="shared" si="6"/>
        <v>23.186689973918355</v>
      </c>
      <c r="M13" s="9">
        <v>1.6</v>
      </c>
      <c r="N13" s="9">
        <f t="shared" si="7"/>
        <v>10.91401048826326</v>
      </c>
      <c r="O13" s="24">
        <f>N13*0.15</f>
        <v>1.6371015732394889</v>
      </c>
      <c r="P13" s="18">
        <v>-8.0271796999999996</v>
      </c>
      <c r="Q13" s="10">
        <v>2.3159980999999998</v>
      </c>
      <c r="R13" s="10">
        <v>4.4569999999999999</v>
      </c>
      <c r="S13" s="10">
        <v>3.5870000000000002</v>
      </c>
      <c r="T13" s="4" t="s">
        <v>15</v>
      </c>
      <c r="U13" s="3" t="s">
        <v>14</v>
      </c>
      <c r="V13" s="28"/>
    </row>
    <row r="14" spans="1:22" x14ac:dyDescent="0.3">
      <c r="A14" s="4">
        <v>11</v>
      </c>
      <c r="B14" s="4">
        <f t="shared" si="0"/>
        <v>300000000</v>
      </c>
      <c r="C14" s="4">
        <f t="shared" si="1"/>
        <v>12650000000</v>
      </c>
      <c r="D14" s="3">
        <v>4.3</v>
      </c>
      <c r="E14" s="9">
        <f t="shared" si="2"/>
        <v>3.1927903000157394</v>
      </c>
      <c r="F14" s="3">
        <v>50</v>
      </c>
      <c r="G14" s="14">
        <f t="shared" si="3"/>
        <v>5.7114550561042225</v>
      </c>
      <c r="H14" s="23">
        <v>17.5759022825739</v>
      </c>
      <c r="I14" s="9">
        <f t="shared" si="4"/>
        <v>15.221177871141899</v>
      </c>
      <c r="J14" s="9">
        <v>3.5000000000000003E-2</v>
      </c>
      <c r="K14" s="9">
        <f t="shared" si="5"/>
        <v>27.175902282573901</v>
      </c>
      <c r="L14" s="9">
        <f t="shared" si="6"/>
        <v>24.821177871141899</v>
      </c>
      <c r="M14" s="9">
        <v>1.6</v>
      </c>
      <c r="N14" s="9">
        <f t="shared" si="7"/>
        <v>11.649530042013854</v>
      </c>
      <c r="O14" s="24">
        <f t="shared" ref="O14:O26" si="8">N14/5</f>
        <v>2.3299060084027707</v>
      </c>
      <c r="P14" s="18">
        <v>-8.9136579999999999</v>
      </c>
      <c r="Q14" s="10">
        <v>2.1170029000000001</v>
      </c>
      <c r="R14" s="10">
        <v>4.2119999999999997</v>
      </c>
      <c r="S14" s="10">
        <v>3.464</v>
      </c>
      <c r="T14" s="4" t="s">
        <v>15</v>
      </c>
      <c r="U14" s="3" t="s">
        <v>14</v>
      </c>
      <c r="V14" s="28">
        <f>12.51607-10.32368</f>
        <v>2.1923899999999996</v>
      </c>
    </row>
    <row r="15" spans="1:22" x14ac:dyDescent="0.3">
      <c r="A15" s="3">
        <v>14</v>
      </c>
      <c r="B15" s="4">
        <f t="shared" si="0"/>
        <v>300000000</v>
      </c>
      <c r="C15" s="4">
        <f t="shared" si="1"/>
        <v>12650000000</v>
      </c>
      <c r="D15" s="3">
        <v>4.3</v>
      </c>
      <c r="E15" s="9">
        <f t="shared" si="2"/>
        <v>3.1985361733638644</v>
      </c>
      <c r="F15" s="4">
        <v>50</v>
      </c>
      <c r="G15" s="14">
        <f t="shared" si="3"/>
        <v>5.7114550561042225</v>
      </c>
      <c r="H15" s="23">
        <v>18.2911819459651</v>
      </c>
      <c r="I15" s="9">
        <f t="shared" si="4"/>
        <v>15.84062823044906</v>
      </c>
      <c r="J15" s="9">
        <v>3.5000000000000003E-2</v>
      </c>
      <c r="K15" s="9">
        <f t="shared" si="5"/>
        <v>27.891181945965101</v>
      </c>
      <c r="L15" s="9">
        <f t="shared" si="6"/>
        <v>25.440628230449061</v>
      </c>
      <c r="M15" s="9">
        <v>1.6</v>
      </c>
      <c r="N15" s="9">
        <f t="shared" si="7"/>
        <v>11.928282703702077</v>
      </c>
      <c r="O15" s="24">
        <f t="shared" si="8"/>
        <v>2.3856565407404156</v>
      </c>
      <c r="P15" s="18">
        <v>-9.2922153999999999</v>
      </c>
      <c r="Q15" s="10">
        <v>2.0444882</v>
      </c>
      <c r="R15" s="10">
        <v>3.7080000000000002</v>
      </c>
      <c r="S15" s="10">
        <v>3.0920000000000001</v>
      </c>
      <c r="T15" s="4" t="s">
        <v>15</v>
      </c>
      <c r="U15" s="3" t="s">
        <v>14</v>
      </c>
      <c r="V15" s="28">
        <f>12.38238-11.33394</f>
        <v>1.0484399999999994</v>
      </c>
    </row>
    <row r="16" spans="1:22" x14ac:dyDescent="0.3">
      <c r="A16" s="4">
        <v>15</v>
      </c>
      <c r="B16" s="4">
        <f t="shared" si="0"/>
        <v>300000000</v>
      </c>
      <c r="C16" s="4">
        <f t="shared" si="1"/>
        <v>12650000000</v>
      </c>
      <c r="D16" s="3">
        <v>4.3</v>
      </c>
      <c r="E16" s="9">
        <f t="shared" si="2"/>
        <v>3.2103849820333248</v>
      </c>
      <c r="F16" s="3">
        <v>50</v>
      </c>
      <c r="G16" s="14">
        <f t="shared" si="3"/>
        <v>5.7114550561042225</v>
      </c>
      <c r="H16" s="23">
        <v>19.802049779888701</v>
      </c>
      <c r="I16" s="9">
        <f t="shared" si="4"/>
        <v>17.149078156387667</v>
      </c>
      <c r="J16" s="9">
        <v>3.5000000000000003E-2</v>
      </c>
      <c r="K16" s="9">
        <f t="shared" si="5"/>
        <v>29.402049779888703</v>
      </c>
      <c r="L16" s="9">
        <f t="shared" si="6"/>
        <v>26.749078156387668</v>
      </c>
      <c r="M16" s="9">
        <v>1.6</v>
      </c>
      <c r="N16" s="9">
        <f t="shared" si="7"/>
        <v>12.51708517037445</v>
      </c>
      <c r="O16" s="24">
        <f t="shared" si="8"/>
        <v>2.5034170340748902</v>
      </c>
      <c r="P16" s="18">
        <v>-6.7057450999999997</v>
      </c>
      <c r="Q16" s="10">
        <v>2.7179924</v>
      </c>
      <c r="R16" s="10">
        <v>3.403</v>
      </c>
      <c r="S16" s="10">
        <v>2.6920000000000002</v>
      </c>
      <c r="T16" s="4" t="s">
        <v>15</v>
      </c>
      <c r="U16" s="3" t="s">
        <v>14</v>
      </c>
      <c r="V16" s="28"/>
    </row>
    <row r="17" spans="1:22" x14ac:dyDescent="0.3">
      <c r="A17" s="3">
        <v>17</v>
      </c>
      <c r="B17" s="4">
        <f t="shared" si="0"/>
        <v>300000000</v>
      </c>
      <c r="C17" s="4">
        <f t="shared" si="1"/>
        <v>12650000000</v>
      </c>
      <c r="D17" s="3">
        <v>4.3</v>
      </c>
      <c r="E17" s="9">
        <f t="shared" si="2"/>
        <v>3.2188032777562734</v>
      </c>
      <c r="F17" s="3">
        <v>50</v>
      </c>
      <c r="G17" s="14">
        <f t="shared" si="3"/>
        <v>5.7114550561042225</v>
      </c>
      <c r="H17" s="23">
        <v>20.905421851964999</v>
      </c>
      <c r="I17" s="9">
        <f t="shared" si="4"/>
        <v>18.104626400632014</v>
      </c>
      <c r="J17" s="9">
        <v>3.5000000000000003E-2</v>
      </c>
      <c r="K17" s="9">
        <f t="shared" si="5"/>
        <v>30.505421851965</v>
      </c>
      <c r="L17" s="9">
        <f t="shared" si="6"/>
        <v>27.704626400632016</v>
      </c>
      <c r="M17" s="9">
        <v>1.6</v>
      </c>
      <c r="N17" s="9">
        <f t="shared" si="7"/>
        <v>12.947081880284408</v>
      </c>
      <c r="O17" s="24">
        <f t="shared" si="8"/>
        <v>2.5894163760568816</v>
      </c>
      <c r="P17" s="18">
        <v>-4.0037642</v>
      </c>
      <c r="Q17" s="10">
        <v>4.4154160999999998</v>
      </c>
      <c r="R17" s="10">
        <v>4.766</v>
      </c>
      <c r="S17" s="10">
        <v>3.262</v>
      </c>
      <c r="T17" s="4" t="s">
        <v>15</v>
      </c>
      <c r="U17" s="3" t="s">
        <v>14</v>
      </c>
      <c r="V17" s="28"/>
    </row>
    <row r="18" spans="1:22" x14ac:dyDescent="0.3">
      <c r="A18" s="4">
        <v>16</v>
      </c>
      <c r="B18" s="4">
        <f t="shared" si="0"/>
        <v>300000000</v>
      </c>
      <c r="C18" s="4">
        <f t="shared" si="1"/>
        <v>12650000000</v>
      </c>
      <c r="D18" s="3">
        <v>4.3</v>
      </c>
      <c r="E18" s="9">
        <f t="shared" si="2"/>
        <v>3.2219135179838614</v>
      </c>
      <c r="F18" s="4">
        <v>50</v>
      </c>
      <c r="G18" s="14">
        <f t="shared" si="3"/>
        <v>5.7114550561042225</v>
      </c>
      <c r="H18" s="23">
        <v>21.3194820403486</v>
      </c>
      <c r="I18" s="9">
        <f t="shared" si="4"/>
        <v>18.463213042467984</v>
      </c>
      <c r="J18" s="9">
        <v>3.5000000000000003E-2</v>
      </c>
      <c r="K18" s="9">
        <f t="shared" si="5"/>
        <v>30.919482040348601</v>
      </c>
      <c r="L18" s="9">
        <f t="shared" si="6"/>
        <v>28.063213042467986</v>
      </c>
      <c r="M18" s="9">
        <v>1.6</v>
      </c>
      <c r="N18" s="9">
        <f t="shared" si="7"/>
        <v>13.108445869110593</v>
      </c>
      <c r="O18" s="24">
        <f t="shared" si="8"/>
        <v>2.6216891738221184</v>
      </c>
      <c r="P18" s="18">
        <v>-3.2894684000000001</v>
      </c>
      <c r="Q18" s="10">
        <v>5.3439978999999997</v>
      </c>
      <c r="R18" s="10">
        <v>5.34</v>
      </c>
      <c r="S18" s="10">
        <v>3.4390000000000001</v>
      </c>
      <c r="T18" s="4" t="s">
        <v>15</v>
      </c>
      <c r="U18" s="3" t="s">
        <v>14</v>
      </c>
      <c r="V18" s="28"/>
    </row>
    <row r="19" spans="1:22" x14ac:dyDescent="0.3">
      <c r="A19" s="3">
        <v>18</v>
      </c>
      <c r="B19" s="4">
        <f t="shared" si="0"/>
        <v>300000000</v>
      </c>
      <c r="C19" s="4">
        <f t="shared" si="1"/>
        <v>12650000000</v>
      </c>
      <c r="D19" s="3">
        <v>4.3</v>
      </c>
      <c r="E19" s="9">
        <f t="shared" si="2"/>
        <v>3.2545865723594556</v>
      </c>
      <c r="F19" s="3">
        <v>50</v>
      </c>
      <c r="G19" s="14">
        <f t="shared" si="3"/>
        <v>5.7114550561042225</v>
      </c>
      <c r="H19" s="23">
        <v>25.885545410125999</v>
      </c>
      <c r="I19" s="9">
        <f t="shared" si="4"/>
        <v>22.417539915984793</v>
      </c>
      <c r="J19" s="9">
        <v>3.5000000000000003E-2</v>
      </c>
      <c r="K19" s="9">
        <f t="shared" si="5"/>
        <v>35.485545410126001</v>
      </c>
      <c r="L19" s="9">
        <f t="shared" si="6"/>
        <v>32.017539915984798</v>
      </c>
      <c r="M19" s="9">
        <v>1.6</v>
      </c>
      <c r="N19" s="9">
        <f t="shared" si="7"/>
        <v>14.88789296219316</v>
      </c>
      <c r="O19" s="24">
        <f t="shared" si="8"/>
        <v>2.9775785924386318</v>
      </c>
      <c r="P19" s="18">
        <v>-0.60446478999999997</v>
      </c>
      <c r="Q19" s="10">
        <v>28.750699000000001</v>
      </c>
      <c r="R19" s="10">
        <v>2.508</v>
      </c>
      <c r="S19" s="10">
        <v>-4.1710000000000003</v>
      </c>
      <c r="T19" s="4" t="s">
        <v>15</v>
      </c>
      <c r="U19" s="3" t="s">
        <v>14</v>
      </c>
      <c r="V19" s="28"/>
    </row>
    <row r="20" spans="1:22" x14ac:dyDescent="0.3">
      <c r="A20" s="4">
        <v>20</v>
      </c>
      <c r="B20" s="4">
        <f t="shared" si="0"/>
        <v>300000000</v>
      </c>
      <c r="C20" s="4">
        <f t="shared" si="1"/>
        <v>12650000000</v>
      </c>
      <c r="D20" s="3">
        <v>4.3</v>
      </c>
      <c r="E20" s="9">
        <f t="shared" si="2"/>
        <v>3.2596214295690791</v>
      </c>
      <c r="F20" s="3">
        <v>50</v>
      </c>
      <c r="G20" s="14">
        <f t="shared" si="3"/>
        <v>5.7114550561042225</v>
      </c>
      <c r="H20" s="23">
        <v>26.625481400606802</v>
      </c>
      <c r="I20" s="9">
        <f t="shared" si="4"/>
        <v>23.058343280915569</v>
      </c>
      <c r="J20" s="9">
        <v>3.5000000000000003E-2</v>
      </c>
      <c r="K20" s="9">
        <f t="shared" si="5"/>
        <v>36.225481400606803</v>
      </c>
      <c r="L20" s="9">
        <f t="shared" si="6"/>
        <v>32.658343280915574</v>
      </c>
      <c r="M20" s="9">
        <v>1.6</v>
      </c>
      <c r="N20" s="9">
        <f t="shared" si="7"/>
        <v>15.176254476412009</v>
      </c>
      <c r="O20" s="24">
        <f t="shared" si="8"/>
        <v>3.0352508952824016</v>
      </c>
      <c r="P20" s="18">
        <v>-0.86717323999999996</v>
      </c>
      <c r="Q20" s="10">
        <v>20.049287</v>
      </c>
      <c r="R20" s="10">
        <v>2.3610000000000002</v>
      </c>
      <c r="S20" s="10">
        <v>-3.1389999999999998</v>
      </c>
      <c r="T20" s="4" t="s">
        <v>15</v>
      </c>
      <c r="U20" s="3" t="s">
        <v>14</v>
      </c>
      <c r="V20" s="28"/>
    </row>
    <row r="21" spans="1:22" x14ac:dyDescent="0.3">
      <c r="A21" s="3">
        <v>19</v>
      </c>
      <c r="B21" s="4">
        <f t="shared" si="0"/>
        <v>300000000</v>
      </c>
      <c r="C21" s="4">
        <f t="shared" si="1"/>
        <v>12650000000</v>
      </c>
      <c r="D21" s="3">
        <v>4.3</v>
      </c>
      <c r="E21" s="9">
        <f t="shared" si="2"/>
        <v>3.2773365338412215</v>
      </c>
      <c r="F21" s="4">
        <v>50</v>
      </c>
      <c r="G21" s="14">
        <f t="shared" si="3"/>
        <v>5.7114550561042225</v>
      </c>
      <c r="H21" s="23">
        <v>29.3096364076012</v>
      </c>
      <c r="I21" s="9">
        <f t="shared" si="4"/>
        <v>25.38288970466791</v>
      </c>
      <c r="J21" s="9">
        <v>3.5000000000000003E-2</v>
      </c>
      <c r="K21" s="9">
        <f t="shared" si="5"/>
        <v>38.909636407601198</v>
      </c>
      <c r="L21" s="9">
        <f t="shared" si="6"/>
        <v>34.982889704667912</v>
      </c>
      <c r="M21" s="9">
        <v>1.6</v>
      </c>
      <c r="N21" s="9">
        <f t="shared" si="7"/>
        <v>16.222300367100559</v>
      </c>
      <c r="O21" s="24">
        <f t="shared" si="8"/>
        <v>3.2444600734201119</v>
      </c>
      <c r="P21" s="18">
        <v>-9.4942732999999997</v>
      </c>
      <c r="Q21" s="10">
        <v>2.0083619000000001</v>
      </c>
      <c r="R21" s="10">
        <v>3.4260000000000002</v>
      </c>
      <c r="S21" s="10">
        <v>2.6840000000000002</v>
      </c>
      <c r="T21" s="4" t="s">
        <v>15</v>
      </c>
      <c r="U21" s="3" t="s">
        <v>14</v>
      </c>
      <c r="V21" s="28">
        <f>13.57737-12.5259</f>
        <v>1.0514700000000001</v>
      </c>
    </row>
    <row r="22" spans="1:22" x14ac:dyDescent="0.3">
      <c r="A22" s="4">
        <v>21</v>
      </c>
      <c r="B22" s="4">
        <f t="shared" si="0"/>
        <v>300000000</v>
      </c>
      <c r="C22" s="4">
        <f t="shared" si="1"/>
        <v>12650000000</v>
      </c>
      <c r="D22" s="3">
        <v>4.3</v>
      </c>
      <c r="E22" s="9">
        <f t="shared" si="2"/>
        <v>3.3098786527680359</v>
      </c>
      <c r="F22" s="3">
        <v>50</v>
      </c>
      <c r="G22" s="14">
        <f t="shared" si="3"/>
        <v>5.7114550561042225</v>
      </c>
      <c r="H22" s="23">
        <v>34.583822081843998</v>
      </c>
      <c r="I22" s="9">
        <f t="shared" si="4"/>
        <v>29.950468482838133</v>
      </c>
      <c r="J22" s="9">
        <v>3.5000000000000003E-2</v>
      </c>
      <c r="K22" s="9">
        <f t="shared" si="5"/>
        <v>44.183822081843999</v>
      </c>
      <c r="L22" s="9">
        <f t="shared" si="6"/>
        <v>39.550468482838134</v>
      </c>
      <c r="M22" s="9">
        <v>1.6</v>
      </c>
      <c r="N22" s="9">
        <f t="shared" si="7"/>
        <v>18.277710817277161</v>
      </c>
      <c r="O22" s="24">
        <f t="shared" si="8"/>
        <v>3.6555421634554319</v>
      </c>
      <c r="P22" s="18">
        <v>-6.1949966999999999</v>
      </c>
      <c r="Q22" s="10">
        <v>2.9220380000000001</v>
      </c>
      <c r="R22" s="10">
        <v>6.5389999999999997</v>
      </c>
      <c r="S22" s="10">
        <v>5.8620000000000001</v>
      </c>
      <c r="T22" s="4" t="s">
        <v>15</v>
      </c>
      <c r="U22" s="3" t="s">
        <v>14</v>
      </c>
      <c r="V22" s="28">
        <f>12.00889-10.98472</f>
        <v>1.0241699999999998</v>
      </c>
    </row>
    <row r="23" spans="1:22" x14ac:dyDescent="0.3">
      <c r="A23" s="3">
        <v>24</v>
      </c>
      <c r="B23" s="4">
        <f t="shared" si="0"/>
        <v>300000000</v>
      </c>
      <c r="C23" s="4">
        <f t="shared" si="1"/>
        <v>12650000000</v>
      </c>
      <c r="D23" s="3">
        <v>4.3</v>
      </c>
      <c r="E23" s="9">
        <f t="shared" si="2"/>
        <v>3.278035242172558</v>
      </c>
      <c r="F23" s="4">
        <v>50</v>
      </c>
      <c r="G23" s="14">
        <f t="shared" si="3"/>
        <v>5.7114550561042225</v>
      </c>
      <c r="H23" s="23">
        <v>37.8233112384411</v>
      </c>
      <c r="I23" s="9">
        <f t="shared" si="4"/>
        <v>32.755948387735451</v>
      </c>
      <c r="J23" s="9">
        <v>3.5000000000000003E-2</v>
      </c>
      <c r="K23" s="9">
        <f t="shared" si="5"/>
        <v>47.423311238441102</v>
      </c>
      <c r="L23" s="9">
        <f t="shared" si="6"/>
        <v>42.355948387735452</v>
      </c>
      <c r="M23" s="9">
        <v>1.6</v>
      </c>
      <c r="N23" s="9">
        <f>(L23/2)-(I23*0.15)</f>
        <v>16.264581935707408</v>
      </c>
      <c r="O23" s="24">
        <f t="shared" si="8"/>
        <v>3.2529163871414815</v>
      </c>
      <c r="P23" s="18">
        <v>-8.2631464000000001</v>
      </c>
      <c r="Q23" s="10">
        <v>2.2585339000000002</v>
      </c>
      <c r="R23" s="10">
        <v>5.3419999999999996</v>
      </c>
      <c r="S23" s="10">
        <v>4.3490000000000002</v>
      </c>
      <c r="T23" s="4" t="s">
        <v>15</v>
      </c>
      <c r="U23" s="3" t="s">
        <v>14</v>
      </c>
      <c r="V23" s="28"/>
    </row>
    <row r="24" spans="1:22" x14ac:dyDescent="0.3">
      <c r="A24" s="4">
        <v>22</v>
      </c>
      <c r="B24" s="4">
        <f t="shared" si="0"/>
        <v>300000000</v>
      </c>
      <c r="C24" s="4">
        <f t="shared" si="1"/>
        <v>12650000000</v>
      </c>
      <c r="D24" s="3">
        <v>4.3</v>
      </c>
      <c r="E24" s="9">
        <f t="shared" si="2"/>
        <v>3.3307633639961542</v>
      </c>
      <c r="F24" s="3">
        <v>50</v>
      </c>
      <c r="G24" s="14">
        <f t="shared" si="3"/>
        <v>5.7114550561042225</v>
      </c>
      <c r="H24" s="23">
        <v>38.218213372611103</v>
      </c>
      <c r="I24" s="9">
        <f t="shared" si="4"/>
        <v>33.097943667935368</v>
      </c>
      <c r="J24" s="9">
        <v>3.5000000000000003E-2</v>
      </c>
      <c r="K24" s="9">
        <f t="shared" si="5"/>
        <v>47.818213372611105</v>
      </c>
      <c r="L24" s="9">
        <f t="shared" si="6"/>
        <v>42.69794366793537</v>
      </c>
      <c r="M24" s="9">
        <v>1.6</v>
      </c>
      <c r="N24" s="9">
        <f>(L24/2)-(I24/20)</f>
        <v>19.694074650570915</v>
      </c>
      <c r="O24" s="24">
        <f t="shared" si="8"/>
        <v>3.9388149301141828</v>
      </c>
      <c r="P24" s="18">
        <v>-0.70582239999999996</v>
      </c>
      <c r="Q24" s="10">
        <v>24.62565</v>
      </c>
      <c r="R24" s="10">
        <v>6.9690000000000003</v>
      </c>
      <c r="S24" s="10">
        <v>-1.532</v>
      </c>
      <c r="T24" s="4" t="s">
        <v>15</v>
      </c>
      <c r="U24" s="3" t="s">
        <v>14</v>
      </c>
      <c r="V24" s="28"/>
    </row>
    <row r="25" spans="1:22" x14ac:dyDescent="0.3">
      <c r="A25" s="33">
        <v>23</v>
      </c>
      <c r="B25" s="32">
        <f t="shared" si="0"/>
        <v>300000000</v>
      </c>
      <c r="C25" s="32">
        <f t="shared" si="1"/>
        <v>12650000000</v>
      </c>
      <c r="D25" s="33">
        <v>4.3</v>
      </c>
      <c r="E25" s="34">
        <f t="shared" si="2"/>
        <v>3.2800062302080946</v>
      </c>
      <c r="F25" s="32">
        <v>50</v>
      </c>
      <c r="G25" s="35">
        <f t="shared" si="3"/>
        <v>5.7114550561042225</v>
      </c>
      <c r="H25" s="36">
        <v>38.218213372611103</v>
      </c>
      <c r="I25" s="34">
        <f t="shared" si="4"/>
        <v>33.097943667935368</v>
      </c>
      <c r="J25" s="34">
        <v>3.5000000000000003E-2</v>
      </c>
      <c r="K25" s="34">
        <f t="shared" si="5"/>
        <v>47.818213372611105</v>
      </c>
      <c r="L25" s="34">
        <f t="shared" si="6"/>
        <v>42.69794366793537</v>
      </c>
      <c r="M25" s="34">
        <v>1.6</v>
      </c>
      <c r="N25" s="34">
        <f>(L25/2)-(I25*0.15)</f>
        <v>16.384280283777379</v>
      </c>
      <c r="O25" s="37">
        <f t="shared" si="8"/>
        <v>3.2768560567554759</v>
      </c>
      <c r="P25" s="38">
        <v>-10.628784</v>
      </c>
      <c r="Q25" s="39">
        <v>1.18334413</v>
      </c>
      <c r="R25" s="39">
        <v>4.9429999999999996</v>
      </c>
      <c r="S25" s="39">
        <v>4.2240000000000002</v>
      </c>
      <c r="T25" s="32" t="s">
        <v>15</v>
      </c>
      <c r="U25" s="33" t="s">
        <v>14</v>
      </c>
      <c r="V25" s="29">
        <f>13.45431-12.46595</f>
        <v>0.98836000000000013</v>
      </c>
    </row>
    <row r="26" spans="1:22" x14ac:dyDescent="0.3">
      <c r="A26" s="32">
        <v>32</v>
      </c>
      <c r="B26" s="32">
        <f t="shared" si="0"/>
        <v>300000000</v>
      </c>
      <c r="C26" s="32">
        <f t="shared" si="1"/>
        <v>12650000000</v>
      </c>
      <c r="D26" s="33">
        <v>4.3</v>
      </c>
      <c r="E26" s="34">
        <f t="shared" si="2"/>
        <v>3.2839235095641044</v>
      </c>
      <c r="F26" s="33">
        <v>50</v>
      </c>
      <c r="G26" s="35">
        <f t="shared" si="3"/>
        <v>5.7114550561042225</v>
      </c>
      <c r="H26" s="36">
        <v>39.009267883359897</v>
      </c>
      <c r="I26" s="34">
        <f t="shared" si="4"/>
        <v>33.783016970022089</v>
      </c>
      <c r="J26" s="34">
        <v>3.5000000000000003E-2</v>
      </c>
      <c r="K26" s="34">
        <f t="shared" si="5"/>
        <v>48.609267883359898</v>
      </c>
      <c r="L26" s="34">
        <f t="shared" si="6"/>
        <v>43.383016970022091</v>
      </c>
      <c r="M26" s="34">
        <v>1.6</v>
      </c>
      <c r="N26" s="34">
        <f>(L26/2)-(I26*0.15)</f>
        <v>16.624055939507734</v>
      </c>
      <c r="O26" s="37">
        <f t="shared" si="8"/>
        <v>3.3248111879015467</v>
      </c>
      <c r="P26" s="38">
        <v>-20.925481000000001</v>
      </c>
      <c r="Q26" s="39">
        <v>1.1975439000000001</v>
      </c>
      <c r="R26" s="39">
        <v>4.9660000000000002</v>
      </c>
      <c r="S26" s="39">
        <v>4.4610000000000003</v>
      </c>
      <c r="T26" s="32" t="s">
        <v>15</v>
      </c>
      <c r="U26" s="33" t="s">
        <v>14</v>
      </c>
      <c r="V26" s="29">
        <f>13.13756-12.1422</f>
        <v>0.9953599999999998</v>
      </c>
    </row>
    <row r="27" spans="1:22" x14ac:dyDescent="0.3">
      <c r="A27" s="33">
        <v>1</v>
      </c>
      <c r="B27" s="32">
        <f t="shared" si="0"/>
        <v>300000000</v>
      </c>
      <c r="C27" s="32">
        <f t="shared" si="1"/>
        <v>12650000000</v>
      </c>
      <c r="D27" s="33">
        <v>4.3</v>
      </c>
      <c r="E27" s="34">
        <f t="shared" si="2"/>
        <v>3.2583836122744287</v>
      </c>
      <c r="F27" s="32">
        <v>50</v>
      </c>
      <c r="G27" s="35">
        <f t="shared" si="3"/>
        <v>5.7114550561042225</v>
      </c>
      <c r="H27" s="36">
        <v>39.076000000000001</v>
      </c>
      <c r="I27" s="34">
        <v>33.840000000000003</v>
      </c>
      <c r="J27" s="34">
        <v>3.5000000000000003E-2</v>
      </c>
      <c r="K27" s="34">
        <v>48.676000000000002</v>
      </c>
      <c r="L27" s="34">
        <v>47.441000000000003</v>
      </c>
      <c r="M27" s="34">
        <v>1.6</v>
      </c>
      <c r="N27" s="34">
        <v>16.760000000000002</v>
      </c>
      <c r="O27" s="37">
        <v>3.0209999999999999</v>
      </c>
      <c r="P27" s="38">
        <v>-18.622415</v>
      </c>
      <c r="Q27" s="39">
        <v>1.2654852999999999</v>
      </c>
      <c r="R27" s="39">
        <v>5.0709999999999997</v>
      </c>
      <c r="S27" s="39">
        <v>4.6079999999999997</v>
      </c>
      <c r="T27" s="39" t="s">
        <v>15</v>
      </c>
      <c r="U27" s="33" t="s">
        <v>14</v>
      </c>
      <c r="V27" s="29">
        <f>13.2107-12.22711</f>
        <v>0.98358999999999952</v>
      </c>
    </row>
    <row r="28" spans="1:22" x14ac:dyDescent="0.3">
      <c r="A28" s="40">
        <v>25</v>
      </c>
      <c r="B28" s="40">
        <f t="shared" si="0"/>
        <v>300000000</v>
      </c>
      <c r="C28" s="40">
        <f t="shared" si="1"/>
        <v>12650000000</v>
      </c>
      <c r="D28" s="41">
        <v>4.3</v>
      </c>
      <c r="E28" s="42">
        <f t="shared" si="2"/>
        <v>3.2870384248206852</v>
      </c>
      <c r="F28" s="41">
        <v>50</v>
      </c>
      <c r="G28" s="43">
        <f t="shared" si="3"/>
        <v>5.7114550561042225</v>
      </c>
      <c r="H28" s="44">
        <v>39.644225641757501</v>
      </c>
      <c r="I28" s="42">
        <f>(H28^2-(H28/2)^2)^0.5</f>
        <v>34.332906519124435</v>
      </c>
      <c r="J28" s="42">
        <v>3.5000000000000003E-2</v>
      </c>
      <c r="K28" s="42">
        <f>6*M28+H28</f>
        <v>49.244225641757502</v>
      </c>
      <c r="L28" s="42">
        <f>6*M28+I28</f>
        <v>43.932906519124437</v>
      </c>
      <c r="M28" s="42">
        <v>1.6</v>
      </c>
      <c r="N28" s="42">
        <f>(L28/2)-(I28*0.15)</f>
        <v>16.816517281693553</v>
      </c>
      <c r="O28" s="45">
        <f>N28/5</f>
        <v>3.3633034563387105</v>
      </c>
      <c r="P28" s="46">
        <v>-23.281824</v>
      </c>
      <c r="Q28" s="47">
        <v>1.147154</v>
      </c>
      <c r="R28" s="47">
        <v>5.7949999999999999</v>
      </c>
      <c r="S28" s="47">
        <v>5.48</v>
      </c>
      <c r="T28" s="40" t="s">
        <v>15</v>
      </c>
      <c r="U28" s="41" t="s">
        <v>14</v>
      </c>
      <c r="V28" s="48">
        <f>13.14339-12.14202</f>
        <v>1.0013699999999996</v>
      </c>
    </row>
    <row r="29" spans="1:22" x14ac:dyDescent="0.3">
      <c r="A29" s="33">
        <v>26</v>
      </c>
      <c r="B29" s="32">
        <f t="shared" si="0"/>
        <v>300000000</v>
      </c>
      <c r="C29" s="32">
        <f t="shared" si="1"/>
        <v>12650000000</v>
      </c>
      <c r="D29" s="33">
        <v>4.3</v>
      </c>
      <c r="E29" s="34">
        <f t="shared" si="2"/>
        <v>3.28894236424944</v>
      </c>
      <c r="F29" s="32">
        <v>50</v>
      </c>
      <c r="G29" s="35">
        <f t="shared" si="3"/>
        <v>5.7114550561042225</v>
      </c>
      <c r="H29" s="36">
        <v>40.034941020398598</v>
      </c>
      <c r="I29" s="34">
        <f t="shared" ref="I29:I34" si="9">(H29^2-(H29/2)^2)^0.5</f>
        <v>34.671275962676887</v>
      </c>
      <c r="J29" s="34">
        <v>3.5000000000000003E-2</v>
      </c>
      <c r="K29" s="34">
        <f t="shared" ref="K29:K34" si="10">6*M29+H29</f>
        <v>49.6349410203986</v>
      </c>
      <c r="L29" s="34">
        <f t="shared" ref="L29:L34" si="11">6*M29+I29</f>
        <v>44.271275962676889</v>
      </c>
      <c r="M29" s="34">
        <v>1.6</v>
      </c>
      <c r="N29" s="34">
        <f t="shared" ref="N29:N34" si="12">(L29/2)-(I29*0.15)</f>
        <v>16.93494658693691</v>
      </c>
      <c r="O29" s="37">
        <f t="shared" ref="O29:O34" si="13">N29/5</f>
        <v>3.386989317387382</v>
      </c>
      <c r="P29" s="38">
        <v>-20.074400000000001</v>
      </c>
      <c r="Q29" s="39">
        <v>1.2031537000000001</v>
      </c>
      <c r="R29" s="39">
        <v>6.3440000000000003</v>
      </c>
      <c r="S29" s="39">
        <v>6.0970000000000004</v>
      </c>
      <c r="T29" s="32" t="s">
        <v>15</v>
      </c>
      <c r="U29" s="33" t="s">
        <v>14</v>
      </c>
      <c r="V29" s="29">
        <f>13.04823-12.0388</f>
        <v>1.00943</v>
      </c>
    </row>
    <row r="30" spans="1:22" x14ac:dyDescent="0.3">
      <c r="A30" s="32">
        <v>29</v>
      </c>
      <c r="B30" s="32">
        <f t="shared" si="0"/>
        <v>300000000</v>
      </c>
      <c r="C30" s="32">
        <f t="shared" si="1"/>
        <v>12650000000</v>
      </c>
      <c r="D30" s="33">
        <v>4.3</v>
      </c>
      <c r="E30" s="34">
        <f t="shared" si="2"/>
        <v>3.2908249632341047</v>
      </c>
      <c r="F30" s="33">
        <v>50</v>
      </c>
      <c r="G30" s="35">
        <f t="shared" si="3"/>
        <v>5.7114550561042225</v>
      </c>
      <c r="H30" s="36">
        <v>40.4232345084109</v>
      </c>
      <c r="I30" s="34">
        <f t="shared" si="9"/>
        <v>35.007547987419599</v>
      </c>
      <c r="J30" s="34">
        <v>3.5000000000000003E-2</v>
      </c>
      <c r="K30" s="34">
        <f t="shared" si="10"/>
        <v>50.023234508410901</v>
      </c>
      <c r="L30" s="34">
        <f t="shared" si="11"/>
        <v>44.607547987419601</v>
      </c>
      <c r="M30" s="34">
        <v>1.6</v>
      </c>
      <c r="N30" s="34">
        <f t="shared" si="12"/>
        <v>17.052641795596863</v>
      </c>
      <c r="O30" s="37">
        <f t="shared" si="13"/>
        <v>3.4105283591193727</v>
      </c>
      <c r="P30" s="38">
        <v>-22.190144</v>
      </c>
      <c r="Q30" s="39">
        <v>1.1685220000000001</v>
      </c>
      <c r="R30" s="39">
        <v>6.766</v>
      </c>
      <c r="S30" s="39">
        <v>6.5709999999999997</v>
      </c>
      <c r="T30" s="32" t="s">
        <v>15</v>
      </c>
      <c r="U30" s="33" t="s">
        <v>14</v>
      </c>
      <c r="V30" s="29">
        <f>12.95689-11.91201</f>
        <v>1.0448799999999991</v>
      </c>
    </row>
    <row r="31" spans="1:22" x14ac:dyDescent="0.3">
      <c r="A31" s="33">
        <v>27</v>
      </c>
      <c r="B31" s="32">
        <f t="shared" si="0"/>
        <v>300000000</v>
      </c>
      <c r="C31" s="32">
        <f t="shared" si="1"/>
        <v>12650000000</v>
      </c>
      <c r="D31" s="33">
        <v>4.3</v>
      </c>
      <c r="E31" s="34">
        <f t="shared" si="2"/>
        <v>3.2936427532605395</v>
      </c>
      <c r="F31" s="32">
        <v>50</v>
      </c>
      <c r="G31" s="35">
        <f t="shared" si="3"/>
        <v>5.7114550561042225</v>
      </c>
      <c r="H31" s="36">
        <v>41.008072943929001</v>
      </c>
      <c r="I31" s="34">
        <f t="shared" si="9"/>
        <v>35.514032929687829</v>
      </c>
      <c r="J31" s="34">
        <v>3.5000000000000003E-2</v>
      </c>
      <c r="K31" s="34">
        <f t="shared" si="10"/>
        <v>50.608072943929002</v>
      </c>
      <c r="L31" s="34">
        <f t="shared" si="11"/>
        <v>45.114032929687831</v>
      </c>
      <c r="M31" s="34">
        <v>1.6</v>
      </c>
      <c r="N31" s="34">
        <f t="shared" si="12"/>
        <v>17.22991152539074</v>
      </c>
      <c r="O31" s="37">
        <f t="shared" si="13"/>
        <v>3.445982305078148</v>
      </c>
      <c r="P31" s="38">
        <v>-15.866668000000001</v>
      </c>
      <c r="Q31" s="39">
        <v>1.3836225</v>
      </c>
      <c r="R31" s="39">
        <v>7.0439999999999996</v>
      </c>
      <c r="S31" s="39">
        <v>6.7610000000000001</v>
      </c>
      <c r="T31" s="32" t="s">
        <v>15</v>
      </c>
      <c r="U31" s="33" t="s">
        <v>14</v>
      </c>
      <c r="V31" s="29">
        <f>12.84476-11.80857</f>
        <v>1.0361900000000013</v>
      </c>
    </row>
    <row r="32" spans="1:22" x14ac:dyDescent="0.3">
      <c r="A32" s="4">
        <v>28</v>
      </c>
      <c r="B32" s="4">
        <f t="shared" si="0"/>
        <v>300000000</v>
      </c>
      <c r="C32" s="4">
        <f t="shared" si="1"/>
        <v>12650000000</v>
      </c>
      <c r="D32" s="3">
        <v>4.3</v>
      </c>
      <c r="E32" s="9">
        <f t="shared" si="2"/>
        <v>3.2978337291869515</v>
      </c>
      <c r="F32" s="3">
        <v>50</v>
      </c>
      <c r="G32" s="14">
        <f t="shared" si="3"/>
        <v>5.7114550561042225</v>
      </c>
      <c r="H32" s="23">
        <v>41.886095713126799</v>
      </c>
      <c r="I32" s="9">
        <f t="shared" si="9"/>
        <v>36.274422952914279</v>
      </c>
      <c r="J32" s="9">
        <v>3.5000000000000003E-2</v>
      </c>
      <c r="K32" s="9">
        <f t="shared" si="10"/>
        <v>51.486095713126801</v>
      </c>
      <c r="L32" s="9">
        <f t="shared" si="11"/>
        <v>45.87442295291428</v>
      </c>
      <c r="M32" s="9">
        <v>1.6</v>
      </c>
      <c r="N32" s="9">
        <f t="shared" si="12"/>
        <v>17.496048033519997</v>
      </c>
      <c r="O32" s="24">
        <f t="shared" si="13"/>
        <v>3.4992096067039995</v>
      </c>
      <c r="P32" s="18">
        <v>-9.3853860999999998</v>
      </c>
      <c r="Q32" s="10">
        <v>1.5392243999999999</v>
      </c>
      <c r="R32" s="10">
        <v>6.7670000000000003</v>
      </c>
      <c r="S32" s="10">
        <v>6.1870000000000003</v>
      </c>
      <c r="T32" s="4" t="s">
        <v>15</v>
      </c>
      <c r="U32" s="3" t="s">
        <v>14</v>
      </c>
      <c r="V32" s="28">
        <f>12.6222-11.65768</f>
        <v>0.96452000000000027</v>
      </c>
    </row>
    <row r="33" spans="1:22" x14ac:dyDescent="0.3">
      <c r="A33" s="3">
        <v>30</v>
      </c>
      <c r="B33" s="4">
        <f t="shared" si="0"/>
        <v>300000000</v>
      </c>
      <c r="C33" s="4">
        <f t="shared" si="1"/>
        <v>12650000000</v>
      </c>
      <c r="D33" s="3">
        <v>4.3</v>
      </c>
      <c r="E33" s="9">
        <f t="shared" si="2"/>
        <v>3.298415222964715</v>
      </c>
      <c r="F33" s="4">
        <v>50</v>
      </c>
      <c r="G33" s="14">
        <f t="shared" si="3"/>
        <v>5.7114550561042225</v>
      </c>
      <c r="H33" s="23">
        <v>42.008698219671402</v>
      </c>
      <c r="I33" s="9">
        <f t="shared" si="9"/>
        <v>36.380599838149557</v>
      </c>
      <c r="J33" s="9">
        <v>3.5000000000000003E-2</v>
      </c>
      <c r="K33" s="9">
        <f t="shared" si="10"/>
        <v>51.608698219671403</v>
      </c>
      <c r="L33" s="9">
        <f t="shared" si="11"/>
        <v>45.980599838149558</v>
      </c>
      <c r="M33" s="9">
        <v>1.6</v>
      </c>
      <c r="N33" s="9">
        <f t="shared" si="12"/>
        <v>17.533209943352347</v>
      </c>
      <c r="O33" s="24">
        <f t="shared" si="13"/>
        <v>3.5066419886704692</v>
      </c>
      <c r="P33" s="18">
        <v>-9.0559364000000002</v>
      </c>
      <c r="Q33" s="10">
        <v>2.0889736999999999</v>
      </c>
      <c r="R33" s="10">
        <v>6.9409999999999998</v>
      </c>
      <c r="S33" s="10">
        <v>6.4669999999999996</v>
      </c>
      <c r="T33" s="4" t="s">
        <v>15</v>
      </c>
      <c r="U33" s="3" t="s">
        <v>14</v>
      </c>
      <c r="V33" s="28">
        <f>12.60761-11.53971</f>
        <v>1.0678999999999998</v>
      </c>
    </row>
    <row r="34" spans="1:22" x14ac:dyDescent="0.3">
      <c r="A34" s="4">
        <v>31</v>
      </c>
      <c r="B34" s="4">
        <f t="shared" si="0"/>
        <v>300000000</v>
      </c>
      <c r="C34" s="4">
        <f t="shared" si="1"/>
        <v>12650000000</v>
      </c>
      <c r="D34" s="3">
        <v>4.3</v>
      </c>
      <c r="E34" s="9">
        <f t="shared" si="2"/>
        <v>3.3049664949748614</v>
      </c>
      <c r="F34" s="3">
        <v>50</v>
      </c>
      <c r="G34" s="14">
        <f t="shared" si="3"/>
        <v>5.7114550561042225</v>
      </c>
      <c r="H34" s="23">
        <v>43.403200331018297</v>
      </c>
      <c r="I34" s="9">
        <f t="shared" si="9"/>
        <v>37.588274092207001</v>
      </c>
      <c r="J34" s="9">
        <v>3.5000000000000003E-2</v>
      </c>
      <c r="K34" s="9">
        <f t="shared" si="10"/>
        <v>53.003200331018299</v>
      </c>
      <c r="L34" s="9">
        <f t="shared" si="11"/>
        <v>47.188274092207003</v>
      </c>
      <c r="M34" s="9">
        <v>1.6</v>
      </c>
      <c r="N34" s="9">
        <f t="shared" si="12"/>
        <v>17.955895932272451</v>
      </c>
      <c r="O34" s="24">
        <f t="shared" si="13"/>
        <v>3.5911791864544904</v>
      </c>
      <c r="P34" s="18">
        <v>-4.6966184000000002</v>
      </c>
      <c r="Q34" s="10">
        <v>3.7884680999999998</v>
      </c>
      <c r="R34" s="10">
        <v>5.9169999999999998</v>
      </c>
      <c r="S34" s="10">
        <v>4.8250000000000002</v>
      </c>
      <c r="T34" s="4" t="s">
        <v>15</v>
      </c>
      <c r="U34" s="3" t="s">
        <v>14</v>
      </c>
      <c r="V34" s="28"/>
    </row>
  </sheetData>
  <sortState xmlns:xlrd2="http://schemas.microsoft.com/office/spreadsheetml/2017/richdata2" ref="A3:V34">
    <sortCondition ref="H3:H34"/>
  </sortState>
  <mergeCells count="4">
    <mergeCell ref="A1:A2"/>
    <mergeCell ref="B1:G1"/>
    <mergeCell ref="H1:O1"/>
    <mergeCell ref="P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simulasi</vt:lpstr>
      <vt:lpstr>hasil simulasi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2022-07-03T01:51:04Z</cp:lastPrinted>
  <dcterms:created xsi:type="dcterms:W3CDTF">2022-06-08T02:00:39Z</dcterms:created>
  <dcterms:modified xsi:type="dcterms:W3CDTF">2022-07-03T01:51:13Z</dcterms:modified>
</cp:coreProperties>
</file>